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E:\xampp\htdocs\hb\_hermann-baum.de strato\excel\WorldCup\download\"/>
    </mc:Choice>
  </mc:AlternateContent>
  <xr:revisionPtr revIDLastSave="0" documentId="8_{50242400-EA64-A040-93C1-C5AEAC9EB42C}" xr6:coauthVersionLast="47"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2" i="19"/>
  <c r="O6" i="19"/>
  <c r="E20" i="19"/>
  <c r="F113" i="22"/>
  <c r="O16" i="19"/>
  <c r="F111" i="22"/>
  <c r="O10" i="19"/>
  <c r="F109" i="22"/>
  <c r="O8" i="19"/>
  <c r="F108" i="22"/>
  <c r="O7" i="19"/>
  <c r="F106" i="22"/>
  <c r="F105" i="22"/>
  <c r="O11" i="19"/>
  <c r="F104" i="22"/>
  <c r="O15" i="19"/>
  <c r="F103" i="22"/>
  <c r="O4" i="19"/>
  <c r="F101" i="22"/>
  <c r="F100" i="22"/>
  <c r="O13" i="19"/>
  <c r="F99" i="22"/>
  <c r="F98" i="22"/>
  <c r="O17" i="19"/>
  <c r="F97" i="22"/>
  <c r="F96" i="22"/>
  <c r="O9" i="19"/>
  <c r="F95" i="22"/>
  <c r="O12" i="19"/>
  <c r="F94" i="22"/>
  <c r="F92" i="22"/>
  <c r="F91" i="22"/>
  <c r="F90" i="22"/>
  <c r="F89" i="22"/>
  <c r="F88" i="22"/>
  <c r="O5" i="19"/>
  <c r="F87" i="22"/>
  <c r="F86" i="22"/>
  <c r="O14" i="19"/>
  <c r="F85" i="22"/>
  <c r="F84" i="22"/>
  <c r="F83" i="22"/>
  <c r="F82" i="22"/>
  <c r="F81" i="22"/>
  <c r="F80" i="22"/>
  <c r="O19" i="19"/>
  <c r="F79" i="22"/>
  <c r="F78" i="22"/>
  <c r="F77" i="22"/>
  <c r="F75" i="22"/>
  <c r="F74" i="22"/>
  <c r="F73" i="22"/>
  <c r="F72" i="22"/>
  <c r="F71" i="22"/>
  <c r="F70" i="22"/>
  <c r="O18" i="19"/>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1" i="19"/>
  <c r="E22" i="19"/>
  <c r="E23" i="19"/>
  <c r="E24" i="19"/>
  <c r="E25" i="19"/>
  <c r="E26" i="19"/>
  <c r="E27" i="19"/>
  <c r="E28" i="19"/>
  <c r="E29" i="19"/>
  <c r="E30" i="19"/>
  <c r="E31" i="19"/>
  <c r="E32" i="19"/>
  <c r="E33" i="19"/>
  <c r="E34" i="19"/>
  <c r="E35" i="19"/>
  <c r="E36" i="19"/>
  <c r="E37" i="19"/>
  <c r="E38" i="19"/>
  <c r="E39" i="19"/>
  <c r="E40" i="19"/>
  <c r="B46" i="48"/>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c r="D54" i="26"/>
  <c r="I23" i="22"/>
  <c r="AC18" i="33"/>
  <c r="P23" i="66"/>
  <c r="C70" i="47"/>
  <c r="C4" i="18"/>
  <c r="C5" i="18"/>
  <c r="C6" i="18"/>
  <c r="C7" i="18"/>
  <c r="C8" i="18"/>
  <c r="E8" i="18"/>
  <c r="D62" i="26"/>
  <c r="D5" i="67"/>
  <c r="E10" i="18"/>
  <c r="E40" i="18"/>
  <c r="E48" i="18"/>
  <c r="E72" i="18"/>
  <c r="E81" i="18"/>
  <c r="R25" i="68"/>
  <c r="F79" i="28"/>
  <c r="S25" i="68"/>
  <c r="G79" i="47"/>
  <c r="R22" i="68"/>
  <c r="F76" i="47"/>
  <c r="S22" i="68"/>
  <c r="G76" i="28"/>
  <c r="R23" i="68"/>
  <c r="F77" i="47"/>
  <c r="R24" i="68"/>
  <c r="F78" i="47"/>
  <c r="R26" i="68"/>
  <c r="F80" i="47"/>
  <c r="R27" i="68"/>
  <c r="F81" i="28"/>
  <c r="S23" i="68"/>
  <c r="G77" i="47"/>
  <c r="S24" i="68"/>
  <c r="G78" i="28"/>
  <c r="S26" i="68"/>
  <c r="G80" i="47"/>
  <c r="S27" i="68"/>
  <c r="R25" i="66"/>
  <c r="F72" i="47"/>
  <c r="S25" i="66"/>
  <c r="G72" i="47"/>
  <c r="R22" i="66"/>
  <c r="S22" i="66"/>
  <c r="R23" i="66"/>
  <c r="F70" i="47"/>
  <c r="R24" i="66"/>
  <c r="F71" i="28"/>
  <c r="R26" i="66"/>
  <c r="F73" i="47"/>
  <c r="R27" i="66"/>
  <c r="F74" i="47"/>
  <c r="S23" i="66"/>
  <c r="G70" i="28"/>
  <c r="S24" i="66"/>
  <c r="G71" i="47"/>
  <c r="S26" i="66"/>
  <c r="S27" i="66"/>
  <c r="G74" i="47"/>
  <c r="R25" i="69"/>
  <c r="S25" i="69"/>
  <c r="G65" i="28"/>
  <c r="R22" i="69"/>
  <c r="F62" i="47"/>
  <c r="S22" i="69"/>
  <c r="G62" i="47"/>
  <c r="R23" i="69"/>
  <c r="F63" i="28"/>
  <c r="R24" i="69"/>
  <c r="F64" i="28"/>
  <c r="R26" i="69"/>
  <c r="R27" i="69"/>
  <c r="F67" i="28"/>
  <c r="S23" i="69"/>
  <c r="S24" i="69"/>
  <c r="G64" i="47"/>
  <c r="S26" i="69"/>
  <c r="G66" i="47"/>
  <c r="S27" i="69"/>
  <c r="G67" i="28"/>
  <c r="R25" i="65"/>
  <c r="S25" i="65"/>
  <c r="G58" i="47"/>
  <c r="R22" i="65"/>
  <c r="F55" i="28"/>
  <c r="S22" i="65"/>
  <c r="G55" i="28"/>
  <c r="R23" i="65"/>
  <c r="F56" i="28"/>
  <c r="R24" i="65"/>
  <c r="R26" i="65"/>
  <c r="R27" i="65"/>
  <c r="F60" i="28"/>
  <c r="S23" i="65"/>
  <c r="S24" i="65"/>
  <c r="G57" i="47"/>
  <c r="S26" i="65"/>
  <c r="G59" i="28"/>
  <c r="S27" i="65"/>
  <c r="G60" i="28"/>
  <c r="R25" i="64"/>
  <c r="F51" i="47"/>
  <c r="S25" i="64"/>
  <c r="R22" i="64"/>
  <c r="F48" i="47"/>
  <c r="S22" i="64"/>
  <c r="G48" i="47"/>
  <c r="R23" i="64"/>
  <c r="R24" i="64"/>
  <c r="R26" i="64"/>
  <c r="F52" i="28"/>
  <c r="R27" i="64"/>
  <c r="S23" i="64"/>
  <c r="G49" i="47"/>
  <c r="S24" i="64"/>
  <c r="G50" i="47"/>
  <c r="S26" i="64"/>
  <c r="G52" i="28"/>
  <c r="S27" i="64"/>
  <c r="G53" i="47"/>
  <c r="R25" i="71"/>
  <c r="F44" i="47"/>
  <c r="S25" i="71"/>
  <c r="R22" i="71"/>
  <c r="F41" i="47"/>
  <c r="S22" i="71"/>
  <c r="G41" i="28"/>
  <c r="R23" i="71"/>
  <c r="F42" i="28"/>
  <c r="R24" i="71"/>
  <c r="R26" i="71"/>
  <c r="R27" i="71"/>
  <c r="F46" i="28"/>
  <c r="S23" i="71"/>
  <c r="S24" i="71"/>
  <c r="G43" i="47"/>
  <c r="S26" i="71"/>
  <c r="G45" i="47"/>
  <c r="S27" i="71"/>
  <c r="G46" i="47"/>
  <c r="R25" i="72"/>
  <c r="S25" i="72"/>
  <c r="G37" i="28"/>
  <c r="R22" i="72"/>
  <c r="F34" i="28"/>
  <c r="S22" i="72"/>
  <c r="G34" i="28"/>
  <c r="R23" i="72"/>
  <c r="F35" i="47"/>
  <c r="R24" i="72"/>
  <c r="R26" i="72"/>
  <c r="F38" i="47"/>
  <c r="R27" i="72"/>
  <c r="S23" i="72"/>
  <c r="G35" i="28"/>
  <c r="S24" i="72"/>
  <c r="S26" i="72"/>
  <c r="S27" i="72"/>
  <c r="G39" i="47"/>
  <c r="R25" i="70"/>
  <c r="S25" i="70"/>
  <c r="G30" i="47"/>
  <c r="R22" i="70"/>
  <c r="F27" i="47"/>
  <c r="S22" i="70"/>
  <c r="G27" i="28"/>
  <c r="R23" i="70"/>
  <c r="F28" i="47"/>
  <c r="R24" i="70"/>
  <c r="F29" i="28"/>
  <c r="R26" i="70"/>
  <c r="F31" i="28"/>
  <c r="R27" i="70"/>
  <c r="F32" i="28"/>
  <c r="S23" i="70"/>
  <c r="G28" i="47"/>
  <c r="S24" i="70"/>
  <c r="G29" i="47"/>
  <c r="S26" i="70"/>
  <c r="G31" i="28"/>
  <c r="S27" i="70"/>
  <c r="R25" i="63"/>
  <c r="S25" i="63"/>
  <c r="R22" i="63"/>
  <c r="F20" i="47"/>
  <c r="S22" i="63"/>
  <c r="G20" i="47"/>
  <c r="R23" i="63"/>
  <c r="F21" i="28"/>
  <c r="R24" i="63"/>
  <c r="R26" i="63"/>
  <c r="F24" i="28"/>
  <c r="R27" i="63"/>
  <c r="F25" i="28"/>
  <c r="S23" i="63"/>
  <c r="G21" i="47"/>
  <c r="S24" i="63"/>
  <c r="G22" i="47"/>
  <c r="S26" i="63"/>
  <c r="G24" i="47"/>
  <c r="S27" i="63"/>
  <c r="R25" i="62"/>
  <c r="F16" i="47"/>
  <c r="S25" i="62"/>
  <c r="R22" i="62"/>
  <c r="F13" i="47"/>
  <c r="S22" i="62"/>
  <c r="G13" i="47"/>
  <c r="R23" i="62"/>
  <c r="R24" i="62"/>
  <c r="F15" i="47"/>
  <c r="R26" i="62"/>
  <c r="R27" i="62"/>
  <c r="F18" i="47"/>
  <c r="S23" i="62"/>
  <c r="G14" i="47"/>
  <c r="S24" i="62"/>
  <c r="G15" i="47"/>
  <c r="S26" i="62"/>
  <c r="S27" i="62"/>
  <c r="E199" i="18"/>
  <c r="D99" i="73"/>
  <c r="E200" i="18"/>
  <c r="E123" i="18"/>
  <c r="AV37" i="73"/>
  <c r="E133" i="18"/>
  <c r="AC93" i="73"/>
  <c r="E132" i="18"/>
  <c r="Q85" i="73"/>
  <c r="E131" i="18"/>
  <c r="AL85" i="73"/>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c r="E138" i="18"/>
  <c r="Z3" i="73"/>
  <c r="E137" i="18"/>
  <c r="O3" i="73"/>
  <c r="E140" i="18"/>
  <c r="D3" i="73"/>
  <c r="AN5" i="73"/>
  <c r="AC5" i="73"/>
  <c r="AA5" i="73"/>
  <c r="R5" i="73"/>
  <c r="P5" i="73"/>
  <c r="G5" i="73"/>
  <c r="E5" i="73"/>
  <c r="E122" i="18"/>
  <c r="D1" i="73"/>
  <c r="E174" i="18"/>
  <c r="C11" i="3"/>
  <c r="E130" i="18"/>
  <c r="B54" i="47"/>
  <c r="I17" i="3"/>
  <c r="B82" i="47"/>
  <c r="BV82" i="47"/>
  <c r="B33" i="47"/>
  <c r="BV33" i="47"/>
  <c r="V82" i="47"/>
  <c r="G78" i="47"/>
  <c r="F71" i="47"/>
  <c r="F69" i="47"/>
  <c r="S27" i="61"/>
  <c r="R27" i="61"/>
  <c r="F11" i="47"/>
  <c r="S26" i="61"/>
  <c r="G10" i="47"/>
  <c r="R26" i="61"/>
  <c r="F10" i="47"/>
  <c r="S25" i="61"/>
  <c r="R25" i="61"/>
  <c r="S24" i="61"/>
  <c r="R24" i="61"/>
  <c r="F8" i="47"/>
  <c r="S23" i="61"/>
  <c r="G7" i="47"/>
  <c r="R23" i="61"/>
  <c r="S22" i="61"/>
  <c r="G6" i="47"/>
  <c r="R22" i="61"/>
  <c r="F6" i="47"/>
  <c r="B82" i="28"/>
  <c r="HV82" i="28"/>
  <c r="B75" i="28"/>
  <c r="BI75" i="28"/>
  <c r="B61" i="28"/>
  <c r="EV61" i="28"/>
  <c r="B54" i="28"/>
  <c r="LV54" i="28"/>
  <c r="B47" i="28"/>
  <c r="KV47" i="28"/>
  <c r="B26" i="28"/>
  <c r="LV26" i="28"/>
  <c r="B19" i="28"/>
  <c r="LV19" i="28"/>
  <c r="B12" i="28"/>
  <c r="LV12" i="28"/>
  <c r="B5" i="28"/>
  <c r="FI5" i="28"/>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c r="G103" i="32"/>
  <c r="H103" i="32"/>
  <c r="I102" i="32"/>
  <c r="J102" i="32"/>
  <c r="G102" i="32"/>
  <c r="H102" i="32"/>
  <c r="I101" i="32"/>
  <c r="J101" i="32"/>
  <c r="G101" i="32"/>
  <c r="H101" i="32"/>
  <c r="I100" i="32"/>
  <c r="J100" i="32"/>
  <c r="G100" i="32"/>
  <c r="H100" i="32"/>
  <c r="I99" i="32"/>
  <c r="J99" i="32"/>
  <c r="G99" i="32"/>
  <c r="H99" i="32"/>
  <c r="I98" i="32"/>
  <c r="J98" i="32"/>
  <c r="G98" i="32"/>
  <c r="H98" i="32"/>
  <c r="I97" i="32"/>
  <c r="J97" i="32"/>
  <c r="G97" i="32"/>
  <c r="H97" i="32"/>
  <c r="I96" i="32"/>
  <c r="J96" i="32"/>
  <c r="G96" i="32"/>
  <c r="H96" i="32"/>
  <c r="I95" i="32"/>
  <c r="J95" i="32"/>
  <c r="G95" i="32"/>
  <c r="H95" i="32"/>
  <c r="I94" i="32"/>
  <c r="J94" i="32"/>
  <c r="G94" i="32"/>
  <c r="H94" i="32"/>
  <c r="I93" i="32"/>
  <c r="J93" i="32"/>
  <c r="G93" i="32"/>
  <c r="H93" i="32"/>
  <c r="I92" i="32"/>
  <c r="J92" i="32"/>
  <c r="G92" i="32"/>
  <c r="H92" i="32"/>
  <c r="I91" i="32"/>
  <c r="J91" i="32"/>
  <c r="G91" i="32"/>
  <c r="H91" i="32"/>
  <c r="I90" i="32"/>
  <c r="J90" i="32"/>
  <c r="G90" i="32"/>
  <c r="H90" i="32"/>
  <c r="I89" i="32"/>
  <c r="J89" i="32"/>
  <c r="G89" i="32"/>
  <c r="H89" i="32"/>
  <c r="I88" i="32"/>
  <c r="J88" i="32"/>
  <c r="G88" i="32"/>
  <c r="H88" i="32"/>
  <c r="I87" i="32"/>
  <c r="J87" i="32"/>
  <c r="G87" i="32"/>
  <c r="H87" i="32"/>
  <c r="I86" i="32"/>
  <c r="J86" i="32"/>
  <c r="G86" i="32"/>
  <c r="H86" i="32"/>
  <c r="I85" i="32"/>
  <c r="J85" i="32"/>
  <c r="G85" i="32"/>
  <c r="H85" i="32"/>
  <c r="I84" i="32"/>
  <c r="J84" i="32"/>
  <c r="G84" i="32"/>
  <c r="H84" i="32"/>
  <c r="I83" i="32"/>
  <c r="J83" i="32"/>
  <c r="G83" i="32"/>
  <c r="H83" i="32"/>
  <c r="I82" i="32"/>
  <c r="H82" i="32"/>
  <c r="I81" i="32"/>
  <c r="J81" i="32"/>
  <c r="G81" i="32"/>
  <c r="H81" i="32"/>
  <c r="I80" i="32"/>
  <c r="J80" i="32"/>
  <c r="G80" i="32"/>
  <c r="H80" i="32"/>
  <c r="I79" i="32"/>
  <c r="J79" i="32"/>
  <c r="G79" i="32"/>
  <c r="H79" i="32"/>
  <c r="I78" i="32"/>
  <c r="J78" i="32"/>
  <c r="G78" i="32"/>
  <c r="H78" i="32"/>
  <c r="I77" i="32"/>
  <c r="J77" i="32"/>
  <c r="G77" i="32"/>
  <c r="H77" i="32"/>
  <c r="I76" i="32"/>
  <c r="J76" i="32"/>
  <c r="G76" i="32"/>
  <c r="H76" i="32"/>
  <c r="I75" i="32"/>
  <c r="J75" i="32"/>
  <c r="G75" i="32"/>
  <c r="H75" i="32"/>
  <c r="I74" i="32"/>
  <c r="J74" i="32"/>
  <c r="G74" i="32"/>
  <c r="H74" i="32"/>
  <c r="I73" i="32"/>
  <c r="J73" i="32"/>
  <c r="G73" i="32"/>
  <c r="H73" i="32"/>
  <c r="I72" i="32"/>
  <c r="J72" i="32"/>
  <c r="G72" i="32"/>
  <c r="H72" i="32"/>
  <c r="I71" i="32"/>
  <c r="J71" i="32"/>
  <c r="G71" i="32"/>
  <c r="H71" i="32"/>
  <c r="I70" i="32"/>
  <c r="J70" i="32"/>
  <c r="G70" i="32"/>
  <c r="H70" i="32"/>
  <c r="I69" i="32"/>
  <c r="J69" i="32"/>
  <c r="G69" i="32"/>
  <c r="H69" i="32"/>
  <c r="I68" i="32"/>
  <c r="J68" i="32"/>
  <c r="G68" i="32"/>
  <c r="H68" i="32"/>
  <c r="I67" i="32"/>
  <c r="J67" i="32"/>
  <c r="G67" i="32"/>
  <c r="H67" i="32"/>
  <c r="I66" i="32"/>
  <c r="J66" i="32"/>
  <c r="G66" i="32"/>
  <c r="H66" i="32"/>
  <c r="I65" i="32"/>
  <c r="J65" i="32"/>
  <c r="G65" i="32"/>
  <c r="H65" i="32"/>
  <c r="I64" i="32"/>
  <c r="J64" i="32"/>
  <c r="G64" i="32"/>
  <c r="H64" i="32"/>
  <c r="I63" i="32"/>
  <c r="J63" i="32"/>
  <c r="G63" i="32"/>
  <c r="H63" i="32"/>
  <c r="I62" i="32"/>
  <c r="J62" i="32"/>
  <c r="G62" i="32"/>
  <c r="H62" i="32"/>
  <c r="I61" i="32"/>
  <c r="J61" i="32"/>
  <c r="G61" i="32"/>
  <c r="H61" i="32"/>
  <c r="I60" i="32"/>
  <c r="J60" i="32"/>
  <c r="G60" i="32"/>
  <c r="H60" i="32"/>
  <c r="I59" i="32"/>
  <c r="J59" i="32"/>
  <c r="G59" i="32"/>
  <c r="H59" i="32"/>
  <c r="I58" i="32"/>
  <c r="J58" i="32"/>
  <c r="G58" i="32"/>
  <c r="H58" i="32"/>
  <c r="I57" i="32"/>
  <c r="J57" i="32"/>
  <c r="G57" i="32"/>
  <c r="H57" i="32"/>
  <c r="I56" i="32"/>
  <c r="J56" i="32"/>
  <c r="G56" i="32"/>
  <c r="H56" i="32"/>
  <c r="I55" i="32"/>
  <c r="J55" i="32"/>
  <c r="G55" i="32"/>
  <c r="H55" i="32"/>
  <c r="I54" i="32"/>
  <c r="J54" i="32"/>
  <c r="G54" i="32"/>
  <c r="H54" i="32"/>
  <c r="I53" i="32"/>
  <c r="J53" i="32"/>
  <c r="G53" i="32"/>
  <c r="H53" i="32"/>
  <c r="I52" i="32"/>
  <c r="J52" i="32"/>
  <c r="G52" i="32"/>
  <c r="H52" i="32"/>
  <c r="I51" i="32"/>
  <c r="J51" i="32"/>
  <c r="G51" i="32"/>
  <c r="H51" i="32"/>
  <c r="I50" i="32"/>
  <c r="J50" i="32"/>
  <c r="G50" i="32"/>
  <c r="H50" i="32"/>
  <c r="I49" i="32"/>
  <c r="J49" i="32"/>
  <c r="G49" i="32"/>
  <c r="H49" i="32"/>
  <c r="I48" i="32"/>
  <c r="J48" i="32"/>
  <c r="G48" i="32"/>
  <c r="H48" i="32"/>
  <c r="I47" i="32"/>
  <c r="J47" i="32"/>
  <c r="G47" i="32"/>
  <c r="H47" i="32"/>
  <c r="I46" i="32"/>
  <c r="J46" i="32"/>
  <c r="G46" i="32"/>
  <c r="H46" i="32"/>
  <c r="I45" i="32"/>
  <c r="J45" i="32"/>
  <c r="G45" i="32"/>
  <c r="H45" i="32"/>
  <c r="I44" i="32"/>
  <c r="J44" i="32"/>
  <c r="G44" i="32"/>
  <c r="H44" i="32"/>
  <c r="I43" i="32"/>
  <c r="J43" i="32"/>
  <c r="G43" i="32"/>
  <c r="H43" i="32"/>
  <c r="I42" i="32"/>
  <c r="J42" i="32"/>
  <c r="G42" i="32"/>
  <c r="H42" i="32"/>
  <c r="I41" i="32"/>
  <c r="J41" i="32"/>
  <c r="G41" i="32"/>
  <c r="H41" i="32"/>
  <c r="I40" i="32"/>
  <c r="J40" i="32"/>
  <c r="G40" i="32"/>
  <c r="H40" i="32"/>
  <c r="I39" i="32"/>
  <c r="J39" i="32"/>
  <c r="G39" i="32"/>
  <c r="H39" i="32"/>
  <c r="I38" i="32"/>
  <c r="J38" i="32"/>
  <c r="G38" i="32"/>
  <c r="H38" i="32"/>
  <c r="I37" i="32"/>
  <c r="J37" i="32"/>
  <c r="G37" i="32"/>
  <c r="H37" i="32"/>
  <c r="I36" i="32"/>
  <c r="J36" i="32"/>
  <c r="G36" i="32"/>
  <c r="H36" i="32"/>
  <c r="I35" i="32"/>
  <c r="J35" i="32"/>
  <c r="G35" i="32"/>
  <c r="H35" i="32"/>
  <c r="I34" i="32"/>
  <c r="J34" i="32"/>
  <c r="H34" i="32"/>
  <c r="I33" i="32"/>
  <c r="J33" i="32"/>
  <c r="G33" i="32"/>
  <c r="H33" i="32"/>
  <c r="I32" i="32"/>
  <c r="J32" i="32"/>
  <c r="G32" i="32"/>
  <c r="H32" i="32"/>
  <c r="I31" i="32"/>
  <c r="J31" i="32"/>
  <c r="G31" i="32"/>
  <c r="H31" i="32"/>
  <c r="I30" i="32"/>
  <c r="J30" i="32"/>
  <c r="G30" i="32"/>
  <c r="H30" i="32"/>
  <c r="I29" i="32"/>
  <c r="J29" i="32"/>
  <c r="G29" i="32"/>
  <c r="H29" i="32"/>
  <c r="I28" i="32"/>
  <c r="J28" i="32"/>
  <c r="G28" i="32"/>
  <c r="H28" i="32"/>
  <c r="I27" i="32"/>
  <c r="J27" i="32"/>
  <c r="G27" i="32"/>
  <c r="H27" i="32"/>
  <c r="I26" i="32"/>
  <c r="J26" i="32"/>
  <c r="G26" i="32"/>
  <c r="H26" i="32"/>
  <c r="I25" i="32"/>
  <c r="J25" i="32"/>
  <c r="G25" i="32"/>
  <c r="H25" i="32"/>
  <c r="I24" i="32"/>
  <c r="J24" i="32"/>
  <c r="G24" i="32"/>
  <c r="H24" i="32"/>
  <c r="I23" i="32"/>
  <c r="J23" i="32"/>
  <c r="G23" i="32"/>
  <c r="H23" i="32"/>
  <c r="I22" i="32"/>
  <c r="J22" i="32"/>
  <c r="G22" i="32"/>
  <c r="H22" i="32"/>
  <c r="I21" i="32"/>
  <c r="J21" i="32"/>
  <c r="G21" i="32"/>
  <c r="H21" i="32"/>
  <c r="I20" i="32"/>
  <c r="J20" i="32"/>
  <c r="G20" i="32"/>
  <c r="H20" i="32"/>
  <c r="I19" i="32"/>
  <c r="J19" i="32"/>
  <c r="G19" i="32"/>
  <c r="H19" i="32"/>
  <c r="I18" i="32"/>
  <c r="J18" i="32"/>
  <c r="G18" i="32"/>
  <c r="H18" i="32"/>
  <c r="I17" i="32"/>
  <c r="J17" i="32"/>
  <c r="G17" i="32"/>
  <c r="H17" i="32"/>
  <c r="I16" i="32"/>
  <c r="J16" i="32"/>
  <c r="G16" i="32"/>
  <c r="H16" i="32"/>
  <c r="I15" i="32"/>
  <c r="J15" i="32"/>
  <c r="G15" i="32"/>
  <c r="H15" i="32"/>
  <c r="I14" i="32"/>
  <c r="J14" i="32"/>
  <c r="G14" i="32"/>
  <c r="H14" i="32"/>
  <c r="I13" i="32"/>
  <c r="J13" i="32"/>
  <c r="G13" i="32"/>
  <c r="H13" i="32"/>
  <c r="I12" i="32"/>
  <c r="J12" i="32"/>
  <c r="G12" i="32"/>
  <c r="H12" i="32"/>
  <c r="I11" i="32"/>
  <c r="J11" i="32"/>
  <c r="G11" i="32"/>
  <c r="H11" i="32"/>
  <c r="I10" i="32"/>
  <c r="J10" i="32"/>
  <c r="G10" i="32"/>
  <c r="H10" i="32"/>
  <c r="I9" i="32"/>
  <c r="J9" i="32"/>
  <c r="G9" i="32"/>
  <c r="H9" i="32"/>
  <c r="I8" i="32"/>
  <c r="J8" i="32"/>
  <c r="G8" i="32"/>
  <c r="H8" i="32"/>
  <c r="I7" i="32"/>
  <c r="J7" i="32"/>
  <c r="G7" i="32"/>
  <c r="H7" i="32"/>
  <c r="I6" i="32"/>
  <c r="J6" i="32"/>
  <c r="G6" i="32"/>
  <c r="H6" i="32"/>
  <c r="H5" i="32"/>
  <c r="H4" i="32"/>
  <c r="I103" i="29"/>
  <c r="J103" i="29"/>
  <c r="G103" i="29"/>
  <c r="H103" i="29"/>
  <c r="I102" i="29"/>
  <c r="J102" i="29"/>
  <c r="G102" i="29"/>
  <c r="H102" i="29"/>
  <c r="I101" i="29"/>
  <c r="J101" i="29"/>
  <c r="G101" i="29"/>
  <c r="H101" i="29"/>
  <c r="I100" i="29"/>
  <c r="J100" i="29"/>
  <c r="G100" i="29"/>
  <c r="H100" i="29"/>
  <c r="I99" i="29"/>
  <c r="J99" i="29"/>
  <c r="G99" i="29"/>
  <c r="H99" i="29"/>
  <c r="I98" i="29"/>
  <c r="J98" i="29"/>
  <c r="G98" i="29"/>
  <c r="H98" i="29"/>
  <c r="I97" i="29"/>
  <c r="J97" i="29"/>
  <c r="G97" i="29"/>
  <c r="H97" i="29"/>
  <c r="I96" i="29"/>
  <c r="J96" i="29"/>
  <c r="G96" i="29"/>
  <c r="H96" i="29"/>
  <c r="I95" i="29"/>
  <c r="J95" i="29"/>
  <c r="G95" i="29"/>
  <c r="H95" i="29"/>
  <c r="I94" i="29"/>
  <c r="J94" i="29"/>
  <c r="G94" i="29"/>
  <c r="H94" i="29"/>
  <c r="I93" i="29"/>
  <c r="J93" i="29"/>
  <c r="G93" i="29"/>
  <c r="H93" i="29"/>
  <c r="I92" i="29"/>
  <c r="J92" i="29"/>
  <c r="G92" i="29"/>
  <c r="H92" i="29"/>
  <c r="I91" i="29"/>
  <c r="J91" i="29"/>
  <c r="G91" i="29"/>
  <c r="H91" i="29"/>
  <c r="I90" i="29"/>
  <c r="J90" i="29"/>
  <c r="G90" i="29"/>
  <c r="H90" i="29"/>
  <c r="I89" i="29"/>
  <c r="J89" i="29"/>
  <c r="G89" i="29"/>
  <c r="H89" i="29"/>
  <c r="I88" i="29"/>
  <c r="J88" i="29"/>
  <c r="G88" i="29"/>
  <c r="H88" i="29"/>
  <c r="I87" i="29"/>
  <c r="J87" i="29"/>
  <c r="G87" i="29"/>
  <c r="H87" i="29"/>
  <c r="I86" i="29"/>
  <c r="J86" i="29"/>
  <c r="G86" i="29"/>
  <c r="H86" i="29"/>
  <c r="I85" i="29"/>
  <c r="J85" i="29"/>
  <c r="G85" i="29"/>
  <c r="H85" i="29"/>
  <c r="I84" i="29"/>
  <c r="J84" i="29"/>
  <c r="G84" i="29"/>
  <c r="H84" i="29"/>
  <c r="I83" i="29"/>
  <c r="J83" i="29"/>
  <c r="G83" i="29"/>
  <c r="H83" i="29"/>
  <c r="I82" i="29"/>
  <c r="J82" i="29"/>
  <c r="G82" i="29"/>
  <c r="H82" i="29"/>
  <c r="I81" i="29"/>
  <c r="J81" i="29"/>
  <c r="H81" i="29"/>
  <c r="I80" i="29"/>
  <c r="J80" i="29"/>
  <c r="G80" i="29"/>
  <c r="H80" i="29"/>
  <c r="I79" i="29"/>
  <c r="J79" i="29"/>
  <c r="G79" i="29"/>
  <c r="H79" i="29"/>
  <c r="I78" i="29"/>
  <c r="J78" i="29"/>
  <c r="G78" i="29"/>
  <c r="H78" i="29"/>
  <c r="I77" i="29"/>
  <c r="J77" i="29"/>
  <c r="G77" i="29"/>
  <c r="H77" i="29"/>
  <c r="I76" i="29"/>
  <c r="J76" i="29"/>
  <c r="G76" i="29"/>
  <c r="H76" i="29"/>
  <c r="I75" i="29"/>
  <c r="J75" i="29"/>
  <c r="G75" i="29"/>
  <c r="H75" i="29"/>
  <c r="I74" i="29"/>
  <c r="J74" i="29"/>
  <c r="G74" i="29"/>
  <c r="H74" i="29"/>
  <c r="I73" i="29"/>
  <c r="J73" i="29"/>
  <c r="G73" i="29"/>
  <c r="H73" i="29"/>
  <c r="I72" i="29"/>
  <c r="J72" i="29"/>
  <c r="G72" i="29"/>
  <c r="H72" i="29"/>
  <c r="I71" i="29"/>
  <c r="J71" i="29"/>
  <c r="G71" i="29"/>
  <c r="H71" i="29"/>
  <c r="I70" i="29"/>
  <c r="J70" i="29"/>
  <c r="G70" i="29"/>
  <c r="H70" i="29"/>
  <c r="I69" i="29"/>
  <c r="J69" i="29"/>
  <c r="G69" i="29"/>
  <c r="H69" i="29"/>
  <c r="I68" i="29"/>
  <c r="J68" i="29"/>
  <c r="G68" i="29"/>
  <c r="H68" i="29"/>
  <c r="I67" i="29"/>
  <c r="J67" i="29"/>
  <c r="G67" i="29"/>
  <c r="H67" i="29"/>
  <c r="I66" i="29"/>
  <c r="J66" i="29"/>
  <c r="G66" i="29"/>
  <c r="H66" i="29"/>
  <c r="I65" i="29"/>
  <c r="J65" i="29"/>
  <c r="G65" i="29"/>
  <c r="H65" i="29"/>
  <c r="I64" i="29"/>
  <c r="J64" i="29"/>
  <c r="G64" i="29"/>
  <c r="H64" i="29"/>
  <c r="I63" i="29"/>
  <c r="J63" i="29"/>
  <c r="G63" i="29"/>
  <c r="H63" i="29"/>
  <c r="I62" i="29"/>
  <c r="J62" i="29"/>
  <c r="G62" i="29"/>
  <c r="H62" i="29"/>
  <c r="I61" i="29"/>
  <c r="J61" i="29"/>
  <c r="G61" i="29"/>
  <c r="H61" i="29"/>
  <c r="I60" i="29"/>
  <c r="J60" i="29"/>
  <c r="G60" i="29"/>
  <c r="H60" i="29"/>
  <c r="I59" i="29"/>
  <c r="J59" i="29"/>
  <c r="G59" i="29"/>
  <c r="H59" i="29"/>
  <c r="I58" i="29"/>
  <c r="J58" i="29"/>
  <c r="G58" i="29"/>
  <c r="H58" i="29"/>
  <c r="I57" i="29"/>
  <c r="J57" i="29"/>
  <c r="G57" i="29"/>
  <c r="H57" i="29"/>
  <c r="I56" i="29"/>
  <c r="J56" i="29"/>
  <c r="G56" i="29"/>
  <c r="H56" i="29"/>
  <c r="I55" i="29"/>
  <c r="J55" i="29"/>
  <c r="G55" i="29"/>
  <c r="H55" i="29"/>
  <c r="I54" i="29"/>
  <c r="J54" i="29"/>
  <c r="G54" i="29"/>
  <c r="H54" i="29"/>
  <c r="I53" i="29"/>
  <c r="J53" i="29"/>
  <c r="G53" i="29"/>
  <c r="H53" i="29"/>
  <c r="I52" i="29"/>
  <c r="J52" i="29"/>
  <c r="G52" i="29"/>
  <c r="H52" i="29"/>
  <c r="I51" i="29"/>
  <c r="J51" i="29"/>
  <c r="G51" i="29"/>
  <c r="H51" i="29"/>
  <c r="I50" i="29"/>
  <c r="J50" i="29"/>
  <c r="G50" i="29"/>
  <c r="H50" i="29"/>
  <c r="I49" i="29"/>
  <c r="J49" i="29"/>
  <c r="G49" i="29"/>
  <c r="H49" i="29"/>
  <c r="I48" i="29"/>
  <c r="J48" i="29"/>
  <c r="G48" i="29"/>
  <c r="H48" i="29"/>
  <c r="I47" i="29"/>
  <c r="J47" i="29"/>
  <c r="G47" i="29"/>
  <c r="H47" i="29"/>
  <c r="I46" i="29"/>
  <c r="J46" i="29"/>
  <c r="G46" i="29"/>
  <c r="H46" i="29"/>
  <c r="I45" i="29"/>
  <c r="J45" i="29"/>
  <c r="G45" i="29"/>
  <c r="H45" i="29"/>
  <c r="I44" i="29"/>
  <c r="J44" i="29"/>
  <c r="G44" i="29"/>
  <c r="H44" i="29"/>
  <c r="I43" i="29"/>
  <c r="J43" i="29"/>
  <c r="G43" i="29"/>
  <c r="H43" i="29"/>
  <c r="I42" i="29"/>
  <c r="J42" i="29"/>
  <c r="G42" i="29"/>
  <c r="H42" i="29"/>
  <c r="I41" i="29"/>
  <c r="J41" i="29"/>
  <c r="G41" i="29"/>
  <c r="H41" i="29"/>
  <c r="I40" i="29"/>
  <c r="J40" i="29"/>
  <c r="G40" i="29"/>
  <c r="H40" i="29"/>
  <c r="I39" i="29"/>
  <c r="J39" i="29"/>
  <c r="G39" i="29"/>
  <c r="H39" i="29"/>
  <c r="I38" i="29"/>
  <c r="J38" i="29"/>
  <c r="G38" i="29"/>
  <c r="H38" i="29"/>
  <c r="I37" i="29"/>
  <c r="J37" i="29"/>
  <c r="G37" i="29"/>
  <c r="H37" i="29"/>
  <c r="I36" i="29"/>
  <c r="J36" i="29"/>
  <c r="G36" i="29"/>
  <c r="H36" i="29"/>
  <c r="I35" i="29"/>
  <c r="J35" i="29"/>
  <c r="G35" i="29"/>
  <c r="H35" i="29"/>
  <c r="I34" i="29"/>
  <c r="J34" i="29"/>
  <c r="G34" i="29"/>
  <c r="H34" i="29"/>
  <c r="I33" i="29"/>
  <c r="J33" i="29"/>
  <c r="G33" i="29"/>
  <c r="H33" i="29"/>
  <c r="I32" i="29"/>
  <c r="J32" i="29"/>
  <c r="G32" i="29"/>
  <c r="H32" i="29"/>
  <c r="I31" i="29"/>
  <c r="J31" i="29"/>
  <c r="G31" i="29"/>
  <c r="H31" i="29"/>
  <c r="I30" i="29"/>
  <c r="J30" i="29"/>
  <c r="G30" i="29"/>
  <c r="H30" i="29"/>
  <c r="I29" i="29"/>
  <c r="J29" i="29"/>
  <c r="G29" i="29"/>
  <c r="H29" i="29"/>
  <c r="I28" i="29"/>
  <c r="J28" i="29"/>
  <c r="G28" i="29"/>
  <c r="H28" i="29"/>
  <c r="I27" i="29"/>
  <c r="J27" i="29"/>
  <c r="G27" i="29"/>
  <c r="H27" i="29"/>
  <c r="I26" i="29"/>
  <c r="J26" i="29"/>
  <c r="G26" i="29"/>
  <c r="H26" i="29"/>
  <c r="I25" i="29"/>
  <c r="J25" i="29"/>
  <c r="G25" i="29"/>
  <c r="H25" i="29"/>
  <c r="I24" i="29"/>
  <c r="J24" i="29"/>
  <c r="G24" i="29"/>
  <c r="H24" i="29"/>
  <c r="I23" i="29"/>
  <c r="J23" i="29"/>
  <c r="G23" i="29"/>
  <c r="H23" i="29"/>
  <c r="I22" i="29"/>
  <c r="J22" i="29"/>
  <c r="G22" i="29"/>
  <c r="H22" i="29"/>
  <c r="I21" i="29"/>
  <c r="J21" i="29"/>
  <c r="G21" i="29"/>
  <c r="H21" i="29"/>
  <c r="I20" i="29"/>
  <c r="J20" i="29"/>
  <c r="G20" i="29"/>
  <c r="H20" i="29"/>
  <c r="I19" i="29"/>
  <c r="J19" i="29"/>
  <c r="G19" i="29"/>
  <c r="H19" i="29"/>
  <c r="I18" i="29"/>
  <c r="J18" i="29"/>
  <c r="G18" i="29"/>
  <c r="H18" i="29"/>
  <c r="I17" i="29"/>
  <c r="J17" i="29"/>
  <c r="G17" i="29"/>
  <c r="H17" i="29"/>
  <c r="I16" i="29"/>
  <c r="J16" i="29"/>
  <c r="G16" i="29"/>
  <c r="H16" i="29"/>
  <c r="I15" i="29"/>
  <c r="J15" i="29"/>
  <c r="G15" i="29"/>
  <c r="H15" i="29"/>
  <c r="I14" i="29"/>
  <c r="J14" i="29"/>
  <c r="G14" i="29"/>
  <c r="H14" i="29"/>
  <c r="I13" i="29"/>
  <c r="J13" i="29"/>
  <c r="G13" i="29"/>
  <c r="H13" i="29"/>
  <c r="I12" i="29"/>
  <c r="J12" i="29"/>
  <c r="G12" i="29"/>
  <c r="H12" i="29"/>
  <c r="I11" i="29"/>
  <c r="J11" i="29"/>
  <c r="G11" i="29"/>
  <c r="H11" i="29"/>
  <c r="I10" i="29"/>
  <c r="J10" i="29"/>
  <c r="G10" i="29"/>
  <c r="H10" i="29"/>
  <c r="I9" i="29"/>
  <c r="J9" i="29"/>
  <c r="G9" i="29"/>
  <c r="H9" i="29"/>
  <c r="I8" i="29"/>
  <c r="J8" i="29"/>
  <c r="G8" i="29"/>
  <c r="H8" i="29"/>
  <c r="I7" i="29"/>
  <c r="J7" i="29"/>
  <c r="G7" i="29"/>
  <c r="H7" i="29"/>
  <c r="I6" i="29"/>
  <c r="J6" i="29"/>
  <c r="G6" i="29"/>
  <c r="H6" i="29"/>
  <c r="H5" i="29"/>
  <c r="H4" i="29"/>
  <c r="M101" i="22"/>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B121" i="48"/>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c r="ME105" i="47"/>
  <c r="MC96" i="47"/>
  <c r="MF96" i="47"/>
  <c r="MC92" i="47"/>
  <c r="MC94" i="47"/>
  <c r="MD94" i="47"/>
  <c r="ME94" i="47"/>
  <c r="MC103" i="47"/>
  <c r="MF103" i="47"/>
  <c r="MC98" i="47"/>
  <c r="LP105" i="47"/>
  <c r="LQ105" i="47"/>
  <c r="LR105" i="47"/>
  <c r="LP96" i="47"/>
  <c r="LP92" i="47"/>
  <c r="LP94" i="47"/>
  <c r="LP103" i="47"/>
  <c r="LQ103" i="47"/>
  <c r="LR103" i="47"/>
  <c r="LP98" i="47"/>
  <c r="LS98" i="47"/>
  <c r="LC105" i="47"/>
  <c r="LC96" i="47"/>
  <c r="LC92" i="47"/>
  <c r="LD92" i="47"/>
  <c r="LE92" i="47"/>
  <c r="LC94" i="47"/>
  <c r="LF94" i="47"/>
  <c r="LC103" i="47"/>
  <c r="LF103" i="47"/>
  <c r="LC98" i="47"/>
  <c r="KP105" i="47"/>
  <c r="KP96" i="47"/>
  <c r="KQ96" i="47"/>
  <c r="KR96" i="47"/>
  <c r="KP92" i="47"/>
  <c r="KQ92" i="47"/>
  <c r="KR92" i="47"/>
  <c r="KP94" i="47"/>
  <c r="KP103" i="47"/>
  <c r="KP98" i="47"/>
  <c r="KS98" i="47"/>
  <c r="KC105" i="47"/>
  <c r="KC96" i="47"/>
  <c r="KC92" i="47"/>
  <c r="KF92" i="47"/>
  <c r="KC94" i="47"/>
  <c r="KD94" i="47"/>
  <c r="KE94" i="47"/>
  <c r="KC103" i="47"/>
  <c r="KC98" i="47"/>
  <c r="KD98" i="47"/>
  <c r="KE98" i="47"/>
  <c r="JP105" i="47"/>
  <c r="JS105" i="47"/>
  <c r="JP96" i="47"/>
  <c r="JP92" i="47"/>
  <c r="JQ92" i="47"/>
  <c r="JR92" i="47"/>
  <c r="JP94" i="47"/>
  <c r="JS94" i="47"/>
  <c r="JP103" i="47"/>
  <c r="JP98" i="47"/>
  <c r="JC105" i="47"/>
  <c r="JD105" i="47"/>
  <c r="JE105" i="47"/>
  <c r="JC96" i="47"/>
  <c r="JC92" i="47"/>
  <c r="JC94" i="47"/>
  <c r="JF94" i="47"/>
  <c r="JC103" i="47"/>
  <c r="JD103" i="47"/>
  <c r="JE103" i="47"/>
  <c r="JC98" i="47"/>
  <c r="IP105" i="47"/>
  <c r="IS105" i="47"/>
  <c r="IP96" i="47"/>
  <c r="IP92" i="47"/>
  <c r="IS92" i="47"/>
  <c r="IP94" i="47"/>
  <c r="IS94" i="47"/>
  <c r="IP103" i="47"/>
  <c r="IS103" i="47"/>
  <c r="IP98" i="47"/>
  <c r="IC105" i="47"/>
  <c r="IC96" i="47"/>
  <c r="IF96" i="47"/>
  <c r="IC92" i="47"/>
  <c r="IC94" i="47"/>
  <c r="IC103" i="47"/>
  <c r="IF103" i="47"/>
  <c r="IC98" i="47"/>
  <c r="HP105" i="47"/>
  <c r="HP96" i="47"/>
  <c r="HS96" i="47"/>
  <c r="HP92" i="47"/>
  <c r="HP94" i="47"/>
  <c r="HQ94" i="47"/>
  <c r="HR94" i="47"/>
  <c r="HP103" i="47"/>
  <c r="HS103" i="47"/>
  <c r="HP98" i="47"/>
  <c r="HQ98" i="47"/>
  <c r="HR98" i="47"/>
  <c r="HC105" i="47"/>
  <c r="HF105" i="47"/>
  <c r="HC96" i="47"/>
  <c r="HD96" i="47"/>
  <c r="HE96" i="47"/>
  <c r="HC92" i="47"/>
  <c r="HD92" i="47"/>
  <c r="HE92" i="47"/>
  <c r="HC94" i="47"/>
  <c r="HC103" i="47"/>
  <c r="HC98" i="47"/>
  <c r="HD98" i="47"/>
  <c r="HE98" i="47"/>
  <c r="GP105" i="47"/>
  <c r="GQ105" i="47"/>
  <c r="GR105" i="47"/>
  <c r="GP96" i="47"/>
  <c r="GQ96" i="47"/>
  <c r="GR96" i="47"/>
  <c r="GP92" i="47"/>
  <c r="GS92" i="47"/>
  <c r="GP94" i="47"/>
  <c r="GQ94" i="47"/>
  <c r="GR94" i="47"/>
  <c r="GP103" i="47"/>
  <c r="GS103" i="47"/>
  <c r="GP98" i="47"/>
  <c r="GS98" i="47"/>
  <c r="GC105" i="47"/>
  <c r="GF105" i="47"/>
  <c r="GC96" i="47"/>
  <c r="GD96" i="47"/>
  <c r="GE96" i="47"/>
  <c r="GC92" i="47"/>
  <c r="GD92" i="47"/>
  <c r="GE92" i="47"/>
  <c r="GC94" i="47"/>
  <c r="GF94" i="47"/>
  <c r="GC103" i="47"/>
  <c r="GF103" i="47"/>
  <c r="GC98" i="47"/>
  <c r="FP105" i="47"/>
  <c r="FP96" i="47"/>
  <c r="FQ96" i="47"/>
  <c r="FR96" i="47"/>
  <c r="FP92" i="47"/>
  <c r="FQ92" i="47"/>
  <c r="FR92" i="47"/>
  <c r="FP94" i="47"/>
  <c r="FS94" i="47"/>
  <c r="FP103" i="47"/>
  <c r="FP98" i="47"/>
  <c r="FQ98" i="47"/>
  <c r="FR98" i="47"/>
  <c r="FC105" i="47"/>
  <c r="FD105" i="47"/>
  <c r="FE105" i="47"/>
  <c r="FC96" i="47"/>
  <c r="FF96" i="47"/>
  <c r="FC92" i="47"/>
  <c r="FF92" i="47"/>
  <c r="FC94" i="47"/>
  <c r="FC103" i="47"/>
  <c r="FD103" i="47"/>
  <c r="FE103" i="47"/>
  <c r="FC98" i="47"/>
  <c r="EP105" i="47"/>
  <c r="ES105" i="47"/>
  <c r="EP96" i="47"/>
  <c r="EQ96" i="47"/>
  <c r="ER96" i="47"/>
  <c r="EP92" i="47"/>
  <c r="EP94" i="47"/>
  <c r="EP103" i="47"/>
  <c r="ES103" i="47"/>
  <c r="EP98" i="47"/>
  <c r="EQ98" i="47"/>
  <c r="ER98" i="47"/>
  <c r="EC105" i="47"/>
  <c r="EC96" i="47"/>
  <c r="ED96" i="47"/>
  <c r="EE96" i="47"/>
  <c r="EC92" i="47"/>
  <c r="EF92" i="47"/>
  <c r="EC94" i="47"/>
  <c r="EF94" i="47"/>
  <c r="EC103" i="47"/>
  <c r="EC98" i="47"/>
  <c r="DP105" i="47"/>
  <c r="DS105" i="47"/>
  <c r="DP96" i="47"/>
  <c r="DS96" i="47"/>
  <c r="DP92" i="47"/>
  <c r="DS92" i="47"/>
  <c r="DP94" i="47"/>
  <c r="DP103" i="47"/>
  <c r="DS103" i="47"/>
  <c r="DP98" i="47"/>
  <c r="DQ98" i="47"/>
  <c r="DR98" i="47"/>
  <c r="DC105" i="47"/>
  <c r="DD105" i="47"/>
  <c r="DE105" i="47"/>
  <c r="DC96" i="47"/>
  <c r="DC92" i="47"/>
  <c r="DF92" i="47"/>
  <c r="DC94" i="47"/>
  <c r="DF94" i="47"/>
  <c r="DC103" i="47"/>
  <c r="DF103" i="47"/>
  <c r="DC98" i="47"/>
  <c r="DD98" i="47"/>
  <c r="DE98" i="47"/>
  <c r="CP105" i="47"/>
  <c r="CS105" i="47"/>
  <c r="CP96" i="47"/>
  <c r="CQ96" i="47"/>
  <c r="CR96" i="47"/>
  <c r="CP92" i="47"/>
  <c r="CQ92" i="47"/>
  <c r="CR92" i="47"/>
  <c r="CP94" i="47"/>
  <c r="CQ94" i="47"/>
  <c r="CR94" i="47"/>
  <c r="CP103" i="47"/>
  <c r="CQ103" i="47"/>
  <c r="CR103" i="47"/>
  <c r="CP98" i="47"/>
  <c r="CS98" i="47"/>
  <c r="CC105" i="47"/>
  <c r="CD105" i="47"/>
  <c r="CE105" i="47"/>
  <c r="CC96" i="47"/>
  <c r="CC92" i="47"/>
  <c r="CD92" i="47"/>
  <c r="CE92" i="47"/>
  <c r="CC94" i="47"/>
  <c r="CD94" i="47"/>
  <c r="CE94" i="47"/>
  <c r="CC103" i="47"/>
  <c r="CF103" i="47"/>
  <c r="CC98" i="47"/>
  <c r="CD98" i="47"/>
  <c r="CE98" i="47"/>
  <c r="BP105" i="47"/>
  <c r="BQ105" i="47"/>
  <c r="BR105" i="47"/>
  <c r="BP96" i="47"/>
  <c r="BS96" i="47"/>
  <c r="BP92" i="47"/>
  <c r="BS92" i="47"/>
  <c r="BP94" i="47"/>
  <c r="BQ94" i="47"/>
  <c r="BR94" i="47"/>
  <c r="BP103" i="47"/>
  <c r="BS103" i="47"/>
  <c r="BP98" i="47"/>
  <c r="BS98" i="47"/>
  <c r="BC105" i="47"/>
  <c r="BC96" i="47"/>
  <c r="BD96" i="47"/>
  <c r="BE96" i="47"/>
  <c r="BC92" i="47"/>
  <c r="BF92" i="47"/>
  <c r="BC94" i="47"/>
  <c r="BD94" i="47"/>
  <c r="BE94" i="47"/>
  <c r="BC103" i="47"/>
  <c r="BF103" i="47"/>
  <c r="BC98" i="47"/>
  <c r="AP105" i="47"/>
  <c r="AQ105" i="47"/>
  <c r="AR105" i="47"/>
  <c r="AP96" i="47"/>
  <c r="AQ96" i="47"/>
  <c r="AR96" i="47"/>
  <c r="AP92" i="47"/>
  <c r="AS92" i="47"/>
  <c r="AP94" i="47"/>
  <c r="AS94" i="47"/>
  <c r="AP103" i="47"/>
  <c r="AS103" i="47"/>
  <c r="AP98" i="47"/>
  <c r="AQ98" i="47"/>
  <c r="AR98" i="47"/>
  <c r="AC92" i="47"/>
  <c r="AC98" i="47"/>
  <c r="AD98" i="47"/>
  <c r="AE98" i="47"/>
  <c r="AC105" i="47"/>
  <c r="AF105" i="47"/>
  <c r="AC94" i="47"/>
  <c r="AF94" i="47"/>
  <c r="AC103" i="47"/>
  <c r="AF103" i="47"/>
  <c r="O105" i="47"/>
  <c r="O104" i="47"/>
  <c r="O103" i="47"/>
  <c r="O102" i="47"/>
  <c r="O101" i="47"/>
  <c r="O100" i="47"/>
  <c r="O99" i="47"/>
  <c r="O98" i="47"/>
  <c r="O97" i="47"/>
  <c r="O96" i="47"/>
  <c r="O95" i="47"/>
  <c r="O94" i="47"/>
  <c r="O93" i="47"/>
  <c r="O92" i="47"/>
  <c r="O91" i="47"/>
  <c r="O90" i="47"/>
  <c r="MB124" i="47"/>
  <c r="LO124" i="47"/>
  <c r="LQ124" i="47"/>
  <c r="LR124" i="47"/>
  <c r="LB124" i="47"/>
  <c r="LD124" i="47"/>
  <c r="LE124" i="47"/>
  <c r="KO124" i="47"/>
  <c r="KS124" i="47"/>
  <c r="KB124" i="47"/>
  <c r="JO124" i="47"/>
  <c r="JQ124" i="47"/>
  <c r="JR124" i="47"/>
  <c r="JB124" i="47"/>
  <c r="IO124" i="47"/>
  <c r="IS124" i="47"/>
  <c r="IB124" i="47"/>
  <c r="HO124" i="47"/>
  <c r="HB124" i="47"/>
  <c r="HF124" i="47"/>
  <c r="GO124" i="47"/>
  <c r="GS124" i="47"/>
  <c r="GB124" i="47"/>
  <c r="FO124" i="47"/>
  <c r="FS124" i="47"/>
  <c r="FB124" i="47"/>
  <c r="FF124" i="47"/>
  <c r="EO124" i="47"/>
  <c r="EB124" i="47"/>
  <c r="EF124" i="47"/>
  <c r="DO124" i="47"/>
  <c r="DQ124" i="47"/>
  <c r="DR124" i="47"/>
  <c r="DB124" i="47"/>
  <c r="DF124" i="47"/>
  <c r="CO124" i="47"/>
  <c r="CS124" i="47"/>
  <c r="CB124" i="47"/>
  <c r="CD124" i="47"/>
  <c r="CE124" i="47"/>
  <c r="BO124" i="47"/>
  <c r="BS124" i="47"/>
  <c r="BB124" i="47"/>
  <c r="BD124" i="47"/>
  <c r="BE124" i="47"/>
  <c r="AO124" i="47"/>
  <c r="AS124" i="47"/>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c r="P103" i="47"/>
  <c r="Q103" i="47"/>
  <c r="R103" i="47"/>
  <c r="P105" i="47"/>
  <c r="S105" i="47"/>
  <c r="P92" i="47"/>
  <c r="S92" i="47"/>
  <c r="M108" i="22"/>
  <c r="M76" i="22"/>
  <c r="M107" i="22"/>
  <c r="M75" i="22"/>
  <c r="M106" i="22"/>
  <c r="M74" i="22"/>
  <c r="M105" i="22"/>
  <c r="M73" i="22"/>
  <c r="M104" i="22"/>
  <c r="M72" i="22"/>
  <c r="M103" i="22"/>
  <c r="M71" i="22"/>
  <c r="M102" i="22"/>
  <c r="M70"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c r="R84" i="33"/>
  <c r="N68" i="33"/>
  <c r="E115" i="18"/>
  <c r="H105" i="22"/>
  <c r="O68" i="33"/>
  <c r="H84" i="33"/>
  <c r="H68" i="33"/>
  <c r="F84" i="33"/>
  <c r="B68" i="33"/>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3" i="19"/>
  <c r="E14" i="19"/>
  <c r="E15" i="19"/>
  <c r="B65" i="48"/>
  <c r="E4" i="19"/>
  <c r="T111" i="28"/>
  <c r="T112" i="28"/>
  <c r="T113" i="28"/>
  <c r="T119" i="28"/>
  <c r="J91" i="28"/>
  <c r="L108" i="28"/>
  <c r="L107" i="28"/>
  <c r="L90" i="28"/>
  <c r="J107" i="28"/>
  <c r="J90" i="28"/>
  <c r="L91" i="28"/>
  <c r="P96" i="47"/>
  <c r="AC96" i="47"/>
  <c r="AF96" i="47"/>
  <c r="T92" i="28"/>
  <c r="T93" i="28"/>
  <c r="T114" i="28"/>
  <c r="T108" i="28"/>
  <c r="T109" i="28"/>
  <c r="T110" i="28"/>
  <c r="T94" i="28"/>
  <c r="T97" i="28"/>
  <c r="T90" i="28"/>
  <c r="T91" i="28"/>
  <c r="T107" i="28"/>
  <c r="T116" i="28"/>
  <c r="T117" i="28"/>
  <c r="T124" i="28"/>
  <c r="T121" i="28"/>
  <c r="T122" i="28"/>
  <c r="O124" i="47"/>
  <c r="Q124" i="47"/>
  <c r="R124" i="47"/>
  <c r="O126" i="28"/>
  <c r="AB124" i="47"/>
  <c r="AD124" i="47"/>
  <c r="AE124" i="47"/>
  <c r="B75" i="48"/>
  <c r="C130" i="48"/>
  <c r="E178" i="18"/>
  <c r="J5" i="44"/>
  <c r="E233" i="18"/>
  <c r="E111" i="18"/>
  <c r="H94" i="22"/>
  <c r="E263" i="18"/>
  <c r="E262" i="18"/>
  <c r="M3" i="48"/>
  <c r="E183" i="18"/>
  <c r="E149" i="18"/>
  <c r="E173" i="18"/>
  <c r="B145" i="48"/>
  <c r="E243" i="18"/>
  <c r="H8" i="30"/>
  <c r="E219" i="18"/>
  <c r="MB127" i="47"/>
  <c r="E118" i="18"/>
  <c r="H57" i="22"/>
  <c r="E169" i="18"/>
  <c r="E207" i="18"/>
  <c r="E175" i="18"/>
  <c r="AR52" i="33"/>
  <c r="E247" i="18"/>
  <c r="E213" i="18"/>
  <c r="LG4" i="47"/>
  <c r="E160" i="18"/>
  <c r="E189" i="18"/>
  <c r="E201" i="18"/>
  <c r="E260" i="18"/>
  <c r="B3" i="48"/>
  <c r="E143" i="18"/>
  <c r="E128" i="18"/>
  <c r="C2" i="44"/>
  <c r="E124" i="18"/>
  <c r="A1" i="19"/>
  <c r="E221" i="18"/>
  <c r="E172" i="18"/>
  <c r="E215" i="18"/>
  <c r="E236" i="18"/>
  <c r="H4" i="30"/>
  <c r="E109" i="18"/>
  <c r="E110" i="18"/>
  <c r="E222" i="18"/>
  <c r="B3" i="30"/>
  <c r="E229" i="18"/>
  <c r="B8" i="30"/>
  <c r="E230" i="18"/>
  <c r="B135" i="28"/>
  <c r="E235" i="18"/>
  <c r="B9" i="30"/>
  <c r="E204" i="18"/>
  <c r="B1" i="28"/>
  <c r="E209" i="18"/>
  <c r="E259" i="18"/>
  <c r="B137" i="48"/>
  <c r="E177" i="18"/>
  <c r="C5" i="44"/>
  <c r="E146" i="18"/>
  <c r="E151" i="18"/>
  <c r="E193" i="18"/>
  <c r="B3" i="3"/>
  <c r="E244" i="18"/>
  <c r="B136" i="47"/>
  <c r="E205" i="18"/>
  <c r="B3" i="47"/>
  <c r="E113" i="18"/>
  <c r="E171" i="18"/>
  <c r="K109" i="22"/>
  <c r="R77" i="33"/>
  <c r="E231" i="18"/>
  <c r="B138" i="28"/>
  <c r="E196" i="18"/>
  <c r="L1" i="18"/>
  <c r="E206" i="18"/>
  <c r="F4" i="28"/>
  <c r="E234" i="18"/>
  <c r="E254" i="18"/>
  <c r="D3" i="48"/>
  <c r="E180" i="18"/>
  <c r="E156" i="18"/>
  <c r="E154" i="18"/>
  <c r="E212" i="18"/>
  <c r="E191" i="18"/>
  <c r="E245" i="18"/>
  <c r="E162" i="18"/>
  <c r="E104" i="18"/>
  <c r="E227" i="18"/>
  <c r="B7" i="30"/>
  <c r="E135" i="18"/>
  <c r="E256" i="18"/>
  <c r="B93" i="48"/>
  <c r="E150" i="18"/>
  <c r="E232" i="18"/>
  <c r="B139" i="47"/>
  <c r="E141" i="18"/>
  <c r="R96" i="33"/>
  <c r="E211" i="18"/>
  <c r="E194" i="18"/>
  <c r="G1" i="19"/>
  <c r="E228" i="18"/>
  <c r="B6" i="30"/>
  <c r="E163" i="18"/>
  <c r="E261" i="18"/>
  <c r="M2" i="48"/>
  <c r="E220" i="18"/>
  <c r="B127" i="28"/>
  <c r="E241" i="18"/>
  <c r="H20" i="30"/>
  <c r="E126" i="18"/>
  <c r="F1" i="18"/>
  <c r="E217" i="18"/>
  <c r="B120" i="28"/>
  <c r="E125" i="18"/>
  <c r="B1" i="22"/>
  <c r="E225" i="18"/>
  <c r="B4" i="30"/>
  <c r="E257" i="18"/>
  <c r="B116" i="48"/>
  <c r="E251" i="18"/>
  <c r="F3" i="48"/>
  <c r="E214" i="18"/>
  <c r="E161" i="18"/>
  <c r="E210" i="18"/>
  <c r="IC127" i="47"/>
  <c r="E252" i="18"/>
  <c r="G3" i="48"/>
  <c r="E181" i="18"/>
  <c r="AN31" i="33"/>
  <c r="E142" i="18"/>
  <c r="E237" i="18"/>
  <c r="O4" i="30"/>
  <c r="E105" i="18"/>
  <c r="E195" i="18"/>
  <c r="E216" i="18"/>
  <c r="B115" i="28"/>
  <c r="E107" i="18"/>
  <c r="H46" i="22"/>
  <c r="I55" i="48"/>
  <c r="E167" i="18"/>
  <c r="E242" i="18"/>
  <c r="H14" i="30"/>
  <c r="E208" i="18"/>
  <c r="E250" i="18"/>
  <c r="B1" i="48"/>
  <c r="E121" i="18"/>
  <c r="E1" i="33"/>
  <c r="E114" i="18"/>
  <c r="E218" i="18"/>
  <c r="B123" i="28"/>
  <c r="E176" i="18"/>
  <c r="C3" i="29"/>
  <c r="E106" i="18"/>
  <c r="H22" i="22"/>
  <c r="E155" i="18"/>
  <c r="E239" i="18"/>
  <c r="H6" i="30"/>
  <c r="E144" i="18"/>
  <c r="B2" i="3"/>
  <c r="E246" i="18"/>
  <c r="E153" i="18"/>
  <c r="E134" i="18"/>
  <c r="F2" i="33"/>
  <c r="E226" i="18"/>
  <c r="B5" i="30"/>
  <c r="E158" i="18"/>
  <c r="E127" i="18"/>
  <c r="B1" i="29"/>
  <c r="E108" i="18"/>
  <c r="H26" i="22"/>
  <c r="I30" i="48"/>
  <c r="E253" i="18"/>
  <c r="C3" i="48"/>
  <c r="E240" i="18"/>
  <c r="H7" i="30"/>
  <c r="E190" i="18"/>
  <c r="J5" i="16"/>
  <c r="E148" i="18"/>
  <c r="E185" i="18"/>
  <c r="I3" i="48"/>
  <c r="E187" i="18"/>
  <c r="E258" i="18"/>
  <c r="B129" i="48"/>
  <c r="E184" i="18"/>
  <c r="J3" i="48"/>
  <c r="E157" i="18"/>
  <c r="E145" i="18"/>
  <c r="E116" i="18"/>
  <c r="E117" i="18"/>
  <c r="E166" i="18"/>
  <c r="E159" i="18"/>
  <c r="E223" i="18"/>
  <c r="H3" i="30"/>
  <c r="E198" i="18"/>
  <c r="G4" i="19"/>
  <c r="E164" i="18"/>
  <c r="H52" i="22"/>
  <c r="H31" i="33"/>
  <c r="E238" i="18"/>
  <c r="E112" i="18"/>
  <c r="H99" i="22"/>
  <c r="I124" i="48"/>
  <c r="E170" i="18"/>
  <c r="K108" i="22"/>
  <c r="F77" i="33"/>
  <c r="E255" i="18"/>
  <c r="E3" i="48"/>
  <c r="E182" i="18"/>
  <c r="AL44" i="33"/>
  <c r="E179" i="18"/>
  <c r="D7" i="44"/>
  <c r="E147" i="18"/>
  <c r="E152" i="18"/>
  <c r="E136" i="18"/>
  <c r="E192" i="18"/>
  <c r="E224" i="18"/>
  <c r="HS4" i="47"/>
  <c r="E168" i="18"/>
  <c r="E165" i="18"/>
  <c r="E103" i="18"/>
  <c r="H89" i="22"/>
  <c r="I110" i="48"/>
  <c r="IB128" i="28"/>
  <c r="JO128" i="28"/>
  <c r="HO128" i="28"/>
  <c r="LO128" i="28"/>
  <c r="AB128" i="28"/>
  <c r="BB128" i="28"/>
  <c r="DB128" i="28"/>
  <c r="EB128" i="28"/>
  <c r="G81" i="29"/>
  <c r="J82" i="32"/>
  <c r="G82" i="32"/>
  <c r="G34" i="32"/>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c r="H43" i="22"/>
  <c r="T26" i="33"/>
  <c r="H80" i="22"/>
  <c r="H95" i="22"/>
  <c r="H68" i="22"/>
  <c r="H38" i="22"/>
  <c r="I45" i="48"/>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c r="H23" i="22"/>
  <c r="I28" i="48"/>
  <c r="KM4" i="47"/>
  <c r="IM4" i="47"/>
  <c r="HZ4" i="47"/>
  <c r="FZ4" i="47"/>
  <c r="DM4" i="47"/>
  <c r="BM4" i="47"/>
  <c r="BZ4" i="28"/>
  <c r="FZ4" i="28"/>
  <c r="M4" i="28"/>
  <c r="IM4" i="28"/>
  <c r="BM4" i="28"/>
  <c r="GZ4" i="28"/>
  <c r="H12" i="30"/>
  <c r="H39" i="22"/>
  <c r="I48" i="48"/>
  <c r="H15" i="22"/>
  <c r="H79" i="22"/>
  <c r="B1" i="32"/>
  <c r="H78" i="22"/>
  <c r="I96" i="48"/>
  <c r="B1" i="47"/>
  <c r="H104" i="22"/>
  <c r="I132" i="48"/>
  <c r="H7" i="22"/>
  <c r="H55" i="22"/>
  <c r="H5" i="22"/>
  <c r="H61" i="22"/>
  <c r="I75" i="48"/>
  <c r="H91" i="22"/>
  <c r="H37" i="22"/>
  <c r="H72" i="22"/>
  <c r="H65" i="22"/>
  <c r="I80" i="48"/>
  <c r="H6" i="22"/>
  <c r="I7" i="48"/>
  <c r="H87" i="22"/>
  <c r="H84" i="22"/>
  <c r="I104" i="48"/>
  <c r="H28" i="22"/>
  <c r="I35" i="48"/>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c r="H56" i="22"/>
  <c r="H97" i="22"/>
  <c r="I121" i="48"/>
  <c r="H27" i="22"/>
  <c r="AF16" i="33"/>
  <c r="H4" i="22"/>
  <c r="B11" i="33"/>
  <c r="C3" i="32"/>
  <c r="H73" i="22"/>
  <c r="AC36" i="33"/>
  <c r="H92" i="22"/>
  <c r="I114" i="48"/>
  <c r="H108" i="22"/>
  <c r="H98" i="22"/>
  <c r="I123" i="48"/>
  <c r="K9" i="33"/>
  <c r="K41" i="33"/>
  <c r="B9" i="33"/>
  <c r="B41" i="33"/>
  <c r="H9" i="33"/>
  <c r="H41" i="33"/>
  <c r="N9" i="33"/>
  <c r="N41" i="33"/>
  <c r="AF9" i="33"/>
  <c r="AF41" i="33"/>
  <c r="E9" i="33"/>
  <c r="E41" i="33"/>
  <c r="T9" i="33"/>
  <c r="T41" i="33"/>
  <c r="AI9" i="33"/>
  <c r="AI41" i="33"/>
  <c r="Z9" i="33"/>
  <c r="Z41" i="33"/>
  <c r="Q9" i="33"/>
  <c r="Q41" i="33"/>
  <c r="E5" i="3"/>
  <c r="H5" i="3"/>
  <c r="B5" i="3"/>
  <c r="AC9" i="33"/>
  <c r="AC41" i="33"/>
  <c r="W9" i="33"/>
  <c r="W41" i="33"/>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c r="B89" i="28"/>
  <c r="I89" i="28"/>
  <c r="AY129" i="47"/>
  <c r="Y129" i="47"/>
  <c r="HL129" i="47"/>
  <c r="LL129" i="47"/>
  <c r="CY131" i="28"/>
  <c r="HL131" i="28"/>
  <c r="GL131" i="28"/>
  <c r="CL129" i="47"/>
  <c r="DL129" i="47"/>
  <c r="JL129" i="47"/>
  <c r="FY131" i="28"/>
  <c r="KY131" i="28"/>
  <c r="CL131" i="28"/>
  <c r="GY131" i="28"/>
  <c r="H40" i="22"/>
  <c r="H74" i="22"/>
  <c r="AF31" i="33"/>
  <c r="H16" i="22"/>
  <c r="H111" i="22"/>
  <c r="L86" i="33"/>
  <c r="KL130" i="47"/>
  <c r="EL130" i="47"/>
  <c r="JY130" i="47"/>
  <c r="HY130" i="47"/>
  <c r="LL130" i="47"/>
  <c r="HL130" i="47"/>
  <c r="IY130" i="47"/>
  <c r="GY130" i="47"/>
  <c r="KL132" i="28"/>
  <c r="EY132" i="28"/>
  <c r="GY132" i="28"/>
  <c r="HY132" i="28"/>
  <c r="LL132" i="28"/>
  <c r="Y132" i="28"/>
  <c r="LY132" i="28"/>
  <c r="GL132" i="28"/>
  <c r="H70" i="22"/>
  <c r="I86" i="48"/>
  <c r="H59" i="22"/>
  <c r="N36" i="33"/>
  <c r="H81" i="22"/>
  <c r="H10" i="22"/>
  <c r="H11" i="33"/>
  <c r="H113" i="22"/>
  <c r="H96" i="22"/>
  <c r="I120" i="48"/>
  <c r="H20" i="22"/>
  <c r="I25" i="48"/>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c r="ME91" i="47"/>
  <c r="LP99" i="47"/>
  <c r="P91" i="47"/>
  <c r="S91" i="47"/>
  <c r="AC91" i="47"/>
  <c r="AF91" i="47"/>
  <c r="AP91" i="47"/>
  <c r="AS91" i="47"/>
  <c r="EC91" i="47"/>
  <c r="ED91" i="47"/>
  <c r="EE91" i="47"/>
  <c r="EP91" i="47"/>
  <c r="ES91" i="47"/>
  <c r="IC91" i="47"/>
  <c r="IP91" i="47"/>
  <c r="LP91" i="47"/>
  <c r="LS91" i="47"/>
  <c r="BC91" i="47"/>
  <c r="BF91" i="47"/>
  <c r="FC91" i="47"/>
  <c r="FF91" i="47"/>
  <c r="JC91" i="47"/>
  <c r="JD91" i="47"/>
  <c r="JE91" i="47"/>
  <c r="BP91" i="47"/>
  <c r="BS91" i="47"/>
  <c r="FP91" i="47"/>
  <c r="FS91" i="47"/>
  <c r="JP91" i="47"/>
  <c r="JQ91" i="47"/>
  <c r="JR91" i="47"/>
  <c r="CC91" i="47"/>
  <c r="CD91" i="47"/>
  <c r="CE91" i="47"/>
  <c r="GC91" i="47"/>
  <c r="GD91" i="47"/>
  <c r="GE91" i="47"/>
  <c r="KC91" i="47"/>
  <c r="CP91" i="47"/>
  <c r="CQ91" i="47"/>
  <c r="CR91" i="47"/>
  <c r="GP91" i="47"/>
  <c r="KP91" i="47"/>
  <c r="DC91" i="47"/>
  <c r="DD91" i="47"/>
  <c r="DE91" i="47"/>
  <c r="HC91" i="47"/>
  <c r="HD91" i="47"/>
  <c r="HE91" i="47"/>
  <c r="LC91" i="47"/>
  <c r="DP91" i="47"/>
  <c r="DS91" i="47"/>
  <c r="HP91" i="47"/>
  <c r="HS91" i="47"/>
  <c r="FC99" i="47"/>
  <c r="FF99" i="47"/>
  <c r="KP99" i="47"/>
  <c r="KQ99" i="47"/>
  <c r="KR99" i="47"/>
  <c r="EC99" i="47"/>
  <c r="ED99" i="47"/>
  <c r="EE99" i="47"/>
  <c r="IP99" i="47"/>
  <c r="IQ99" i="47"/>
  <c r="IR99" i="47"/>
  <c r="HP99" i="47"/>
  <c r="HQ99" i="47"/>
  <c r="HR99" i="47"/>
  <c r="GP99" i="47"/>
  <c r="GQ99" i="47"/>
  <c r="GR99" i="47"/>
  <c r="KC99" i="47"/>
  <c r="BC99" i="47"/>
  <c r="EP99" i="47"/>
  <c r="EQ99" i="47"/>
  <c r="ER99" i="47"/>
  <c r="AC99" i="47"/>
  <c r="AF99" i="47"/>
  <c r="DP99" i="47"/>
  <c r="CP99" i="47"/>
  <c r="CS99" i="47"/>
  <c r="GC99" i="47"/>
  <c r="GF99" i="47"/>
  <c r="AP99" i="47"/>
  <c r="P99" i="47"/>
  <c r="Q99" i="47"/>
  <c r="R99" i="47"/>
  <c r="CC99" i="47"/>
  <c r="CD99" i="47"/>
  <c r="CE99" i="47"/>
  <c r="MC99" i="47"/>
  <c r="MF99" i="47"/>
  <c r="LC99" i="47"/>
  <c r="LF99" i="47"/>
  <c r="JP99" i="47"/>
  <c r="HC99" i="47"/>
  <c r="FP99" i="47"/>
  <c r="FQ99" i="47"/>
  <c r="FR99" i="47"/>
  <c r="DC99" i="47"/>
  <c r="DD99" i="47"/>
  <c r="DE99" i="47"/>
  <c r="BP99" i="47"/>
  <c r="JC99" i="47"/>
  <c r="JD99" i="47"/>
  <c r="JE99" i="47"/>
  <c r="IC99" i="47"/>
  <c r="ID99" i="47"/>
  <c r="IE99" i="47"/>
  <c r="KC100" i="47"/>
  <c r="KD100" i="47"/>
  <c r="KE100" i="47"/>
  <c r="LC102" i="47"/>
  <c r="LF102" i="47"/>
  <c r="HC102" i="47"/>
  <c r="HF102" i="47"/>
  <c r="DC102" i="47"/>
  <c r="DD102" i="47"/>
  <c r="DE102" i="47"/>
  <c r="KP102" i="47"/>
  <c r="KS102" i="47"/>
  <c r="GP102" i="47"/>
  <c r="GS102" i="47"/>
  <c r="CP102" i="47"/>
  <c r="CQ102" i="47"/>
  <c r="CR102" i="47"/>
  <c r="KC102" i="47"/>
  <c r="KD102" i="47"/>
  <c r="KE102" i="47"/>
  <c r="GC102" i="47"/>
  <c r="CC102" i="47"/>
  <c r="CF102" i="47"/>
  <c r="MC102" i="47"/>
  <c r="MF102" i="47"/>
  <c r="JP102" i="47"/>
  <c r="JS102" i="47"/>
  <c r="FP102" i="47"/>
  <c r="FS102" i="47"/>
  <c r="BP102" i="47"/>
  <c r="BS102" i="47"/>
  <c r="EC102" i="47"/>
  <c r="JC102" i="47"/>
  <c r="JF102" i="47"/>
  <c r="FC102" i="47"/>
  <c r="BC102" i="47"/>
  <c r="BF102" i="47"/>
  <c r="IP102" i="47"/>
  <c r="IQ102" i="47"/>
  <c r="IR102" i="47"/>
  <c r="EP102" i="47"/>
  <c r="EQ102" i="47"/>
  <c r="ER102" i="47"/>
  <c r="AP102" i="47"/>
  <c r="AS102" i="47"/>
  <c r="LP102" i="47"/>
  <c r="LS102" i="47"/>
  <c r="HP102" i="47"/>
  <c r="HS102" i="47"/>
  <c r="DP102" i="47"/>
  <c r="DQ102" i="47"/>
  <c r="DR102" i="47"/>
  <c r="P102" i="47"/>
  <c r="IC102" i="47"/>
  <c r="IF102" i="47"/>
  <c r="AC102" i="47"/>
  <c r="AD102" i="47"/>
  <c r="AE102" i="47"/>
  <c r="LC95" i="47"/>
  <c r="LF95" i="47"/>
  <c r="HC95" i="47"/>
  <c r="DC95" i="47"/>
  <c r="DD95" i="47"/>
  <c r="DE95" i="47"/>
  <c r="KP95" i="47"/>
  <c r="KS95" i="47"/>
  <c r="GP95" i="47"/>
  <c r="GQ95" i="47"/>
  <c r="GR95" i="47"/>
  <c r="CP95" i="47"/>
  <c r="CQ95" i="47"/>
  <c r="CR95" i="47"/>
  <c r="KC95" i="47"/>
  <c r="KD95" i="47"/>
  <c r="KE95" i="47"/>
  <c r="GC95" i="47"/>
  <c r="GD95" i="47"/>
  <c r="GE95" i="47"/>
  <c r="CC95" i="47"/>
  <c r="CD95" i="47"/>
  <c r="CE95" i="47"/>
  <c r="JP95" i="47"/>
  <c r="FP95" i="47"/>
  <c r="FS95" i="47"/>
  <c r="BP95" i="47"/>
  <c r="BQ95" i="47"/>
  <c r="BR95" i="47"/>
  <c r="JC95" i="47"/>
  <c r="JD95" i="47"/>
  <c r="JE95" i="47"/>
  <c r="FC95" i="47"/>
  <c r="FF95" i="47"/>
  <c r="BC95" i="47"/>
  <c r="BF95" i="47"/>
  <c r="AC95" i="47"/>
  <c r="AF95" i="47"/>
  <c r="IP95" i="47"/>
  <c r="IQ95" i="47"/>
  <c r="IR95" i="47"/>
  <c r="EP95" i="47"/>
  <c r="AP95" i="47"/>
  <c r="AQ95" i="47"/>
  <c r="AR95" i="47"/>
  <c r="MC95" i="47"/>
  <c r="MF95" i="47"/>
  <c r="IC95" i="47"/>
  <c r="IF95" i="47"/>
  <c r="EC95" i="47"/>
  <c r="ED95" i="47"/>
  <c r="EE95" i="47"/>
  <c r="P95" i="47"/>
  <c r="S95" i="47"/>
  <c r="LP95" i="47"/>
  <c r="LQ95" i="47"/>
  <c r="LR95" i="47"/>
  <c r="HP95" i="47"/>
  <c r="HS95" i="47"/>
  <c r="DP95" i="47"/>
  <c r="HP100" i="47"/>
  <c r="HQ100" i="47"/>
  <c r="HR100" i="47"/>
  <c r="P100" i="47"/>
  <c r="MC100" i="47"/>
  <c r="MF100" i="47"/>
  <c r="LP100" i="47"/>
  <c r="LQ100" i="47"/>
  <c r="LR100" i="47"/>
  <c r="EC100" i="47"/>
  <c r="FC100" i="47"/>
  <c r="FF100" i="47"/>
  <c r="DC100" i="47"/>
  <c r="DF100" i="47"/>
  <c r="AP100" i="47"/>
  <c r="AS100" i="47"/>
  <c r="LC100" i="47"/>
  <c r="LD100" i="47"/>
  <c r="LE100" i="47"/>
  <c r="IP100" i="47"/>
  <c r="IS100" i="47"/>
  <c r="GC100" i="47"/>
  <c r="GD100" i="47"/>
  <c r="GE100" i="47"/>
  <c r="CC100" i="47"/>
  <c r="BC100" i="47"/>
  <c r="BF100" i="47"/>
  <c r="GP100" i="47"/>
  <c r="GQ100" i="47"/>
  <c r="GR100" i="47"/>
  <c r="BP100" i="47"/>
  <c r="BQ100" i="47"/>
  <c r="BR100" i="47"/>
  <c r="HC100" i="47"/>
  <c r="HF100" i="47"/>
  <c r="KP100" i="47"/>
  <c r="KQ100" i="47"/>
  <c r="KR100" i="47"/>
  <c r="EP100" i="47"/>
  <c r="ES100" i="47"/>
  <c r="DP100" i="47"/>
  <c r="DS100" i="47"/>
  <c r="JC100" i="47"/>
  <c r="JD100" i="47"/>
  <c r="JE100" i="47"/>
  <c r="JP100" i="47"/>
  <c r="JS100" i="47"/>
  <c r="CP100" i="47"/>
  <c r="CQ100" i="47"/>
  <c r="CR100" i="47"/>
  <c r="IC100" i="47"/>
  <c r="ID100" i="47"/>
  <c r="IE100" i="47"/>
  <c r="FP100" i="47"/>
  <c r="FQ100" i="47"/>
  <c r="FR100" i="47"/>
  <c r="AC100" i="47"/>
  <c r="JC90" i="47"/>
  <c r="JD90" i="47"/>
  <c r="JE90" i="47"/>
  <c r="FC90" i="47"/>
  <c r="FD90" i="47"/>
  <c r="FE90" i="47"/>
  <c r="BC90" i="47"/>
  <c r="BF90" i="47"/>
  <c r="IP90" i="47"/>
  <c r="IS90" i="47"/>
  <c r="EP90" i="47"/>
  <c r="ES90" i="47"/>
  <c r="AP90" i="47"/>
  <c r="AQ90" i="47"/>
  <c r="AR90" i="47"/>
  <c r="HP90" i="47"/>
  <c r="HS90" i="47"/>
  <c r="IC90" i="47"/>
  <c r="LC90" i="47"/>
  <c r="LF90" i="47"/>
  <c r="HC90" i="47"/>
  <c r="HD90" i="47"/>
  <c r="HE90" i="47"/>
  <c r="DC90" i="47"/>
  <c r="DD90" i="47"/>
  <c r="DE90" i="47"/>
  <c r="KC90" i="47"/>
  <c r="KF90" i="47"/>
  <c r="GC90" i="47"/>
  <c r="GD90" i="47"/>
  <c r="GE90" i="47"/>
  <c r="CC90" i="47"/>
  <c r="CD90" i="47"/>
  <c r="CE90" i="47"/>
  <c r="KP90" i="47"/>
  <c r="KQ90" i="47"/>
  <c r="KR90" i="47"/>
  <c r="GP90" i="47"/>
  <c r="GQ90" i="47"/>
  <c r="GR90" i="47"/>
  <c r="CP90" i="47"/>
  <c r="CS90" i="47"/>
  <c r="DP90" i="47"/>
  <c r="DS90" i="47"/>
  <c r="JP90" i="47"/>
  <c r="JS90" i="47"/>
  <c r="FP90" i="47"/>
  <c r="FS90" i="47"/>
  <c r="BP90" i="47"/>
  <c r="BQ90" i="47"/>
  <c r="BR90" i="47"/>
  <c r="MC90" i="47"/>
  <c r="MF90" i="47"/>
  <c r="EC90" i="47"/>
  <c r="ED90" i="47"/>
  <c r="EE90" i="47"/>
  <c r="AC90" i="47"/>
  <c r="LP90" i="47"/>
  <c r="LQ90" i="47"/>
  <c r="LR90" i="47"/>
  <c r="P90" i="47"/>
  <c r="S90" i="47"/>
  <c r="DC97" i="47"/>
  <c r="DD97" i="47"/>
  <c r="DE97" i="47"/>
  <c r="FC97" i="47"/>
  <c r="FF97" i="47"/>
  <c r="KP97" i="47"/>
  <c r="KS97" i="47"/>
  <c r="KC97" i="47"/>
  <c r="KD97" i="47"/>
  <c r="KE97" i="47"/>
  <c r="BC97" i="47"/>
  <c r="BF97" i="47"/>
  <c r="MC97" i="47"/>
  <c r="MD97" i="47"/>
  <c r="ME97" i="47"/>
  <c r="AC97" i="47"/>
  <c r="AF97" i="47"/>
  <c r="GC97" i="47"/>
  <c r="GD97" i="47"/>
  <c r="GE97" i="47"/>
  <c r="EP97" i="47"/>
  <c r="ES97" i="47"/>
  <c r="CP97" i="47"/>
  <c r="CQ97" i="47"/>
  <c r="CR97" i="47"/>
  <c r="LP97" i="47"/>
  <c r="LQ97" i="47"/>
  <c r="LR97" i="47"/>
  <c r="AP97" i="47"/>
  <c r="AS97" i="47"/>
  <c r="HP97" i="47"/>
  <c r="HS97" i="47"/>
  <c r="JP97" i="47"/>
  <c r="P97" i="47"/>
  <c r="S97" i="47"/>
  <c r="DP97" i="47"/>
  <c r="DS97" i="47"/>
  <c r="FP97" i="47"/>
  <c r="FQ97" i="47"/>
  <c r="FR97" i="47"/>
  <c r="GP97" i="47"/>
  <c r="GS97" i="47"/>
  <c r="EC97" i="47"/>
  <c r="ED97" i="47"/>
  <c r="EE97" i="47"/>
  <c r="LC97" i="47"/>
  <c r="LF97" i="47"/>
  <c r="BP97" i="47"/>
  <c r="BQ97" i="47"/>
  <c r="BR97" i="47"/>
  <c r="IP97" i="47"/>
  <c r="IQ97" i="47"/>
  <c r="IR97" i="47"/>
  <c r="JC97" i="47"/>
  <c r="JD97" i="47"/>
  <c r="JE97" i="47"/>
  <c r="HC97" i="47"/>
  <c r="HF97" i="47"/>
  <c r="IC97" i="47"/>
  <c r="IF97" i="47"/>
  <c r="CC97" i="47"/>
  <c r="CD97" i="47"/>
  <c r="CE97" i="47"/>
  <c r="IC104" i="47"/>
  <c r="JP104" i="47"/>
  <c r="JQ104" i="47"/>
  <c r="JR104" i="47"/>
  <c r="GP104" i="47"/>
  <c r="GS104" i="47"/>
  <c r="DP104" i="47"/>
  <c r="DS104" i="47"/>
  <c r="EC104" i="47"/>
  <c r="ED104" i="47"/>
  <c r="EE104" i="47"/>
  <c r="FP104" i="47"/>
  <c r="FQ104" i="47"/>
  <c r="FR104" i="47"/>
  <c r="CP104" i="47"/>
  <c r="CQ104" i="47"/>
  <c r="CR104" i="47"/>
  <c r="IP104" i="47"/>
  <c r="IS104" i="47"/>
  <c r="BP104" i="47"/>
  <c r="BS104" i="47"/>
  <c r="LC104" i="47"/>
  <c r="LD104" i="47"/>
  <c r="LE104" i="47"/>
  <c r="EP104" i="47"/>
  <c r="EQ104" i="47"/>
  <c r="ER104" i="47"/>
  <c r="KC104" i="47"/>
  <c r="KD104" i="47"/>
  <c r="KE104" i="47"/>
  <c r="HC104" i="47"/>
  <c r="HD104" i="47"/>
  <c r="HE104" i="47"/>
  <c r="AP104" i="47"/>
  <c r="AQ104" i="47"/>
  <c r="AR104" i="47"/>
  <c r="GC104" i="47"/>
  <c r="GD104" i="47"/>
  <c r="GE104" i="47"/>
  <c r="DC104" i="47"/>
  <c r="DD104" i="47"/>
  <c r="DE104" i="47"/>
  <c r="JC104" i="47"/>
  <c r="CC104" i="47"/>
  <c r="CF104" i="47"/>
  <c r="AC104" i="47"/>
  <c r="AD104" i="47"/>
  <c r="AE104" i="47"/>
  <c r="FC104" i="47"/>
  <c r="FF104" i="47"/>
  <c r="P104" i="47"/>
  <c r="Q104" i="47"/>
  <c r="R104" i="47"/>
  <c r="LP104" i="47"/>
  <c r="LS104" i="47"/>
  <c r="MC104" i="47"/>
  <c r="MD104" i="47"/>
  <c r="ME104" i="47"/>
  <c r="BC104" i="47"/>
  <c r="BD104" i="47"/>
  <c r="BE104" i="47"/>
  <c r="KP104" i="47"/>
  <c r="HP104" i="47"/>
  <c r="HS104" i="47"/>
  <c r="MC93" i="47"/>
  <c r="MF93" i="47"/>
  <c r="LP93" i="47"/>
  <c r="LS93" i="47"/>
  <c r="LC93" i="47"/>
  <c r="LD93" i="47"/>
  <c r="LE93" i="47"/>
  <c r="KP93" i="47"/>
  <c r="KQ93" i="47"/>
  <c r="KR93" i="47"/>
  <c r="KC93" i="47"/>
  <c r="KF93" i="47"/>
  <c r="JP93" i="47"/>
  <c r="JC93" i="47"/>
  <c r="JD93" i="47"/>
  <c r="JE93" i="47"/>
  <c r="IP93" i="47"/>
  <c r="IQ93" i="47"/>
  <c r="IR93" i="47"/>
  <c r="IC93" i="47"/>
  <c r="IF93" i="47"/>
  <c r="HP93" i="47"/>
  <c r="HS93" i="47"/>
  <c r="HC93" i="47"/>
  <c r="HD93" i="47"/>
  <c r="HE93" i="47"/>
  <c r="GP93" i="47"/>
  <c r="GQ93" i="47"/>
  <c r="GR93" i="47"/>
  <c r="GC93" i="47"/>
  <c r="GD93" i="47"/>
  <c r="GE93" i="47"/>
  <c r="FP93" i="47"/>
  <c r="FQ93" i="47"/>
  <c r="FR93" i="47"/>
  <c r="FC93" i="47"/>
  <c r="FD93" i="47"/>
  <c r="FE93" i="47"/>
  <c r="EP93" i="47"/>
  <c r="EQ93" i="47"/>
  <c r="ER93" i="47"/>
  <c r="EC93" i="47"/>
  <c r="ED93" i="47"/>
  <c r="EE93" i="47"/>
  <c r="DP93" i="47"/>
  <c r="DS93" i="47"/>
  <c r="DC93" i="47"/>
  <c r="DD93" i="47"/>
  <c r="DE93" i="47"/>
  <c r="CP93" i="47"/>
  <c r="CS93" i="47"/>
  <c r="CC93" i="47"/>
  <c r="CD93" i="47"/>
  <c r="CE93" i="47"/>
  <c r="BP93" i="47"/>
  <c r="BC93" i="47"/>
  <c r="BF93" i="47"/>
  <c r="AP93" i="47"/>
  <c r="AS93" i="47"/>
  <c r="AC93" i="47"/>
  <c r="AD93" i="47"/>
  <c r="AE93" i="47"/>
  <c r="P93" i="47"/>
  <c r="S93" i="47"/>
  <c r="IQ100" i="47"/>
  <c r="IR100" i="47"/>
  <c r="LP101" i="47"/>
  <c r="LS101" i="47"/>
  <c r="HP101" i="47"/>
  <c r="HS101" i="47"/>
  <c r="DP101" i="47"/>
  <c r="DQ101" i="47"/>
  <c r="DR101" i="47"/>
  <c r="MC101" i="47"/>
  <c r="IC101" i="47"/>
  <c r="ID101" i="47"/>
  <c r="IE101" i="47"/>
  <c r="LC101" i="47"/>
  <c r="LD101" i="47"/>
  <c r="LE101" i="47"/>
  <c r="HC101" i="47"/>
  <c r="HD101" i="47"/>
  <c r="HE101" i="47"/>
  <c r="DC101" i="47"/>
  <c r="DF101" i="47"/>
  <c r="JP101" i="47"/>
  <c r="JQ101" i="47"/>
  <c r="JR101" i="47"/>
  <c r="BP101" i="47"/>
  <c r="BS101" i="47"/>
  <c r="KP101" i="47"/>
  <c r="KS101" i="47"/>
  <c r="GP101" i="47"/>
  <c r="GS101" i="47"/>
  <c r="CP101" i="47"/>
  <c r="CQ101" i="47"/>
  <c r="CR101" i="47"/>
  <c r="KC101" i="47"/>
  <c r="KF101" i="47"/>
  <c r="GC101" i="47"/>
  <c r="GD101" i="47"/>
  <c r="GE101" i="47"/>
  <c r="CC101" i="47"/>
  <c r="CF101" i="47"/>
  <c r="FP101" i="47"/>
  <c r="FS101" i="47"/>
  <c r="AP101" i="47"/>
  <c r="AQ101" i="47"/>
  <c r="AR101" i="47"/>
  <c r="P101" i="47"/>
  <c r="Q101" i="47"/>
  <c r="R101" i="47"/>
  <c r="JC101" i="47"/>
  <c r="FC101" i="47"/>
  <c r="FD101" i="47"/>
  <c r="FE101" i="47"/>
  <c r="BC101" i="47"/>
  <c r="BF101" i="47"/>
  <c r="EC101" i="47"/>
  <c r="EF101" i="47"/>
  <c r="AC101" i="47"/>
  <c r="AF101" i="47"/>
  <c r="IP101" i="47"/>
  <c r="IQ101" i="47"/>
  <c r="IR101" i="47"/>
  <c r="EP101" i="47"/>
  <c r="ES101" i="47"/>
  <c r="I60" i="33"/>
  <c r="F60" i="33"/>
  <c r="E117" i="48"/>
  <c r="B60" i="33"/>
  <c r="U60" i="33"/>
  <c r="E113" i="47"/>
  <c r="D113" i="47"/>
  <c r="L60" i="33"/>
  <c r="E124" i="48"/>
  <c r="T60" i="33"/>
  <c r="D126" i="48"/>
  <c r="C60" i="33"/>
  <c r="E118" i="48"/>
  <c r="N60" i="33"/>
  <c r="O60" i="33"/>
  <c r="E120" i="48"/>
  <c r="H60" i="33"/>
  <c r="K60" i="33"/>
  <c r="K70" i="33"/>
  <c r="E117" i="47"/>
  <c r="D117" i="47"/>
  <c r="I70" i="33"/>
  <c r="C117" i="28"/>
  <c r="B117" i="28"/>
  <c r="O70" i="33"/>
  <c r="C118" i="28"/>
  <c r="B118" i="28"/>
  <c r="C70" i="33"/>
  <c r="C116" i="28"/>
  <c r="B116" i="28"/>
  <c r="U70" i="33"/>
  <c r="D135" i="48"/>
  <c r="Q60" i="33"/>
  <c r="E60" i="33"/>
  <c r="D117" i="48"/>
  <c r="MB126" i="47"/>
  <c r="MF126" i="47"/>
  <c r="KB126" i="47"/>
  <c r="IB126" i="47"/>
  <c r="ID126" i="47"/>
  <c r="IE126" i="47"/>
  <c r="LO126" i="47"/>
  <c r="LS126" i="47"/>
  <c r="JO126" i="47"/>
  <c r="HO126" i="47"/>
  <c r="HS126" i="47"/>
  <c r="GO126" i="47"/>
  <c r="GS126" i="47"/>
  <c r="EO126" i="47"/>
  <c r="EQ126" i="47"/>
  <c r="ER126" i="47"/>
  <c r="CO126" i="47"/>
  <c r="CQ126" i="47"/>
  <c r="CR126" i="47"/>
  <c r="AO126" i="47"/>
  <c r="GB126" i="47"/>
  <c r="EB126" i="47"/>
  <c r="ED126" i="47"/>
  <c r="EE126" i="47"/>
  <c r="CB126" i="47"/>
  <c r="CF126" i="47"/>
  <c r="LB126" i="47"/>
  <c r="LD126" i="47"/>
  <c r="LE126" i="47"/>
  <c r="FO126" i="47"/>
  <c r="FQ126" i="47"/>
  <c r="FR126" i="47"/>
  <c r="DO126" i="47"/>
  <c r="BO126" i="47"/>
  <c r="HB126" i="47"/>
  <c r="HD126" i="47"/>
  <c r="HE126" i="47"/>
  <c r="IO126" i="47"/>
  <c r="DB126" i="47"/>
  <c r="DF126" i="47"/>
  <c r="BB126" i="47"/>
  <c r="BD126" i="47"/>
  <c r="BE126" i="47"/>
  <c r="FB126" i="47"/>
  <c r="FD126" i="47"/>
  <c r="FE126" i="47"/>
  <c r="JB126" i="47"/>
  <c r="KO126" i="47"/>
  <c r="KQ126" i="47"/>
  <c r="KR126" i="47"/>
  <c r="O126" i="47"/>
  <c r="S126" i="47"/>
  <c r="AB126" i="47"/>
  <c r="H80" i="33"/>
  <c r="E138" i="48"/>
  <c r="F80" i="33"/>
  <c r="E70" i="33"/>
  <c r="E116" i="47"/>
  <c r="Q70" i="33"/>
  <c r="E134" i="48"/>
  <c r="L98" i="33"/>
  <c r="C126" i="28"/>
  <c r="B126" i="28"/>
  <c r="R80" i="33"/>
  <c r="D140" i="48"/>
  <c r="L88" i="33"/>
  <c r="C124" i="47"/>
  <c r="B124" i="47"/>
  <c r="N98" i="33"/>
  <c r="E126" i="28"/>
  <c r="D126" i="28"/>
  <c r="R98" i="33"/>
  <c r="W60" i="33"/>
  <c r="C114" i="28"/>
  <c r="B114" i="28"/>
  <c r="R60" i="33"/>
  <c r="E121" i="48"/>
  <c r="W70" i="33"/>
  <c r="E119" i="47"/>
  <c r="D119" i="47"/>
  <c r="X60" i="33"/>
  <c r="E114" i="28"/>
  <c r="D114" i="28"/>
  <c r="T80" i="33"/>
  <c r="E122" i="47"/>
  <c r="D122" i="47"/>
  <c r="N88" i="33"/>
  <c r="E124" i="47"/>
  <c r="R22" i="67"/>
  <c r="R23" i="67"/>
  <c r="F84" i="47"/>
  <c r="R24" i="67"/>
  <c r="F85" i="47"/>
  <c r="R25" i="67"/>
  <c r="F86" i="47"/>
  <c r="R26" i="67"/>
  <c r="F87" i="47"/>
  <c r="R27" i="67"/>
  <c r="F88" i="47"/>
  <c r="S22" i="67"/>
  <c r="G83" i="47"/>
  <c r="S23" i="67"/>
  <c r="G84" i="47"/>
  <c r="S24" i="67"/>
  <c r="G85" i="47"/>
  <c r="S25" i="67"/>
  <c r="G86" i="47"/>
  <c r="S26" i="67"/>
  <c r="G87" i="28"/>
  <c r="S27" i="67"/>
  <c r="G88" i="47"/>
  <c r="C107" i="28"/>
  <c r="B107" i="28"/>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c r="H77" i="22"/>
  <c r="I94" i="48"/>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c r="H36" i="22"/>
  <c r="H24" i="22"/>
  <c r="H100" i="22"/>
  <c r="I126" i="48"/>
  <c r="H109" i="22"/>
  <c r="R78" i="33"/>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c r="H30" i="22"/>
  <c r="J7" i="44"/>
  <c r="K7" i="44"/>
  <c r="G7" i="44"/>
  <c r="H7" i="44"/>
  <c r="H21" i="22"/>
  <c r="H103" i="22"/>
  <c r="I130" i="48"/>
  <c r="H48" i="22"/>
  <c r="H8" i="22"/>
  <c r="H16" i="33"/>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c r="H66" i="22"/>
  <c r="H86" i="22"/>
  <c r="I106" i="48"/>
  <c r="H69" i="22"/>
  <c r="W36" i="33"/>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c r="HO130" i="28"/>
  <c r="HO131" i="28"/>
  <c r="LO130" i="28"/>
  <c r="LO131" i="28"/>
  <c r="AG130" i="28"/>
  <c r="EG130" i="28"/>
  <c r="EG131" i="28"/>
  <c r="IG130" i="28"/>
  <c r="MG130" i="28"/>
  <c r="AB130" i="28"/>
  <c r="AB131" i="28"/>
  <c r="EB130" i="28"/>
  <c r="EB131" i="28"/>
  <c r="IB130" i="28"/>
  <c r="IB131" i="28"/>
  <c r="MB130" i="28"/>
  <c r="MB131" i="28"/>
  <c r="DT130" i="28"/>
  <c r="HT130" i="28"/>
  <c r="HT131" i="28"/>
  <c r="LT130" i="28"/>
  <c r="CO130" i="28"/>
  <c r="CO131" i="28"/>
  <c r="AO130" i="28"/>
  <c r="AO131" i="28"/>
  <c r="FB130" i="28"/>
  <c r="FB131" i="28"/>
  <c r="JB130" i="28"/>
  <c r="JB131" i="28"/>
  <c r="DG130" i="28"/>
  <c r="HG130" i="28"/>
  <c r="HG131" i="28"/>
  <c r="LG130" i="28"/>
  <c r="LG131" i="28"/>
  <c r="KO130" i="28"/>
  <c r="KO131" i="28"/>
  <c r="BB130" i="28"/>
  <c r="BB131" i="28"/>
  <c r="GB130" i="28"/>
  <c r="GB131" i="28"/>
  <c r="KB130" i="28"/>
  <c r="KB131" i="28"/>
  <c r="CT130" i="28"/>
  <c r="GT130" i="28"/>
  <c r="KT130" i="28"/>
  <c r="KT131" i="28"/>
  <c r="BO130" i="28"/>
  <c r="BO131" i="28"/>
  <c r="HB130" i="28"/>
  <c r="HB131" i="28"/>
  <c r="LB130" i="28"/>
  <c r="LB131" i="28"/>
  <c r="CG130" i="28"/>
  <c r="GG130" i="28"/>
  <c r="KG130" i="28"/>
  <c r="AT130" i="28"/>
  <c r="AT131" i="28"/>
  <c r="CB130" i="28"/>
  <c r="CB131" i="28"/>
  <c r="EO130" i="28"/>
  <c r="EO131" i="28"/>
  <c r="IO130" i="28"/>
  <c r="IO131" i="28"/>
  <c r="BT130" i="28"/>
  <c r="FT130" i="28"/>
  <c r="JT130" i="28"/>
  <c r="JT131" i="28"/>
  <c r="GO130" i="28"/>
  <c r="GO131" i="28"/>
  <c r="IT130" i="28"/>
  <c r="O130" i="28"/>
  <c r="O131" i="28"/>
  <c r="DB130" i="28"/>
  <c r="DB131" i="28"/>
  <c r="FO130" i="28"/>
  <c r="FO131" i="28"/>
  <c r="JO130" i="28"/>
  <c r="JO131" i="28"/>
  <c r="BG130" i="28"/>
  <c r="BG131" i="28"/>
  <c r="FG130" i="28"/>
  <c r="JG130" i="28"/>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c r="HP13" i="47"/>
  <c r="HQ13" i="47"/>
  <c r="KC13" i="47"/>
  <c r="HC13" i="47"/>
  <c r="HD13" i="47"/>
  <c r="F81" i="47"/>
  <c r="G50" i="28"/>
  <c r="F41" i="28"/>
  <c r="BC41" i="28"/>
  <c r="BD41" i="28"/>
  <c r="G64" i="28"/>
  <c r="JC64" i="28"/>
  <c r="G79" i="28"/>
  <c r="CC79" i="28"/>
  <c r="CE79" i="28"/>
  <c r="F27" i="28"/>
  <c r="GP27" i="28"/>
  <c r="GQ27" i="28"/>
  <c r="G45" i="28"/>
  <c r="P6" i="47"/>
  <c r="Q6" i="47"/>
  <c r="G72" i="28"/>
  <c r="BP10" i="47"/>
  <c r="BQ10" i="47"/>
  <c r="AP6" i="47"/>
  <c r="AQ6" i="47"/>
  <c r="CC10" i="47"/>
  <c r="CE10" i="47"/>
  <c r="JC10" i="47"/>
  <c r="JD10" i="47"/>
  <c r="AC6" i="47"/>
  <c r="AD6" i="47"/>
  <c r="FC6" i="47"/>
  <c r="FE6" i="47"/>
  <c r="MC6" i="47"/>
  <c r="MF6" i="47"/>
  <c r="GC10" i="47"/>
  <c r="GE10" i="47"/>
  <c r="KB128" i="47"/>
  <c r="KB129" i="47"/>
  <c r="IC6" i="47"/>
  <c r="IE6" i="47"/>
  <c r="FP10" i="47"/>
  <c r="FR10" i="47"/>
  <c r="LP10" i="47"/>
  <c r="LS10" i="47"/>
  <c r="KC10" i="47"/>
  <c r="KD10" i="47"/>
  <c r="CP6" i="47"/>
  <c r="CS6" i="47"/>
  <c r="GP6" i="47"/>
  <c r="GR6" i="47"/>
  <c r="BC6" i="47"/>
  <c r="BD6" i="47"/>
  <c r="HP6" i="47"/>
  <c r="HR6" i="47"/>
  <c r="MC10" i="47"/>
  <c r="ME10" i="47"/>
  <c r="EC6" i="47"/>
  <c r="EF6" i="47"/>
  <c r="KP6" i="47"/>
  <c r="KR6" i="47"/>
  <c r="AC10" i="47"/>
  <c r="AD10" i="47"/>
  <c r="DP10" i="47"/>
  <c r="DQ10" i="47"/>
  <c r="BP6" i="47"/>
  <c r="BQ6" i="47"/>
  <c r="JP6" i="47"/>
  <c r="JS6" i="47"/>
  <c r="P10" i="47"/>
  <c r="Q10" i="47"/>
  <c r="JC6" i="47"/>
  <c r="JE6" i="47"/>
  <c r="CP10" i="47"/>
  <c r="CR10" i="47"/>
  <c r="JP10" i="47"/>
  <c r="JR10" i="47"/>
  <c r="LC6" i="47"/>
  <c r="LE6" i="47"/>
  <c r="EP10" i="47"/>
  <c r="ES10" i="47"/>
  <c r="EC10" i="47"/>
  <c r="EF10" i="47"/>
  <c r="CC6" i="47"/>
  <c r="CF6" i="47"/>
  <c r="GC6" i="47"/>
  <c r="GE6" i="47"/>
  <c r="BC10" i="47"/>
  <c r="BF10" i="47"/>
  <c r="HC6" i="47"/>
  <c r="HF6" i="47"/>
  <c r="GP10" i="47"/>
  <c r="GS10" i="47"/>
  <c r="KP10" i="47"/>
  <c r="KR10" i="47"/>
  <c r="FP6" i="47"/>
  <c r="FQ6" i="47"/>
  <c r="IP6" i="47"/>
  <c r="IQ6" i="47"/>
  <c r="FC10" i="47"/>
  <c r="FF10" i="47"/>
  <c r="HC10" i="47"/>
  <c r="HE10" i="47"/>
  <c r="HP10" i="47"/>
  <c r="HR10" i="47"/>
  <c r="KC6" i="47"/>
  <c r="KF6" i="47"/>
  <c r="DC10" i="47"/>
  <c r="DF10" i="47"/>
  <c r="IC10" i="47"/>
  <c r="ID10" i="47"/>
  <c r="DP6" i="47"/>
  <c r="DQ6" i="47"/>
  <c r="LP6" i="47"/>
  <c r="LQ6" i="47"/>
  <c r="AP10" i="47"/>
  <c r="AR10" i="47"/>
  <c r="LC10" i="47"/>
  <c r="LD10" i="47"/>
  <c r="IP10" i="47"/>
  <c r="IQ10" i="47"/>
  <c r="DC6" i="47"/>
  <c r="DD6" i="47"/>
  <c r="EP6" i="47"/>
  <c r="EQ6" i="47"/>
  <c r="EP71" i="47"/>
  <c r="ER71" i="47"/>
  <c r="BP71" i="47"/>
  <c r="BQ71" i="47"/>
  <c r="IC71" i="47"/>
  <c r="ID71" i="47"/>
  <c r="JC71" i="47"/>
  <c r="JD71" i="47"/>
  <c r="EC71" i="47"/>
  <c r="EE71" i="47"/>
  <c r="LC71" i="47"/>
  <c r="LF71" i="47"/>
  <c r="CC71" i="47"/>
  <c r="CE71" i="47"/>
  <c r="FP71" i="47"/>
  <c r="FS71" i="47"/>
  <c r="JP71" i="47"/>
  <c r="JQ71" i="47"/>
  <c r="G43" i="28"/>
  <c r="G57" i="28"/>
  <c r="G71" i="28"/>
  <c r="HP71" i="28"/>
  <c r="DO128" i="47"/>
  <c r="DO129" i="47"/>
  <c r="G15" i="28"/>
  <c r="G29" i="28"/>
  <c r="EC29" i="28"/>
  <c r="KC34" i="28"/>
  <c r="KF34" i="28"/>
  <c r="CC80" i="47"/>
  <c r="CD80" i="47"/>
  <c r="G80" i="28"/>
  <c r="MC80" i="28"/>
  <c r="MF80" i="28"/>
  <c r="HP34" i="28"/>
  <c r="HS34" i="28"/>
  <c r="F74" i="28"/>
  <c r="G67" i="47"/>
  <c r="G20" i="28"/>
  <c r="F32" i="47"/>
  <c r="G48" i="28"/>
  <c r="G62" i="28"/>
  <c r="GC34" i="28"/>
  <c r="GF34" i="28"/>
  <c r="GB128" i="47"/>
  <c r="GB129" i="47"/>
  <c r="EP60" i="28"/>
  <c r="EQ60" i="28"/>
  <c r="GC80" i="47"/>
  <c r="GF80" i="47"/>
  <c r="FP80" i="47"/>
  <c r="FR80" i="47"/>
  <c r="LP48" i="47"/>
  <c r="LR48" i="47"/>
  <c r="F76" i="28"/>
  <c r="LC76" i="28"/>
  <c r="P80" i="47"/>
  <c r="Q80" i="47"/>
  <c r="F20" i="28"/>
  <c r="F73" i="28"/>
  <c r="G24" i="28"/>
  <c r="IC24" i="28"/>
  <c r="ID24" i="28"/>
  <c r="BC28" i="47"/>
  <c r="BF28" i="47"/>
  <c r="BP28" i="47"/>
  <c r="BQ28" i="47"/>
  <c r="JC28" i="47"/>
  <c r="JF28" i="47"/>
  <c r="P28" i="47"/>
  <c r="Q28" i="47"/>
  <c r="JP28" i="47"/>
  <c r="JR28" i="47"/>
  <c r="LC28" i="47"/>
  <c r="LD28" i="47"/>
  <c r="AP28" i="47"/>
  <c r="AS28" i="47"/>
  <c r="HP28" i="47"/>
  <c r="HS28" i="47"/>
  <c r="HC28" i="47"/>
  <c r="HE28" i="47"/>
  <c r="GP28" i="47"/>
  <c r="GQ28" i="47"/>
  <c r="LP28" i="47"/>
  <c r="LR28" i="47"/>
  <c r="EP28" i="47"/>
  <c r="ER28" i="47"/>
  <c r="IC28" i="47"/>
  <c r="ID28" i="47"/>
  <c r="FP28" i="47"/>
  <c r="FQ28" i="47"/>
  <c r="IP28" i="47"/>
  <c r="IQ28" i="47"/>
  <c r="KP28" i="47"/>
  <c r="KS28" i="47"/>
  <c r="GC28" i="47"/>
  <c r="GE28" i="47"/>
  <c r="KC28" i="47"/>
  <c r="KD28" i="47"/>
  <c r="CP28" i="47"/>
  <c r="CS28" i="47"/>
  <c r="EC28" i="47"/>
  <c r="EF28" i="47"/>
  <c r="AC28" i="47"/>
  <c r="AF28" i="47"/>
  <c r="KP72" i="47"/>
  <c r="KS72" i="47"/>
  <c r="FC72" i="47"/>
  <c r="FF72" i="47"/>
  <c r="CC72" i="47"/>
  <c r="CD72" i="47"/>
  <c r="BP72" i="47"/>
  <c r="BQ72" i="47"/>
  <c r="C110" i="28"/>
  <c r="B110" i="28"/>
  <c r="D124" i="48"/>
  <c r="F72" i="28"/>
  <c r="G70" i="47"/>
  <c r="AP70" i="47"/>
  <c r="AQ70" i="47"/>
  <c r="HC34" i="28"/>
  <c r="HF34" i="28"/>
  <c r="JC62" i="47"/>
  <c r="JD62" i="47"/>
  <c r="G14" i="28"/>
  <c r="C112" i="47"/>
  <c r="B112" i="47"/>
  <c r="D121" i="48"/>
  <c r="E109" i="47"/>
  <c r="D109" i="47"/>
  <c r="E123" i="48"/>
  <c r="G28" i="28"/>
  <c r="G39" i="28"/>
  <c r="C111" i="47"/>
  <c r="B111" i="47"/>
  <c r="D120" i="48"/>
  <c r="C109" i="28"/>
  <c r="B109" i="28"/>
  <c r="D123" i="48"/>
  <c r="FC13" i="47"/>
  <c r="FD13" i="47"/>
  <c r="F35" i="28"/>
  <c r="IP35" i="28"/>
  <c r="IQ35" i="28"/>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c r="R2" i="33"/>
  <c r="U2" i="33"/>
  <c r="AV127" i="28"/>
  <c r="LV127" i="28"/>
  <c r="KE4" i="28"/>
  <c r="FR4" i="28"/>
  <c r="IR4" i="47"/>
  <c r="FR127" i="47"/>
  <c r="H82" i="22"/>
  <c r="I101" i="48"/>
  <c r="H67" i="22"/>
  <c r="I84" i="48"/>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c r="H13" i="22"/>
  <c r="FQ127" i="47"/>
  <c r="JD127" i="47"/>
  <c r="BD127" i="47"/>
  <c r="JQ127" i="47"/>
  <c r="BQ127" i="47"/>
  <c r="FD127" i="47"/>
  <c r="H17" i="22"/>
  <c r="H75" i="22"/>
  <c r="I89" i="48"/>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c r="H14" i="22"/>
  <c r="I16" i="48"/>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c r="F48" i="28"/>
  <c r="AI12" i="28"/>
  <c r="AV82" i="28"/>
  <c r="FV61" i="28"/>
  <c r="IV12" i="28"/>
  <c r="G76" i="47"/>
  <c r="CC76" i="47"/>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c r="J4" i="22"/>
  <c r="E31" i="18"/>
  <c r="D24" i="26"/>
  <c r="I9" i="22"/>
  <c r="K18" i="33"/>
  <c r="P23" i="70"/>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c r="D8" i="64"/>
  <c r="E56" i="18"/>
  <c r="E54" i="18"/>
  <c r="D59" i="26"/>
  <c r="J50" i="22"/>
  <c r="E60" i="48"/>
  <c r="E22" i="18"/>
  <c r="V82" i="28"/>
  <c r="BV12" i="28"/>
  <c r="CI61" i="28"/>
  <c r="FI61" i="28"/>
  <c r="GV12" i="28"/>
  <c r="DC15" i="47"/>
  <c r="DF15" i="47"/>
  <c r="AM5" i="73"/>
  <c r="E13" i="73"/>
  <c r="AL13" i="73"/>
  <c r="F29" i="73"/>
  <c r="AL29" i="73"/>
  <c r="F45" i="73"/>
  <c r="AL45" i="73"/>
  <c r="AB53" i="73"/>
  <c r="Q61" i="73"/>
  <c r="P69" i="73"/>
  <c r="F77" i="73"/>
  <c r="P93" i="73"/>
  <c r="E87" i="18"/>
  <c r="D19" i="26"/>
  <c r="I8" i="22"/>
  <c r="E19" i="18"/>
  <c r="G22" i="28"/>
  <c r="CV12" i="28"/>
  <c r="FV12" i="28"/>
  <c r="C23" i="3"/>
  <c r="AP31" i="28"/>
  <c r="AS31" i="28"/>
  <c r="BC31" i="28"/>
  <c r="BF31" i="28"/>
  <c r="FC31" i="28"/>
  <c r="FD31" i="28"/>
  <c r="MC31" i="28"/>
  <c r="MF31" i="28"/>
  <c r="LC31" i="28"/>
  <c r="LF31" i="28"/>
  <c r="GC31" i="28"/>
  <c r="GE31" i="28"/>
  <c r="BP31" i="28"/>
  <c r="BR31" i="28"/>
  <c r="KP31" i="28"/>
  <c r="KR31" i="28"/>
  <c r="KC31" i="28"/>
  <c r="KF31" i="28"/>
  <c r="DP31" i="28"/>
  <c r="DQ31" i="28"/>
  <c r="AC31" i="28"/>
  <c r="AD31" i="28"/>
  <c r="GP31" i="28"/>
  <c r="GS31" i="28"/>
  <c r="CC31" i="28"/>
  <c r="CF31" i="28"/>
  <c r="JC31" i="28"/>
  <c r="P31" i="28"/>
  <c r="R31" i="28"/>
  <c r="JP31" i="28"/>
  <c r="JQ31" i="28"/>
  <c r="IC31" i="28"/>
  <c r="ID31" i="28"/>
  <c r="LP31" i="28"/>
  <c r="LR31" i="28"/>
  <c r="EC31" i="28"/>
  <c r="EE31" i="28"/>
  <c r="FP31" i="28"/>
  <c r="FR31" i="28"/>
  <c r="HC31" i="28"/>
  <c r="HF31" i="28"/>
  <c r="EP31" i="28"/>
  <c r="ES31" i="28"/>
  <c r="IP31" i="28"/>
  <c r="IQ31" i="28"/>
  <c r="DC31" i="28"/>
  <c r="DD31" i="28"/>
  <c r="CP31" i="28"/>
  <c r="CQ31" i="28"/>
  <c r="HP31" i="28"/>
  <c r="HS31" i="28"/>
  <c r="KC55" i="28"/>
  <c r="KE55" i="28"/>
  <c r="FP55" i="28"/>
  <c r="FQ55" i="28"/>
  <c r="DP55" i="28"/>
  <c r="DQ55" i="28"/>
  <c r="GC55" i="28"/>
  <c r="GF55" i="28"/>
  <c r="AP55" i="28"/>
  <c r="AS55" i="28"/>
  <c r="EC55" i="28"/>
  <c r="EF55" i="28"/>
  <c r="P55" i="28"/>
  <c r="S55" i="28"/>
  <c r="CP55" i="28"/>
  <c r="CR55" i="28"/>
  <c r="GP55" i="28"/>
  <c r="GS55" i="28"/>
  <c r="JP55" i="28"/>
  <c r="JQ55" i="28"/>
  <c r="CC55" i="28"/>
  <c r="CD55" i="28"/>
  <c r="FC55" i="28"/>
  <c r="FE55" i="28"/>
  <c r="KP55" i="28"/>
  <c r="KS55" i="28"/>
  <c r="HP55" i="28"/>
  <c r="HQ55" i="28"/>
  <c r="JC55" i="28"/>
  <c r="JE55" i="28"/>
  <c r="AC55" i="28"/>
  <c r="AD55" i="28"/>
  <c r="LP55" i="28"/>
  <c r="LS55" i="28"/>
  <c r="LC13" i="47"/>
  <c r="LD13" i="47"/>
  <c r="F13" i="28"/>
  <c r="G49" i="28"/>
  <c r="G27" i="47"/>
  <c r="G41" i="47"/>
  <c r="MC41" i="47"/>
  <c r="G55" i="47"/>
  <c r="FP13" i="47"/>
  <c r="FR13" i="47"/>
  <c r="AC13" i="47"/>
  <c r="AE13" i="47"/>
  <c r="F79" i="47"/>
  <c r="AC79" i="47"/>
  <c r="G77" i="28"/>
  <c r="G31" i="47"/>
  <c r="G60" i="47"/>
  <c r="G21" i="28"/>
  <c r="BP21" i="28"/>
  <c r="BR21" i="28"/>
  <c r="G46" i="28"/>
  <c r="JC46" i="28"/>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c r="B1" i="30"/>
  <c r="JE129" i="28"/>
  <c r="GE129" i="28"/>
  <c r="KR4" i="28"/>
  <c r="LR4" i="28"/>
  <c r="LE129" i="28"/>
  <c r="IR129" i="28"/>
  <c r="IR4" i="28"/>
  <c r="GR4" i="47"/>
  <c r="CR127" i="47"/>
  <c r="KR127" i="47"/>
  <c r="HE127" i="47"/>
  <c r="DR127" i="47"/>
  <c r="LR127" i="47"/>
  <c r="B96" i="48"/>
  <c r="H71" i="22"/>
  <c r="I87" i="48"/>
  <c r="BE4" i="28"/>
  <c r="HR4" i="28"/>
  <c r="JE4" i="28"/>
  <c r="HE129" i="28"/>
  <c r="JR4" i="28"/>
  <c r="ER4" i="28"/>
  <c r="AE127" i="47"/>
  <c r="IE127" i="47"/>
  <c r="DE4" i="47"/>
  <c r="LE4" i="47"/>
  <c r="HR4" i="47"/>
  <c r="EE4" i="47"/>
  <c r="ME4" i="47"/>
  <c r="B142" i="48"/>
  <c r="K111" i="22"/>
  <c r="L85" i="33"/>
  <c r="AC17" i="33"/>
  <c r="C28" i="48"/>
  <c r="AF17" i="33"/>
  <c r="B32" i="48"/>
  <c r="E32" i="33"/>
  <c r="B67" i="48"/>
  <c r="B58" i="48"/>
  <c r="C101" i="48"/>
  <c r="B101" i="48"/>
  <c r="C118" i="48"/>
  <c r="B118" i="48"/>
  <c r="C53" i="48"/>
  <c r="B53" i="48"/>
  <c r="Z22" i="33"/>
  <c r="EF97" i="47"/>
  <c r="KP126" i="47"/>
  <c r="HP126" i="47"/>
  <c r="GO107" i="47"/>
  <c r="DB108" i="47"/>
  <c r="I65" i="48"/>
  <c r="H32" i="22"/>
  <c r="I42" i="48"/>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c r="AI19" i="28"/>
  <c r="AI75" i="28"/>
  <c r="BI19" i="28"/>
  <c r="CI19" i="28"/>
  <c r="CI82" i="28"/>
  <c r="CV54" i="28"/>
  <c r="DV19" i="28"/>
  <c r="EI5" i="28"/>
  <c r="EI82" i="28"/>
  <c r="EV54" i="28"/>
  <c r="FI47" i="28"/>
  <c r="GI26" i="28"/>
  <c r="GV19" i="28"/>
  <c r="HI5" i="28"/>
  <c r="HI82" i="28"/>
  <c r="II5" i="28"/>
  <c r="II82" i="28"/>
  <c r="IV82" i="28"/>
  <c r="JV19" i="28"/>
  <c r="LI26" i="28"/>
  <c r="B33" i="28"/>
  <c r="F46" i="47"/>
  <c r="MC46" i="47"/>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c r="LP72" i="47"/>
  <c r="LR72" i="47"/>
  <c r="IC80" i="47"/>
  <c r="IF80" i="47"/>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c r="J72" i="22"/>
  <c r="D7" i="66"/>
  <c r="H14" i="3"/>
  <c r="AM45" i="73"/>
  <c r="G61" i="73"/>
  <c r="AM61" i="73"/>
  <c r="G77" i="73"/>
  <c r="AM77" i="73"/>
  <c r="G93" i="73"/>
  <c r="E88" i="18"/>
  <c r="E80" i="18"/>
  <c r="E71" i="18"/>
  <c r="E63" i="18"/>
  <c r="E55" i="18"/>
  <c r="E47" i="18"/>
  <c r="E39" i="18"/>
  <c r="E30" i="18"/>
  <c r="E20" i="18"/>
  <c r="D7" i="26"/>
  <c r="I31" i="22"/>
  <c r="B28" i="33"/>
  <c r="P25" i="61"/>
  <c r="E9" i="18"/>
  <c r="D17" i="26"/>
  <c r="D5" i="63"/>
  <c r="D14" i="63"/>
  <c r="E197" i="18"/>
  <c r="E21" i="18"/>
  <c r="D45" i="26"/>
  <c r="D8" i="65"/>
  <c r="D17" i="65"/>
  <c r="E100" i="18"/>
  <c r="E86" i="18"/>
  <c r="E78" i="18"/>
  <c r="E69" i="18"/>
  <c r="E61" i="18"/>
  <c r="E53" i="18"/>
  <c r="E45" i="18"/>
  <c r="E37" i="18"/>
  <c r="D65" i="26"/>
  <c r="J24" i="22"/>
  <c r="E27" i="18"/>
  <c r="D30" i="26"/>
  <c r="I37" i="22"/>
  <c r="E18" i="18"/>
  <c r="E6" i="18"/>
  <c r="D52" i="26"/>
  <c r="I46" i="22"/>
  <c r="D55" i="48"/>
  <c r="E14" i="18"/>
  <c r="D27" i="26"/>
  <c r="E186" i="18"/>
  <c r="E11" i="18"/>
  <c r="D32" i="26"/>
  <c r="D5" i="71"/>
  <c r="D14" i="71"/>
  <c r="F53" i="73"/>
  <c r="R61" i="73"/>
  <c r="F69" i="73"/>
  <c r="R77" i="73"/>
  <c r="F85" i="73"/>
  <c r="R93" i="73"/>
  <c r="AN93" i="73"/>
  <c r="E93" i="18"/>
  <c r="E85" i="18"/>
  <c r="D28" i="26"/>
  <c r="D6" i="72"/>
  <c r="E77" i="18"/>
  <c r="E68" i="18"/>
  <c r="E60" i="18"/>
  <c r="E52" i="18"/>
  <c r="E44" i="18"/>
  <c r="D23" i="26"/>
  <c r="J34" i="22"/>
  <c r="E36" i="18"/>
  <c r="E35" i="18"/>
  <c r="D50" i="26"/>
  <c r="J21" i="22"/>
  <c r="E26" i="18"/>
  <c r="D9" i="26"/>
  <c r="J31" i="22"/>
  <c r="E17" i="18"/>
  <c r="E5" i="18"/>
  <c r="D42" i="26"/>
  <c r="D5" i="65"/>
  <c r="AM69" i="73"/>
  <c r="AM85" i="73"/>
  <c r="E92" i="18"/>
  <c r="E84" i="18"/>
  <c r="E75" i="18"/>
  <c r="E67" i="18"/>
  <c r="E59" i="18"/>
  <c r="E51" i="18"/>
  <c r="D35" i="26"/>
  <c r="E15" i="3"/>
  <c r="E43" i="18"/>
  <c r="E25" i="18"/>
  <c r="E16" i="18"/>
  <c r="D48" i="26"/>
  <c r="J44" i="22"/>
  <c r="AA28" i="33"/>
  <c r="Q25" i="69"/>
  <c r="E34" i="18"/>
  <c r="E13" i="18"/>
  <c r="D37" i="26"/>
  <c r="J67" i="22"/>
  <c r="AB77" i="73"/>
  <c r="AN85" i="73"/>
  <c r="AB93" i="73"/>
  <c r="E91" i="18"/>
  <c r="E83" i="18"/>
  <c r="E74" i="18"/>
  <c r="E66" i="18"/>
  <c r="E58" i="18"/>
  <c r="E50" i="18"/>
  <c r="E42" i="18"/>
  <c r="D20" i="26"/>
  <c r="B21" i="3"/>
  <c r="E33" i="18"/>
  <c r="E24" i="18"/>
  <c r="E15" i="18"/>
  <c r="D63" i="26"/>
  <c r="D6" i="67"/>
  <c r="D15" i="67"/>
  <c r="E76" i="18"/>
  <c r="D64" i="26"/>
  <c r="I24" i="22"/>
  <c r="Q69" i="73"/>
  <c r="E90" i="18"/>
  <c r="E82" i="18"/>
  <c r="E73" i="18"/>
  <c r="E65" i="18"/>
  <c r="D44" i="26"/>
  <c r="J41" i="22"/>
  <c r="E50" i="48"/>
  <c r="E57" i="18"/>
  <c r="E49" i="18"/>
  <c r="E41" i="18"/>
  <c r="D29" i="26"/>
  <c r="J58" i="22"/>
  <c r="E32" i="18"/>
  <c r="D53" i="26"/>
  <c r="J22" i="22"/>
  <c r="AD13" i="33"/>
  <c r="Q22" i="66"/>
  <c r="E69" i="47"/>
  <c r="E23" i="18"/>
  <c r="D33" i="26"/>
  <c r="J14" i="22"/>
  <c r="R13" i="33"/>
  <c r="Q22" i="71"/>
  <c r="E41" i="47"/>
  <c r="E12" i="18"/>
  <c r="D18" i="26"/>
  <c r="D6" i="63"/>
  <c r="D15" i="63"/>
  <c r="E96" i="18"/>
  <c r="D49" i="26"/>
  <c r="J45" i="22"/>
  <c r="E56" i="48"/>
  <c r="E97" i="18"/>
  <c r="E99" i="18"/>
  <c r="E94" i="18"/>
  <c r="E95" i="18"/>
  <c r="D58" i="26"/>
  <c r="H19" i="3"/>
  <c r="E98" i="18"/>
  <c r="D34" i="26"/>
  <c r="D7" i="71"/>
  <c r="CP72" i="47"/>
  <c r="CQ72" i="47"/>
  <c r="EP80" i="47"/>
  <c r="ES80" i="47"/>
  <c r="JP72" i="47"/>
  <c r="JQ72" i="47"/>
  <c r="HC80" i="47"/>
  <c r="HE80" i="47"/>
  <c r="HP80" i="47"/>
  <c r="HS80" i="47"/>
  <c r="GP72" i="47"/>
  <c r="GS72" i="47"/>
  <c r="AC80" i="47"/>
  <c r="AD80" i="47"/>
  <c r="P72" i="47"/>
  <c r="R72" i="47"/>
  <c r="KC72" i="47"/>
  <c r="KD72" i="47"/>
  <c r="AP80" i="47"/>
  <c r="IP80" i="47"/>
  <c r="IQ80" i="47"/>
  <c r="AC62" i="47"/>
  <c r="AE62" i="47"/>
  <c r="DP72" i="47"/>
  <c r="DQ72" i="47"/>
  <c r="JF97" i="47"/>
  <c r="EQ100" i="47"/>
  <c r="ER100" i="47"/>
  <c r="JF90" i="47"/>
  <c r="HF90" i="47"/>
  <c r="GS95" i="47"/>
  <c r="FD91" i="47"/>
  <c r="FE91" i="47"/>
  <c r="X24" i="61"/>
  <c r="AC20" i="47"/>
  <c r="AD20" i="47"/>
  <c r="EP20" i="47"/>
  <c r="ES20" i="47"/>
  <c r="DP20" i="47"/>
  <c r="DC20" i="47"/>
  <c r="DD20" i="47"/>
  <c r="FP20" i="47"/>
  <c r="KP20" i="47"/>
  <c r="KQ20" i="47"/>
  <c r="CP20" i="47"/>
  <c r="CR20" i="47"/>
  <c r="LP20" i="47"/>
  <c r="JC20" i="47"/>
  <c r="JE20" i="47"/>
  <c r="HP20" i="47"/>
  <c r="JP20" i="47"/>
  <c r="JQ20" i="47"/>
  <c r="IC20" i="47"/>
  <c r="IE20" i="47"/>
  <c r="GP20" i="47"/>
  <c r="GR20" i="47"/>
  <c r="KC20" i="47"/>
  <c r="GC20" i="47"/>
  <c r="GF20" i="47"/>
  <c r="CC20" i="47"/>
  <c r="CD20" i="47"/>
  <c r="IP20" i="47"/>
  <c r="IR20" i="47"/>
  <c r="FC20" i="47"/>
  <c r="BP20" i="47"/>
  <c r="EC20" i="47"/>
  <c r="EE20" i="47"/>
  <c r="HC20" i="47"/>
  <c r="HE20" i="47"/>
  <c r="MC20" i="47"/>
  <c r="MD20" i="47"/>
  <c r="P20" i="47"/>
  <c r="Q20" i="47"/>
  <c r="BC20" i="47"/>
  <c r="LC20" i="47"/>
  <c r="AP20" i="47"/>
  <c r="AQ20" i="47"/>
  <c r="P48" i="47"/>
  <c r="S48" i="47"/>
  <c r="GC72" i="47"/>
  <c r="LC80" i="47"/>
  <c r="LD80" i="47"/>
  <c r="LP78" i="47"/>
  <c r="MF91" i="47"/>
  <c r="LS100" i="47"/>
  <c r="JQ94" i="47"/>
  <c r="JR94" i="47"/>
  <c r="MF94" i="47"/>
  <c r="DC55" i="28"/>
  <c r="HC55" i="28"/>
  <c r="EP55" i="28"/>
  <c r="IC55" i="28"/>
  <c r="MC55" i="28"/>
  <c r="BP55" i="28"/>
  <c r="IP55" i="28"/>
  <c r="LC55" i="28"/>
  <c r="BC55" i="28"/>
  <c r="HQ104" i="47"/>
  <c r="HR104" i="47"/>
  <c r="JF100" i="47"/>
  <c r="JO128" i="47"/>
  <c r="JO129" i="47"/>
  <c r="EF104" i="47"/>
  <c r="EC72" i="47"/>
  <c r="EE72" i="47"/>
  <c r="JC72" i="47"/>
  <c r="JD72" i="47"/>
  <c r="LP80" i="47"/>
  <c r="F8" i="28"/>
  <c r="LC72" i="47"/>
  <c r="KC80" i="47"/>
  <c r="FC80" i="47"/>
  <c r="MC72" i="47"/>
  <c r="MF72" i="47"/>
  <c r="HC62" i="47"/>
  <c r="HD62" i="47"/>
  <c r="DC72" i="47"/>
  <c r="CP80" i="47"/>
  <c r="CR80" i="47"/>
  <c r="LF104" i="47"/>
  <c r="LC48" i="47"/>
  <c r="LE48" i="47"/>
  <c r="KC48" i="47"/>
  <c r="JP48" i="47"/>
  <c r="CC48" i="47"/>
  <c r="FP48" i="47"/>
  <c r="EC48" i="47"/>
  <c r="FC48" i="47"/>
  <c r="P62" i="47"/>
  <c r="BP62" i="47"/>
  <c r="BQ62" i="47"/>
  <c r="FP62" i="47"/>
  <c r="DP62" i="47"/>
  <c r="FC62" i="47"/>
  <c r="IC62" i="47"/>
  <c r="AP62" i="47"/>
  <c r="LC62" i="47"/>
  <c r="CP62" i="47"/>
  <c r="CQ62" i="47"/>
  <c r="LP62" i="47"/>
  <c r="GP62" i="47"/>
  <c r="IP62" i="47"/>
  <c r="EC62" i="47"/>
  <c r="ED62" i="47"/>
  <c r="EP62" i="47"/>
  <c r="KC62" i="47"/>
  <c r="KP62" i="47"/>
  <c r="CC62" i="47"/>
  <c r="CD62" i="47"/>
  <c r="GC62" i="47"/>
  <c r="HP62" i="47"/>
  <c r="MC62" i="47"/>
  <c r="MF62" i="47"/>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c r="MC13" i="47"/>
  <c r="MD13" i="47"/>
  <c r="JP13" i="47"/>
  <c r="JQ13" i="47"/>
  <c r="LP13" i="47"/>
  <c r="CP13" i="47"/>
  <c r="EP13" i="47"/>
  <c r="BC62" i="47"/>
  <c r="DC62" i="47"/>
  <c r="DF62" i="47"/>
  <c r="IP78" i="47"/>
  <c r="IQ78" i="47"/>
  <c r="JC78" i="47"/>
  <c r="P78" i="47"/>
  <c r="S78" i="47"/>
  <c r="Q90" i="47"/>
  <c r="R90" i="47"/>
  <c r="LQ104" i="47"/>
  <c r="LR104" i="47"/>
  <c r="GF97" i="47"/>
  <c r="FF90" i="47"/>
  <c r="F14" i="47"/>
  <c r="F14" i="28"/>
  <c r="F22" i="47"/>
  <c r="F22" i="28"/>
  <c r="F39" i="47"/>
  <c r="JP39" i="47"/>
  <c r="F39" i="28"/>
  <c r="G42" i="28"/>
  <c r="MC42" i="28"/>
  <c r="G42" i="47"/>
  <c r="G44" i="47"/>
  <c r="KP44" i="47"/>
  <c r="G44" i="28"/>
  <c r="F53" i="47"/>
  <c r="HC53" i="47"/>
  <c r="F53" i="28"/>
  <c r="G51" i="28"/>
  <c r="G51" i="47"/>
  <c r="G56" i="47"/>
  <c r="G56" i="28"/>
  <c r="G63" i="28"/>
  <c r="BC63" i="28"/>
  <c r="G63" i="47"/>
  <c r="AP78" i="47"/>
  <c r="BC78" i="47"/>
  <c r="JP78" i="47"/>
  <c r="JS78" i="47"/>
  <c r="GP78" i="47"/>
  <c r="GS78" i="47"/>
  <c r="HC78" i="47"/>
  <c r="HD78" i="47"/>
  <c r="FP78" i="47"/>
  <c r="FQ78" i="47"/>
  <c r="GC78" i="47"/>
  <c r="LC78" i="47"/>
  <c r="IC78" i="47"/>
  <c r="F29" i="47"/>
  <c r="CC29" i="47"/>
  <c r="G8" i="47"/>
  <c r="G8" i="28"/>
  <c r="HP71" i="47"/>
  <c r="HR71" i="47"/>
  <c r="MC71" i="47"/>
  <c r="MD71" i="47"/>
  <c r="AC71" i="47"/>
  <c r="AD71" i="47"/>
  <c r="HC71" i="47"/>
  <c r="HE71" i="47"/>
  <c r="LP71" i="47"/>
  <c r="GP71" i="47"/>
  <c r="P71" i="47"/>
  <c r="DP71" i="47"/>
  <c r="AP71" i="47"/>
  <c r="Y26" i="61"/>
  <c r="DP28" i="47"/>
  <c r="DQ28" i="47"/>
  <c r="Y22" i="61"/>
  <c r="Q93" i="47"/>
  <c r="R93" i="47"/>
  <c r="HS100" i="47"/>
  <c r="JC52" i="28"/>
  <c r="BC52" i="28"/>
  <c r="BF52" i="28"/>
  <c r="AP52" i="28"/>
  <c r="IP52" i="28"/>
  <c r="IS52" i="28"/>
  <c r="CP52" i="28"/>
  <c r="CS52" i="28"/>
  <c r="KC52" i="28"/>
  <c r="EP52" i="28"/>
  <c r="KP52" i="28"/>
  <c r="HP52" i="28"/>
  <c r="LP52" i="28"/>
  <c r="F86" i="28"/>
  <c r="DQ97" i="47"/>
  <c r="DR97" i="47"/>
  <c r="G18" i="28"/>
  <c r="G18" i="47"/>
  <c r="JP18" i="47"/>
  <c r="MC60" i="28"/>
  <c r="FP60" i="28"/>
  <c r="FS60" i="28"/>
  <c r="DP60" i="28"/>
  <c r="DS60" i="28"/>
  <c r="KC60" i="28"/>
  <c r="IP60" i="28"/>
  <c r="IQ60" i="28"/>
  <c r="IC60" i="28"/>
  <c r="CC60" i="28"/>
  <c r="LC60" i="28"/>
  <c r="JP60" i="28"/>
  <c r="HP60" i="28"/>
  <c r="BC60" i="28"/>
  <c r="FC60" i="28"/>
  <c r="GP60" i="28"/>
  <c r="DC60" i="28"/>
  <c r="P60" i="28"/>
  <c r="HC60" i="28"/>
  <c r="JC60" i="28"/>
  <c r="AC60" i="28"/>
  <c r="CP60" i="28"/>
  <c r="CQ60" i="28"/>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c r="Q95" i="47"/>
  <c r="R95" i="47"/>
  <c r="DF95" i="47"/>
  <c r="FC67" i="28"/>
  <c r="HS105" i="47"/>
  <c r="HQ105" i="47"/>
  <c r="HR105" i="47"/>
  <c r="KS103" i="47"/>
  <c r="KQ103" i="47"/>
  <c r="KR103" i="47"/>
  <c r="HQ93" i="47"/>
  <c r="HR93" i="47"/>
  <c r="LQ91" i="47"/>
  <c r="LR91" i="47"/>
  <c r="LQ93" i="47"/>
  <c r="LR93" i="47"/>
  <c r="AS95" i="47"/>
  <c r="CF97" i="47"/>
  <c r="HE13" i="47"/>
  <c r="ID124" i="47"/>
  <c r="IE124" i="47"/>
  <c r="IF124" i="47"/>
  <c r="MF124" i="47"/>
  <c r="MD124" i="47"/>
  <c r="ME124" i="47"/>
  <c r="EF98" i="47"/>
  <c r="ED98" i="47"/>
  <c r="EE98" i="47"/>
  <c r="DP78" i="47"/>
  <c r="EC78" i="47"/>
  <c r="FC78" i="47"/>
  <c r="CC78" i="47"/>
  <c r="DC78" i="47"/>
  <c r="KC78" i="47"/>
  <c r="EP78" i="47"/>
  <c r="MC78" i="47"/>
  <c r="AC78" i="47"/>
  <c r="KP78" i="47"/>
  <c r="BP78" i="47"/>
  <c r="HP78" i="47"/>
  <c r="CP78" i="47"/>
  <c r="IP71" i="47"/>
  <c r="CP71" i="47"/>
  <c r="CQ71" i="47"/>
  <c r="GC71" i="47"/>
  <c r="GE71" i="47"/>
  <c r="DC71" i="47"/>
  <c r="KP71" i="47"/>
  <c r="BC71" i="47"/>
  <c r="KC71" i="47"/>
  <c r="KE71" i="47"/>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c r="FD104" i="47"/>
  <c r="FE104" i="47"/>
  <c r="GS90" i="47"/>
  <c r="DQ90" i="47"/>
  <c r="DR90" i="47"/>
  <c r="F58" i="28"/>
  <c r="F58" i="47"/>
  <c r="BC58" i="47"/>
  <c r="IO128" i="47"/>
  <c r="IO129" i="47"/>
  <c r="FS104" i="47"/>
  <c r="HD97" i="47"/>
  <c r="HE97" i="47"/>
  <c r="F45" i="47"/>
  <c r="F45" i="28"/>
  <c r="G88" i="28"/>
  <c r="AB128" i="47"/>
  <c r="AB129" i="47"/>
  <c r="AO128" i="47"/>
  <c r="AO129" i="47"/>
  <c r="D28" i="48"/>
  <c r="F37" i="47"/>
  <c r="F37" i="28"/>
  <c r="F50" i="28"/>
  <c r="F50" i="47"/>
  <c r="CP50" i="47"/>
  <c r="F66" i="47"/>
  <c r="F66" i="28"/>
  <c r="ES124" i="47"/>
  <c r="EQ124" i="47"/>
  <c r="ER124" i="47"/>
  <c r="F59" i="47"/>
  <c r="F59" i="28"/>
  <c r="F65" i="28"/>
  <c r="F65" i="47"/>
  <c r="LF93" i="47"/>
  <c r="G17" i="28"/>
  <c r="G17" i="47"/>
  <c r="F36" i="28"/>
  <c r="F36" i="47"/>
  <c r="G25" i="28"/>
  <c r="G25" i="47"/>
  <c r="G32" i="28"/>
  <c r="G32" i="47"/>
  <c r="C108" i="47"/>
  <c r="B108" i="47"/>
  <c r="JS101" i="47"/>
  <c r="ES92" i="47"/>
  <c r="EQ92" i="47"/>
  <c r="ER92" i="47"/>
  <c r="ID98" i="47"/>
  <c r="IE98" i="47"/>
  <c r="IF98" i="47"/>
  <c r="JF96" i="47"/>
  <c r="JD96" i="47"/>
  <c r="JE96" i="47"/>
  <c r="KS94" i="47"/>
  <c r="KQ94" i="47"/>
  <c r="KR94" i="47"/>
  <c r="LD96" i="47"/>
  <c r="LE96" i="47"/>
  <c r="LF96" i="47"/>
  <c r="MF98" i="47"/>
  <c r="MD98" i="47"/>
  <c r="ME98" i="47"/>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c r="GP74" i="47"/>
  <c r="JC74" i="47"/>
  <c r="HP74" i="47"/>
  <c r="FP74" i="47"/>
  <c r="AP74" i="47"/>
  <c r="DP74" i="47"/>
  <c r="MC74" i="47"/>
  <c r="AC74" i="47"/>
  <c r="AF74" i="47"/>
  <c r="JP74" i="47"/>
  <c r="CP74" i="47"/>
  <c r="KC74" i="47"/>
  <c r="EC74" i="47"/>
  <c r="BP74" i="47"/>
  <c r="KP74" i="47"/>
  <c r="EP74" i="47"/>
  <c r="LC74" i="47"/>
  <c r="DC74" i="47"/>
  <c r="HC74" i="47"/>
  <c r="FC74" i="47"/>
  <c r="CC74" i="47"/>
  <c r="BC74" i="47"/>
  <c r="GC74" i="47"/>
  <c r="HD100" i="47"/>
  <c r="HE100" i="47"/>
  <c r="LS97" i="47"/>
  <c r="GF90" i="47"/>
  <c r="FD100" i="47"/>
  <c r="FE100" i="47"/>
  <c r="KF95" i="47"/>
  <c r="F43" i="28"/>
  <c r="F43" i="47"/>
  <c r="I39" i="22"/>
  <c r="F49" i="47"/>
  <c r="F49" i="28"/>
  <c r="F57" i="28"/>
  <c r="F57" i="47"/>
  <c r="G73" i="47"/>
  <c r="G73" i="28"/>
  <c r="G69" i="28"/>
  <c r="HP69" i="28"/>
  <c r="Y22" i="66"/>
  <c r="G69" i="47"/>
  <c r="G81" i="28"/>
  <c r="G81" i="47"/>
  <c r="JS91" i="47"/>
  <c r="AS101" i="47"/>
  <c r="IQ104" i="47"/>
  <c r="IR104" i="47"/>
  <c r="CF95" i="47"/>
  <c r="HF91" i="47"/>
  <c r="LF126" i="47"/>
  <c r="KQ101" i="47"/>
  <c r="KR101" i="47"/>
  <c r="HQ95" i="47"/>
  <c r="HR95" i="47"/>
  <c r="HQ126" i="47"/>
  <c r="HR126" i="47"/>
  <c r="GS93" i="47"/>
  <c r="EQ90" i="47"/>
  <c r="ER90" i="47"/>
  <c r="JQ102" i="47"/>
  <c r="JR102" i="47"/>
  <c r="P74" i="47"/>
  <c r="FS99" i="47"/>
  <c r="CC77" i="47"/>
  <c r="P77" i="47"/>
  <c r="GP77" i="47"/>
  <c r="IP77" i="47"/>
  <c r="LP77" i="47"/>
  <c r="HP77" i="47"/>
  <c r="KF102" i="47"/>
  <c r="GF124" i="47"/>
  <c r="GD124" i="47"/>
  <c r="GE124" i="47"/>
  <c r="KF124" i="47"/>
  <c r="KD124" i="47"/>
  <c r="KE124" i="47"/>
  <c r="FD98" i="47"/>
  <c r="FE98" i="47"/>
  <c r="FF98" i="47"/>
  <c r="JS103" i="47"/>
  <c r="JQ103" i="47"/>
  <c r="JR103" i="47"/>
  <c r="G38" i="28"/>
  <c r="G38" i="47"/>
  <c r="G11" i="47"/>
  <c r="HP11" i="47"/>
  <c r="G11" i="28"/>
  <c r="DG131" i="28"/>
  <c r="F17" i="47"/>
  <c r="F17" i="28"/>
  <c r="G16" i="47"/>
  <c r="KP16" i="47"/>
  <c r="G16" i="28"/>
  <c r="G23" i="47"/>
  <c r="G23" i="28"/>
  <c r="G36" i="47"/>
  <c r="G36" i="28"/>
  <c r="IP34" i="28"/>
  <c r="DP34" i="28"/>
  <c r="IT131" i="28"/>
  <c r="EP15" i="47"/>
  <c r="FP15" i="47"/>
  <c r="F23" i="47"/>
  <c r="F23" i="28"/>
  <c r="F30" i="28"/>
  <c r="F30" i="47"/>
  <c r="F25" i="47"/>
  <c r="G30" i="28"/>
  <c r="F7" i="47"/>
  <c r="F7" i="28"/>
  <c r="AF104" i="47"/>
  <c r="KS90" i="47"/>
  <c r="JF95" i="47"/>
  <c r="S99" i="47"/>
  <c r="JD102" i="47"/>
  <c r="JE102" i="47"/>
  <c r="IF99" i="47"/>
  <c r="FF93" i="47"/>
  <c r="HQ97" i="47"/>
  <c r="HR97" i="47"/>
  <c r="CS100" i="47"/>
  <c r="DS102" i="47"/>
  <c r="DS126" i="47"/>
  <c r="GF101" i="47"/>
  <c r="ES93" i="47"/>
  <c r="KQ97" i="47"/>
  <c r="KR97" i="47"/>
  <c r="IS97" i="47"/>
  <c r="E132" i="48"/>
  <c r="ED101" i="47"/>
  <c r="EE101" i="47"/>
  <c r="AQ93" i="47"/>
  <c r="AR93" i="47"/>
  <c r="BF104" i="47"/>
  <c r="IF100" i="47"/>
  <c r="AS126" i="47"/>
  <c r="BQ104" i="47"/>
  <c r="BR104" i="47"/>
  <c r="ES99" i="47"/>
  <c r="AD91" i="47"/>
  <c r="AE91" i="47"/>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c r="ED105" i="47"/>
  <c r="EE105" i="47"/>
  <c r="EF105" i="47"/>
  <c r="HQ92" i="47"/>
  <c r="HR92" i="47"/>
  <c r="HS92" i="47"/>
  <c r="JD98" i="47"/>
  <c r="JE98" i="47"/>
  <c r="JF98" i="47"/>
  <c r="KF96" i="47"/>
  <c r="KD96" i="47"/>
  <c r="KE96" i="47"/>
  <c r="LD98" i="47"/>
  <c r="LE98" i="47"/>
  <c r="LF98" i="47"/>
  <c r="LS94" i="47"/>
  <c r="LQ94" i="47"/>
  <c r="LR94" i="47"/>
  <c r="MF92" i="47"/>
  <c r="MD92" i="47"/>
  <c r="ME92" i="47"/>
  <c r="CT131" i="28"/>
  <c r="ET131" i="28"/>
  <c r="GG131" i="28"/>
  <c r="IG131" i="28"/>
  <c r="KG131" i="28"/>
  <c r="LT131" i="28"/>
  <c r="MG131" i="28"/>
  <c r="GD105" i="47"/>
  <c r="GE105" i="47"/>
  <c r="Y23" i="61"/>
  <c r="Y27" i="61"/>
  <c r="F16" i="28"/>
  <c r="C70" i="28"/>
  <c r="DJ70" i="28"/>
  <c r="G34" i="47"/>
  <c r="F64" i="47"/>
  <c r="G53" i="28"/>
  <c r="F24" i="47"/>
  <c r="BQ103" i="47"/>
  <c r="BR103" i="47"/>
  <c r="W27" i="61"/>
  <c r="F77" i="28"/>
  <c r="F31" i="47"/>
  <c r="F15" i="28"/>
  <c r="F11" i="28"/>
  <c r="G74" i="28"/>
  <c r="W23" i="61"/>
  <c r="X23" i="61"/>
  <c r="X27" i="61"/>
  <c r="FF126" i="47"/>
  <c r="JW70" i="47"/>
  <c r="W22" i="61"/>
  <c r="Y24" i="64"/>
  <c r="X26" i="66"/>
  <c r="G6" i="28"/>
  <c r="G9" i="28"/>
  <c r="HS98" i="47"/>
  <c r="G10" i="28"/>
  <c r="W24" i="66"/>
  <c r="KV19" i="47"/>
  <c r="X22" i="64"/>
  <c r="BQ101" i="47"/>
  <c r="BR101" i="47"/>
  <c r="BD93" i="47"/>
  <c r="BE93" i="47"/>
  <c r="EF90" i="47"/>
  <c r="LD99" i="47"/>
  <c r="LE99" i="47"/>
  <c r="LS124" i="47"/>
  <c r="FS98" i="47"/>
  <c r="BI33" i="47"/>
  <c r="BV19" i="47"/>
  <c r="CV19" i="47"/>
  <c r="CV54" i="47"/>
  <c r="CV68" i="47"/>
  <c r="DV19" i="47"/>
  <c r="EV54" i="47"/>
  <c r="FI19" i="47"/>
  <c r="FI61" i="47"/>
  <c r="GI19" i="47"/>
  <c r="II19" i="47"/>
  <c r="IV19" i="47"/>
  <c r="IV54" i="47"/>
  <c r="JI54" i="47"/>
  <c r="JV54" i="47"/>
  <c r="KI5" i="47"/>
  <c r="W27" i="63"/>
  <c r="X22" i="66"/>
  <c r="E116" i="28"/>
  <c r="D116" i="28"/>
  <c r="LS90" i="47"/>
  <c r="DQ100" i="47"/>
  <c r="DR100" i="47"/>
  <c r="FQ124" i="47"/>
  <c r="FR124" i="47"/>
  <c r="DS124" i="47"/>
  <c r="FD92" i="47"/>
  <c r="FE92" i="47"/>
  <c r="HV12" i="28"/>
  <c r="CI33" i="47"/>
  <c r="EV33" i="47"/>
  <c r="FV19" i="47"/>
  <c r="GI82" i="47"/>
  <c r="GV26" i="47"/>
  <c r="GV68" i="47"/>
  <c r="HI19" i="47"/>
  <c r="JI19" i="47"/>
  <c r="JI61" i="47"/>
  <c r="LI54" i="47"/>
  <c r="LV54" i="47"/>
  <c r="E130" i="48"/>
  <c r="KQ102" i="47"/>
  <c r="KR102" i="47"/>
  <c r="KD101" i="47"/>
  <c r="KE101" i="47"/>
  <c r="GS99" i="47"/>
  <c r="FI82" i="47"/>
  <c r="II68" i="47"/>
  <c r="LI68" i="47"/>
  <c r="LV19" i="47"/>
  <c r="F87" i="28"/>
  <c r="CP87" i="28"/>
  <c r="CR87" i="28"/>
  <c r="LF100" i="47"/>
  <c r="CF94" i="47"/>
  <c r="JF93" i="47"/>
  <c r="GQ104" i="47"/>
  <c r="GR104" i="47"/>
  <c r="B94" i="48"/>
  <c r="Q92" i="47"/>
  <c r="R92" i="47"/>
  <c r="DD92" i="47"/>
  <c r="DE92" i="47"/>
  <c r="GD94" i="47"/>
  <c r="GE94" i="47"/>
  <c r="IV47" i="28"/>
  <c r="JI47" i="28"/>
  <c r="DV33" i="47"/>
  <c r="FI33" i="47"/>
  <c r="FI68" i="47"/>
  <c r="FV68" i="47"/>
  <c r="GI54" i="47"/>
  <c r="GV82" i="47"/>
  <c r="HI33" i="47"/>
  <c r="JI68" i="47"/>
  <c r="DQ126" i="47"/>
  <c r="DR126" i="47"/>
  <c r="W23" i="69"/>
  <c r="F63" i="47"/>
  <c r="FV75" i="28"/>
  <c r="GV75" i="28"/>
  <c r="HV75" i="28"/>
  <c r="FI75" i="28"/>
  <c r="DI75" i="28"/>
  <c r="CV75" i="28"/>
  <c r="DV75" i="28"/>
  <c r="GI75" i="28"/>
  <c r="EI75" i="28"/>
  <c r="II75" i="28"/>
  <c r="HI75" i="28"/>
  <c r="EV75" i="28"/>
  <c r="W22" i="65"/>
  <c r="F55" i="47"/>
  <c r="X26" i="67"/>
  <c r="D127" i="48"/>
  <c r="KO128" i="47"/>
  <c r="KO129" i="47"/>
  <c r="C108" i="28"/>
  <c r="B108" i="28"/>
  <c r="E109" i="28"/>
  <c r="D109" i="28"/>
  <c r="IS101" i="47"/>
  <c r="BS90" i="47"/>
  <c r="LD102" i="47"/>
  <c r="LE102" i="47"/>
  <c r="EF91" i="47"/>
  <c r="DQ103" i="47"/>
  <c r="DR103" i="47"/>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c r="GS96" i="47"/>
  <c r="ES126" i="47"/>
  <c r="LQ126" i="47"/>
  <c r="LR126" i="47"/>
  <c r="L87" i="33"/>
  <c r="KS92" i="47"/>
  <c r="AQ103" i="47"/>
  <c r="AR103" i="47"/>
  <c r="LD94" i="47"/>
  <c r="LE94" i="47"/>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c r="Q74" i="33"/>
  <c r="P58" i="33"/>
  <c r="Q57" i="33"/>
  <c r="C113" i="28"/>
  <c r="B113" i="28"/>
  <c r="Y22" i="67"/>
  <c r="C114" i="47"/>
  <c r="B114" i="47"/>
  <c r="KD126" i="47"/>
  <c r="KE126" i="47"/>
  <c r="C113" i="47"/>
  <c r="B113" i="47"/>
  <c r="LQ101" i="47"/>
  <c r="LR101" i="47"/>
  <c r="CQ93" i="47"/>
  <c r="CR93" i="47"/>
  <c r="IS93" i="47"/>
  <c r="IQ90" i="47"/>
  <c r="IR90" i="47"/>
  <c r="FD95" i="47"/>
  <c r="FE95" i="47"/>
  <c r="BD102" i="47"/>
  <c r="BE102" i="47"/>
  <c r="F84" i="28"/>
  <c r="W26" i="67"/>
  <c r="Y26" i="67"/>
  <c r="G85" i="28"/>
  <c r="E121" i="47"/>
  <c r="D121" i="47"/>
  <c r="CY133" i="47"/>
  <c r="KF126" i="47"/>
  <c r="E108" i="28"/>
  <c r="D108" i="28"/>
  <c r="LF101" i="47"/>
  <c r="CS97" i="47"/>
  <c r="KD90" i="47"/>
  <c r="KE90" i="47"/>
  <c r="EF95" i="47"/>
  <c r="ID102" i="47"/>
  <c r="IE102" i="47"/>
  <c r="W27" i="67"/>
  <c r="E143" i="48"/>
  <c r="E112" i="47"/>
  <c r="D112" i="47"/>
  <c r="E121" i="28"/>
  <c r="D121" i="28"/>
  <c r="AQ126" i="47"/>
  <c r="AR126" i="47"/>
  <c r="HO128" i="47"/>
  <c r="HO129" i="47"/>
  <c r="D130" i="48"/>
  <c r="C109" i="47"/>
  <c r="B109" i="47"/>
  <c r="KF100" i="47"/>
  <c r="IF101" i="47"/>
  <c r="JC88" i="47"/>
  <c r="HB128" i="47"/>
  <c r="HB129" i="47"/>
  <c r="FQ101" i="47"/>
  <c r="FR101" i="47"/>
  <c r="HF126" i="47"/>
  <c r="C119" i="28"/>
  <c r="B119" i="28"/>
  <c r="C116" i="47"/>
  <c r="B116" i="47"/>
  <c r="E107" i="47"/>
  <c r="D107" i="47"/>
  <c r="CS101" i="47"/>
  <c r="BD101" i="47"/>
  <c r="BE101" i="47"/>
  <c r="DF104" i="47"/>
  <c r="BD95" i="47"/>
  <c r="BE95" i="47"/>
  <c r="FQ95" i="47"/>
  <c r="FR95" i="47"/>
  <c r="LQ102" i="47"/>
  <c r="LR102" i="47"/>
  <c r="IS99" i="47"/>
  <c r="FB128" i="47"/>
  <c r="FB129" i="47"/>
  <c r="LB128" i="47"/>
  <c r="LB129" i="47"/>
  <c r="AD126" i="47"/>
  <c r="AE126" i="47"/>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c r="AQ124" i="47"/>
  <c r="AR124" i="47"/>
  <c r="HQ96" i="47"/>
  <c r="HR96" i="47"/>
  <c r="IQ92" i="47"/>
  <c r="IR92" i="47"/>
  <c r="KV75" i="28"/>
  <c r="JV75" i="28"/>
  <c r="W23" i="71"/>
  <c r="F42" i="47"/>
  <c r="HD124" i="47"/>
  <c r="HE124" i="47"/>
  <c r="BF124" i="47"/>
  <c r="BS94" i="47"/>
  <c r="IV75" i="28"/>
  <c r="AQ92" i="47"/>
  <c r="AR92" i="47"/>
  <c r="LV5" i="28"/>
  <c r="KI5" i="28"/>
  <c r="Q98" i="47"/>
  <c r="R98" i="47"/>
  <c r="DF105" i="47"/>
  <c r="AS98" i="47"/>
  <c r="HD105" i="47"/>
  <c r="HE105" i="47"/>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c r="Q97" i="47"/>
  <c r="R97" i="47"/>
  <c r="BS95" i="47"/>
  <c r="LD95" i="47"/>
  <c r="LE95" i="47"/>
  <c r="DF102" i="47"/>
  <c r="DF99" i="47"/>
  <c r="DD96" i="47"/>
  <c r="DE96" i="47"/>
  <c r="DF96" i="47"/>
  <c r="EQ94" i="47"/>
  <c r="ER94" i="47"/>
  <c r="ES94" i="47"/>
  <c r="KD105" i="47"/>
  <c r="KE105" i="47"/>
  <c r="KF105" i="47"/>
  <c r="LS92" i="47"/>
  <c r="LQ92" i="47"/>
  <c r="LR92" i="47"/>
  <c r="E118" i="28"/>
  <c r="D118" i="28"/>
  <c r="W23" i="67"/>
  <c r="W22" i="67"/>
  <c r="E126" i="47"/>
  <c r="D126" i="47"/>
  <c r="DQ91" i="47"/>
  <c r="DR91" i="47"/>
  <c r="BQ91" i="47"/>
  <c r="BR91" i="47"/>
  <c r="CS94" i="47"/>
  <c r="BD105" i="47"/>
  <c r="BE105" i="47"/>
  <c r="BF105" i="47"/>
  <c r="ED103" i="47"/>
  <c r="EE103" i="47"/>
  <c r="EF103" i="47"/>
  <c r="IQ98" i="47"/>
  <c r="IR98" i="47"/>
  <c r="IS98" i="47"/>
  <c r="JQ96" i="47"/>
  <c r="JR96" i="47"/>
  <c r="JS96" i="47"/>
  <c r="LS96" i="47"/>
  <c r="LQ96" i="47"/>
  <c r="LR96" i="47"/>
  <c r="Y23" i="67"/>
  <c r="S101" i="47"/>
  <c r="FS93" i="47"/>
  <c r="IS95" i="47"/>
  <c r="ES102" i="47"/>
  <c r="DV127" i="28"/>
  <c r="BI127" i="28"/>
  <c r="FS103" i="47"/>
  <c r="FQ103" i="47"/>
  <c r="FR103" i="47"/>
  <c r="X23" i="67"/>
  <c r="X22" i="67"/>
  <c r="EB128" i="47"/>
  <c r="EB129" i="47"/>
  <c r="CD104" i="47"/>
  <c r="CE104" i="47"/>
  <c r="LD97" i="47"/>
  <c r="LE97" i="47"/>
  <c r="BD103" i="47"/>
  <c r="BE103" i="47"/>
  <c r="AF92" i="47"/>
  <c r="AD92" i="47"/>
  <c r="AE92" i="47"/>
  <c r="DS94" i="47"/>
  <c r="DQ94" i="47"/>
  <c r="DR94" i="47"/>
  <c r="LD105" i="47"/>
  <c r="LE105" i="47"/>
  <c r="LF105" i="47"/>
  <c r="LD103" i="47"/>
  <c r="LE103" i="47"/>
  <c r="IQ96" i="47"/>
  <c r="IR96" i="47"/>
  <c r="IS96" i="47"/>
  <c r="X27" i="67"/>
  <c r="E122" i="28"/>
  <c r="D122" i="28"/>
  <c r="HF93" i="47"/>
  <c r="S104" i="47"/>
  <c r="CF90" i="47"/>
  <c r="LD90" i="47"/>
  <c r="LE90" i="47"/>
  <c r="AD97" i="47"/>
  <c r="AE97" i="47"/>
  <c r="CF98" i="47"/>
  <c r="HF103" i="47"/>
  <c r="HD103" i="47"/>
  <c r="HE103" i="47"/>
  <c r="ID92" i="47"/>
  <c r="IE92" i="47"/>
  <c r="IF92" i="47"/>
  <c r="F83" i="28"/>
  <c r="F83" i="47"/>
  <c r="KP83" i="47"/>
  <c r="JC86" i="47"/>
  <c r="E118" i="47"/>
  <c r="D118" i="47"/>
  <c r="MD90" i="47"/>
  <c r="ME90" i="47"/>
  <c r="KS99" i="47"/>
  <c r="CQ99" i="47"/>
  <c r="CR99" i="47"/>
  <c r="FS105" i="47"/>
  <c r="FQ105" i="47"/>
  <c r="FR105" i="47"/>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c r="BP84" i="47"/>
  <c r="BS84" i="47"/>
  <c r="KC84" i="47"/>
  <c r="CC84" i="47"/>
  <c r="CE84" i="47"/>
  <c r="EC84" i="47"/>
  <c r="EE84" i="47"/>
  <c r="EP84" i="47"/>
  <c r="ER84" i="47"/>
  <c r="IP84" i="47"/>
  <c r="IQ84" i="47"/>
  <c r="LC85" i="47"/>
  <c r="LE85" i="47"/>
  <c r="MC85" i="47"/>
  <c r="AC85" i="47"/>
  <c r="AF85" i="47"/>
  <c r="FC85" i="47"/>
  <c r="FE85" i="47"/>
  <c r="IC84" i="47"/>
  <c r="ID84" i="47"/>
  <c r="Y25" i="67"/>
  <c r="G86" i="28"/>
  <c r="G84" i="28"/>
  <c r="CP84" i="47"/>
  <c r="CR84" i="47"/>
  <c r="E124" i="28"/>
  <c r="D124" i="28"/>
  <c r="E119" i="28"/>
  <c r="D119" i="28"/>
  <c r="EO128" i="47"/>
  <c r="EO129" i="47"/>
  <c r="GD126" i="47"/>
  <c r="GE126" i="47"/>
  <c r="DD126" i="47"/>
  <c r="DE126" i="47"/>
  <c r="C119" i="47"/>
  <c r="B119" i="47"/>
  <c r="E110" i="47"/>
  <c r="D110" i="47"/>
  <c r="DS101" i="47"/>
  <c r="GF93" i="47"/>
  <c r="AF93" i="47"/>
  <c r="ES104" i="47"/>
  <c r="BD97" i="47"/>
  <c r="BE97" i="47"/>
  <c r="KQ95" i="47"/>
  <c r="KR95" i="47"/>
  <c r="HD102" i="47"/>
  <c r="HE102" i="47"/>
  <c r="AQ91" i="47"/>
  <c r="AR91" i="47"/>
  <c r="BD99" i="47"/>
  <c r="BE99" i="47"/>
  <c r="BF99" i="47"/>
  <c r="JC85" i="47"/>
  <c r="JD85" i="47"/>
  <c r="W25" i="67"/>
  <c r="X25" i="67"/>
  <c r="Y27" i="67"/>
  <c r="GF126" i="47"/>
  <c r="C118" i="47"/>
  <c r="B118" i="47"/>
  <c r="MD102" i="47"/>
  <c r="ME102" i="47"/>
  <c r="AQ99" i="47"/>
  <c r="AR99" i="47"/>
  <c r="AS99" i="47"/>
  <c r="KF99" i="47"/>
  <c r="KD99" i="47"/>
  <c r="KE99" i="47"/>
  <c r="KD91" i="47"/>
  <c r="KE91" i="47"/>
  <c r="KF91" i="47"/>
  <c r="D14" i="67"/>
  <c r="X24" i="67"/>
  <c r="IB128" i="47"/>
  <c r="IB129" i="47"/>
  <c r="IQ126" i="47"/>
  <c r="IR126" i="47"/>
  <c r="E113" i="28"/>
  <c r="D113" i="28"/>
  <c r="CS104" i="47"/>
  <c r="DF97" i="47"/>
  <c r="BS97" i="47"/>
  <c r="DD100" i="47"/>
  <c r="DE100" i="47"/>
  <c r="AF102" i="47"/>
  <c r="HQ102" i="47"/>
  <c r="HR102" i="47"/>
  <c r="IQ91" i="47"/>
  <c r="IR91" i="47"/>
  <c r="IS91" i="47"/>
  <c r="E74" i="33"/>
  <c r="D58" i="33"/>
  <c r="E58" i="33"/>
  <c r="C74" i="33"/>
  <c r="A58" i="33"/>
  <c r="C64" i="33"/>
  <c r="D48" i="33"/>
  <c r="C69" i="33"/>
  <c r="C68" i="33"/>
  <c r="Y24" i="67"/>
  <c r="F88" i="28"/>
  <c r="MC88" i="47"/>
  <c r="ME88" i="47"/>
  <c r="E140" i="48"/>
  <c r="IS126" i="47"/>
  <c r="C112" i="28"/>
  <c r="B112" i="28"/>
  <c r="HQ90" i="47"/>
  <c r="HR90" i="47"/>
  <c r="MD100" i="47"/>
  <c r="ME100" i="47"/>
  <c r="MD95" i="47"/>
  <c r="ME95" i="47"/>
  <c r="GF95" i="47"/>
  <c r="MD99" i="47"/>
  <c r="ME99" i="47"/>
  <c r="JS99" i="47"/>
  <c r="JQ99" i="47"/>
  <c r="JR99" i="47"/>
  <c r="F85" i="28"/>
  <c r="E127" i="48"/>
  <c r="IF126" i="47"/>
  <c r="C111" i="28"/>
  <c r="B111" i="28"/>
  <c r="BD90" i="47"/>
  <c r="BE90" i="47"/>
  <c r="DS99" i="47"/>
  <c r="DQ99" i="47"/>
  <c r="DR99" i="47"/>
  <c r="LS95" i="47"/>
  <c r="EF102" i="47"/>
  <c r="ED102" i="47"/>
  <c r="EE102" i="47"/>
  <c r="E114" i="47"/>
  <c r="D114" i="47"/>
  <c r="KD93" i="47"/>
  <c r="KE93" i="47"/>
  <c r="DF90" i="47"/>
  <c r="GQ91" i="47"/>
  <c r="GR91" i="47"/>
  <c r="GS91" i="47"/>
  <c r="EF99" i="47"/>
  <c r="CQ124" i="47"/>
  <c r="CR124" i="47"/>
  <c r="FI127" i="28"/>
  <c r="DD124" i="47"/>
  <c r="DE124" i="47"/>
  <c r="KD92" i="47"/>
  <c r="KE92" i="47"/>
  <c r="ID103" i="47"/>
  <c r="IE103" i="47"/>
  <c r="MD103" i="47"/>
  <c r="ME103" i="47"/>
  <c r="DQ96" i="47"/>
  <c r="DR96" i="47"/>
  <c r="BV127" i="28"/>
  <c r="AF124" i="47"/>
  <c r="ED124" i="47"/>
  <c r="EE124" i="47"/>
  <c r="ED92" i="47"/>
  <c r="EE92" i="47"/>
  <c r="BQ98" i="47"/>
  <c r="BR98" i="47"/>
  <c r="GD103" i="47"/>
  <c r="GE103" i="47"/>
  <c r="DQ105" i="47"/>
  <c r="DR105" i="47"/>
  <c r="IQ105" i="47"/>
  <c r="IR105" i="47"/>
  <c r="DD94" i="47"/>
  <c r="DE94" i="47"/>
  <c r="HS94" i="47"/>
  <c r="CF99" i="47"/>
  <c r="HV127" i="28"/>
  <c r="LQ98" i="47"/>
  <c r="LR98" i="47"/>
  <c r="AD105" i="47"/>
  <c r="AE105" i="47"/>
  <c r="MF105" i="47"/>
  <c r="CQ98" i="47"/>
  <c r="CR98" i="47"/>
  <c r="GF92" i="47"/>
  <c r="EI127" i="28"/>
  <c r="O67" i="33"/>
  <c r="Q105" i="47"/>
  <c r="R105" i="47"/>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c r="LC86" i="47"/>
  <c r="HC86" i="47"/>
  <c r="GP86" i="47"/>
  <c r="AC86" i="47"/>
  <c r="DC86" i="47"/>
  <c r="EP86" i="47"/>
  <c r="IC86" i="47"/>
  <c r="KC86" i="47"/>
  <c r="CC86" i="47"/>
  <c r="IP86" i="47"/>
  <c r="EC86" i="47"/>
  <c r="CP86" i="47"/>
  <c r="BP86" i="47"/>
  <c r="LP86" i="47"/>
  <c r="JP86" i="47"/>
  <c r="KP86" i="47"/>
  <c r="AP86" i="47"/>
  <c r="BC86" i="47"/>
  <c r="DP86" i="47"/>
  <c r="FP86" i="47"/>
  <c r="FQ86" i="47"/>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c r="LF87" i="47"/>
  <c r="O128" i="47"/>
  <c r="O129" i="47"/>
  <c r="LO128" i="47"/>
  <c r="LO129" i="47"/>
  <c r="C117" i="47"/>
  <c r="E126" i="48"/>
  <c r="GQ101" i="47"/>
  <c r="GR101" i="47"/>
  <c r="EF93" i="47"/>
  <c r="MF104" i="47"/>
  <c r="JF91" i="47"/>
  <c r="BP88" i="47"/>
  <c r="CP88" i="47"/>
  <c r="EC88" i="47"/>
  <c r="IP88" i="47"/>
  <c r="CC88" i="47"/>
  <c r="KC88" i="47"/>
  <c r="IC88" i="47"/>
  <c r="EP88" i="47"/>
  <c r="DC88" i="47"/>
  <c r="GC85" i="47"/>
  <c r="Q126" i="47"/>
  <c r="R126" i="47"/>
  <c r="C107" i="47"/>
  <c r="B107" i="47"/>
  <c r="IF91" i="47"/>
  <c r="ID91" i="47"/>
  <c r="IE91" i="47"/>
  <c r="U74" i="33"/>
  <c r="S58" i="33"/>
  <c r="W74" i="33"/>
  <c r="V58" i="33"/>
  <c r="U68" i="33"/>
  <c r="U67" i="33"/>
  <c r="U69" i="33"/>
  <c r="DP85" i="47"/>
  <c r="DS85" i="47"/>
  <c r="BC85" i="47"/>
  <c r="CD102" i="47"/>
  <c r="CE102" i="47"/>
  <c r="FQ91" i="47"/>
  <c r="FR91" i="47"/>
  <c r="BD91" i="47"/>
  <c r="BE91" i="47"/>
  <c r="AP85" i="47"/>
  <c r="HP88" i="47"/>
  <c r="KP85" i="47"/>
  <c r="KS85" i="47"/>
  <c r="JP85" i="47"/>
  <c r="LP85" i="47"/>
  <c r="LS85" i="47"/>
  <c r="D146" i="48"/>
  <c r="EF126" i="47"/>
  <c r="D134" i="48"/>
  <c r="DD101" i="47"/>
  <c r="DE101" i="47"/>
  <c r="GQ102" i="47"/>
  <c r="GR102" i="47"/>
  <c r="BP85" i="47"/>
  <c r="CP85" i="47"/>
  <c r="EC85" i="47"/>
  <c r="IP85" i="47"/>
  <c r="CC85" i="47"/>
  <c r="KC85" i="47"/>
  <c r="IC85" i="47"/>
  <c r="EP85" i="47"/>
  <c r="GP88" i="47"/>
  <c r="DC85" i="47"/>
  <c r="DF85" i="47"/>
  <c r="FP85" i="47"/>
  <c r="FQ85" i="47"/>
  <c r="P85" i="47"/>
  <c r="Q85" i="47"/>
  <c r="C126" i="47"/>
  <c r="DB128" i="47"/>
  <c r="DB129" i="47"/>
  <c r="E107" i="28"/>
  <c r="D107" i="28"/>
  <c r="AD101" i="47"/>
  <c r="AE101" i="47"/>
  <c r="FS97" i="47"/>
  <c r="BD100" i="47"/>
  <c r="BE100" i="47"/>
  <c r="HQ91" i="47"/>
  <c r="HR91" i="47"/>
  <c r="CS91" i="47"/>
  <c r="HP85" i="47"/>
  <c r="E112" i="28"/>
  <c r="D112" i="28"/>
  <c r="D132" i="48"/>
  <c r="E110" i="28"/>
  <c r="D110" i="28"/>
  <c r="C110" i="47"/>
  <c r="B110" i="47"/>
  <c r="MD93" i="47"/>
  <c r="ME93" i="47"/>
  <c r="GF104" i="47"/>
  <c r="ID97" i="47"/>
  <c r="IE97" i="47"/>
  <c r="BQ102" i="47"/>
  <c r="BR102" i="47"/>
  <c r="N64" i="33"/>
  <c r="Y48" i="33"/>
  <c r="Q64" i="33"/>
  <c r="AE48" i="33"/>
  <c r="I67" i="33"/>
  <c r="I68" i="33"/>
  <c r="I74" i="33"/>
  <c r="G58" i="33"/>
  <c r="K74" i="33"/>
  <c r="J58" i="33"/>
  <c r="I69" i="33"/>
  <c r="DP88" i="47"/>
  <c r="BC88" i="47"/>
  <c r="GP85" i="47"/>
  <c r="HC85" i="47"/>
  <c r="HD85" i="47"/>
  <c r="ID93" i="47"/>
  <c r="IE93" i="47"/>
  <c r="DF91" i="47"/>
  <c r="B88" i="48"/>
  <c r="T22" i="33"/>
  <c r="AF98" i="47"/>
  <c r="IQ103" i="47"/>
  <c r="IR103" i="47"/>
  <c r="JS92" i="47"/>
  <c r="FD96" i="47"/>
  <c r="FE96" i="47"/>
  <c r="FQ94" i="47"/>
  <c r="FR94" i="47"/>
  <c r="CS96" i="47"/>
  <c r="C67" i="33"/>
  <c r="BF96" i="47"/>
  <c r="KF98" i="47"/>
  <c r="LF124" i="47"/>
  <c r="HF98" i="47"/>
  <c r="DQ92" i="47"/>
  <c r="DR92" i="47"/>
  <c r="HQ103" i="47"/>
  <c r="HR103" i="47"/>
  <c r="KQ98" i="47"/>
  <c r="KR98" i="47"/>
  <c r="IQ94" i="47"/>
  <c r="IR94" i="47"/>
  <c r="EQ105" i="47"/>
  <c r="ER105" i="47"/>
  <c r="ID96" i="47"/>
  <c r="IE96" i="47"/>
  <c r="JF103" i="47"/>
  <c r="LS103" i="47"/>
  <c r="S103" i="47"/>
  <c r="AS105" i="47"/>
  <c r="CS103" i="47"/>
  <c r="DF98" i="47"/>
  <c r="DS98" i="47"/>
  <c r="FS92" i="47"/>
  <c r="JQ105" i="47"/>
  <c r="JR105" i="47"/>
  <c r="BS105" i="47"/>
  <c r="ES98" i="47"/>
  <c r="GQ92" i="47"/>
  <c r="GR92" i="47"/>
  <c r="GF96" i="47"/>
  <c r="FF105" i="47"/>
  <c r="B21" i="48"/>
  <c r="BQ124" i="47"/>
  <c r="BR124" i="47"/>
  <c r="S124" i="47"/>
  <c r="LS105" i="47"/>
  <c r="ED94" i="47"/>
  <c r="EE94" i="47"/>
  <c r="MD96" i="47"/>
  <c r="ME96" i="47"/>
  <c r="AQ94" i="47"/>
  <c r="AR94" i="47"/>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c r="J70" i="22"/>
  <c r="E86" i="48"/>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c r="JF101" i="47"/>
  <c r="MD101" i="47"/>
  <c r="ME101" i="47"/>
  <c r="MF101" i="47"/>
  <c r="KD13" i="47"/>
  <c r="KE13" i="47"/>
  <c r="KF13" i="47"/>
  <c r="BQ99" i="47"/>
  <c r="BR99" i="47"/>
  <c r="BS99" i="47"/>
  <c r="C122" i="28"/>
  <c r="B122" i="28"/>
  <c r="C122" i="47"/>
  <c r="B122" i="47"/>
  <c r="BS126" i="47"/>
  <c r="BQ126" i="47"/>
  <c r="BR126" i="47"/>
  <c r="BO128" i="47"/>
  <c r="BO129" i="47"/>
  <c r="CO128" i="47"/>
  <c r="CO129" i="47"/>
  <c r="CS126" i="47"/>
  <c r="MB128" i="47"/>
  <c r="MB129" i="47"/>
  <c r="MD126" i="47"/>
  <c r="ME126" i="47"/>
  <c r="E111" i="47"/>
  <c r="D111" i="47"/>
  <c r="E111" i="28"/>
  <c r="D111" i="28"/>
  <c r="ED100" i="47"/>
  <c r="EE100" i="47"/>
  <c r="EF100" i="47"/>
  <c r="KQ91" i="47"/>
  <c r="KR91" i="47"/>
  <c r="KS91" i="47"/>
  <c r="LS99" i="47"/>
  <c r="LQ99" i="47"/>
  <c r="LR99" i="47"/>
  <c r="C121" i="28"/>
  <c r="B121" i="28"/>
  <c r="D138" i="48"/>
  <c r="AD100" i="47"/>
  <c r="AE100" i="47"/>
  <c r="AF100" i="47"/>
  <c r="JF126" i="47"/>
  <c r="JD126" i="47"/>
  <c r="JE126" i="47"/>
  <c r="JB128" i="47"/>
  <c r="JB129" i="47"/>
  <c r="FO128" i="47"/>
  <c r="FO129" i="47"/>
  <c r="FS126" i="47"/>
  <c r="GQ126" i="47"/>
  <c r="GR126" i="47"/>
  <c r="GO128" i="47"/>
  <c r="GO129" i="47"/>
  <c r="BS93" i="47"/>
  <c r="BQ93" i="47"/>
  <c r="BR93" i="47"/>
  <c r="JS93" i="47"/>
  <c r="JQ93" i="47"/>
  <c r="JR93" i="47"/>
  <c r="S102" i="47"/>
  <c r="Q102" i="47"/>
  <c r="R102" i="47"/>
  <c r="FF102" i="47"/>
  <c r="FD102" i="47"/>
  <c r="FE102" i="47"/>
  <c r="GD102" i="47"/>
  <c r="GE102" i="47"/>
  <c r="GF102" i="47"/>
  <c r="JS97" i="47"/>
  <c r="JQ97" i="47"/>
  <c r="JR97" i="47"/>
  <c r="AD90" i="47"/>
  <c r="AE90" i="47"/>
  <c r="AF90" i="47"/>
  <c r="ID90" i="47"/>
  <c r="IE90" i="47"/>
  <c r="IF90" i="47"/>
  <c r="DS95" i="47"/>
  <c r="DQ95" i="47"/>
  <c r="DR95" i="47"/>
  <c r="ES95" i="47"/>
  <c r="EQ95" i="47"/>
  <c r="ER95" i="47"/>
  <c r="JS95" i="47"/>
  <c r="JQ95" i="47"/>
  <c r="JR95" i="47"/>
  <c r="HF95" i="47"/>
  <c r="HD95" i="47"/>
  <c r="HE95" i="47"/>
  <c r="LF91" i="47"/>
  <c r="LD91" i="47"/>
  <c r="LE91" i="47"/>
  <c r="C121" i="47"/>
  <c r="BB128" i="47"/>
  <c r="BB129" i="47"/>
  <c r="BF126" i="47"/>
  <c r="CD126" i="47"/>
  <c r="CE126" i="47"/>
  <c r="CB128" i="47"/>
  <c r="CB129" i="47"/>
  <c r="JS126" i="47"/>
  <c r="JQ126" i="47"/>
  <c r="JR126" i="47"/>
  <c r="CD100" i="47"/>
  <c r="CE100" i="47"/>
  <c r="CF100" i="47"/>
  <c r="C124" i="28"/>
  <c r="B124" i="28"/>
  <c r="D143" i="48"/>
  <c r="D116" i="47"/>
  <c r="KS104" i="47"/>
  <c r="KQ104" i="47"/>
  <c r="KR104" i="47"/>
  <c r="JF104" i="47"/>
  <c r="JD104" i="47"/>
  <c r="JE104" i="47"/>
  <c r="ID104" i="47"/>
  <c r="IE104" i="47"/>
  <c r="IF104" i="47"/>
  <c r="Q100" i="47"/>
  <c r="R100" i="47"/>
  <c r="S100" i="47"/>
  <c r="HF99" i="47"/>
  <c r="HD99" i="47"/>
  <c r="HE99" i="47"/>
  <c r="E135" i="48"/>
  <c r="HF101" i="47"/>
  <c r="EQ101" i="47"/>
  <c r="ER101" i="47"/>
  <c r="HF104" i="47"/>
  <c r="AS90" i="47"/>
  <c r="FD97" i="47"/>
  <c r="FE97" i="47"/>
  <c r="KF97" i="47"/>
  <c r="FQ90" i="47"/>
  <c r="FR90" i="47"/>
  <c r="BS100" i="47"/>
  <c r="AQ102" i="47"/>
  <c r="AR102" i="47"/>
  <c r="FS100" i="47"/>
  <c r="GF100" i="47"/>
  <c r="GD99" i="47"/>
  <c r="GE99" i="47"/>
  <c r="AD99" i="47"/>
  <c r="AE99" i="47"/>
  <c r="FD99" i="47"/>
  <c r="FE99" i="47"/>
  <c r="GF91" i="47"/>
  <c r="E117" i="28"/>
  <c r="D117" i="28"/>
  <c r="E108" i="47"/>
  <c r="CS102" i="47"/>
  <c r="GS100" i="47"/>
  <c r="HS99" i="47"/>
  <c r="CF91" i="47"/>
  <c r="EQ91" i="47"/>
  <c r="ER91" i="47"/>
  <c r="CD101" i="47"/>
  <c r="CE101" i="47"/>
  <c r="AQ97" i="47"/>
  <c r="AR97" i="47"/>
  <c r="FQ102" i="47"/>
  <c r="FR102" i="47"/>
  <c r="DQ93" i="47"/>
  <c r="DR93" i="47"/>
  <c r="DQ104" i="47"/>
  <c r="DR104" i="47"/>
  <c r="EQ97" i="47"/>
  <c r="ER97" i="47"/>
  <c r="GQ97" i="47"/>
  <c r="GR97" i="47"/>
  <c r="JQ90" i="47"/>
  <c r="JR90" i="47"/>
  <c r="JQ100" i="47"/>
  <c r="JR100" i="47"/>
  <c r="ID95" i="47"/>
  <c r="IE95" i="47"/>
  <c r="AD95" i="47"/>
  <c r="AE95" i="47"/>
  <c r="Q91" i="47"/>
  <c r="R91" i="47"/>
  <c r="BF98" i="47"/>
  <c r="BD98" i="47"/>
  <c r="BE98" i="47"/>
  <c r="JF92" i="47"/>
  <c r="JD92" i="47"/>
  <c r="JE92" i="47"/>
  <c r="S94" i="47"/>
  <c r="Q94" i="47"/>
  <c r="R94" i="47"/>
  <c r="FD94" i="47"/>
  <c r="FE94" i="47"/>
  <c r="FF94" i="47"/>
  <c r="ID105" i="47"/>
  <c r="IE105" i="47"/>
  <c r="IF105" i="47"/>
  <c r="CF96" i="47"/>
  <c r="CD96" i="47"/>
  <c r="CE96" i="47"/>
  <c r="JF124" i="47"/>
  <c r="JD124" i="47"/>
  <c r="JE124" i="47"/>
  <c r="HD94" i="47"/>
  <c r="HE94" i="47"/>
  <c r="HF94" i="47"/>
  <c r="ID94" i="47"/>
  <c r="IE94" i="47"/>
  <c r="IF94" i="47"/>
  <c r="T131" i="28"/>
  <c r="GF98" i="47"/>
  <c r="GD98" i="47"/>
  <c r="GE98" i="47"/>
  <c r="JS98" i="47"/>
  <c r="JQ98" i="47"/>
  <c r="JR98" i="47"/>
  <c r="AG131" i="28"/>
  <c r="BT131" i="28"/>
  <c r="CG131" i="28"/>
  <c r="DT131" i="28"/>
  <c r="FG131" i="28"/>
  <c r="FT131" i="28"/>
  <c r="JG131" i="28"/>
  <c r="KS105" i="47"/>
  <c r="KQ105" i="47"/>
  <c r="KR105" i="47"/>
  <c r="HQ124" i="47"/>
  <c r="HR124" i="47"/>
  <c r="HS124" i="47"/>
  <c r="KD103" i="47"/>
  <c r="KE103" i="47"/>
  <c r="KF103" i="47"/>
  <c r="FD124" i="47"/>
  <c r="FE124" i="47"/>
  <c r="CD103" i="47"/>
  <c r="CE103" i="47"/>
  <c r="AD96" i="47"/>
  <c r="AE96" i="47"/>
  <c r="JS124" i="47"/>
  <c r="CF105" i="47"/>
  <c r="KF94" i="47"/>
  <c r="AD103" i="47"/>
  <c r="AE103" i="47"/>
  <c r="JF105" i="47"/>
  <c r="GQ98" i="47"/>
  <c r="GR98" i="47"/>
  <c r="BF94" i="47"/>
  <c r="EF96" i="47"/>
  <c r="CF124" i="47"/>
  <c r="CF92" i="47"/>
  <c r="IQ124" i="47"/>
  <c r="IR124" i="47"/>
  <c r="BQ92" i="47"/>
  <c r="BR92" i="47"/>
  <c r="BD92" i="47"/>
  <c r="BE92" i="47"/>
  <c r="EQ103" i="47"/>
  <c r="ER103" i="47"/>
  <c r="GQ103" i="47"/>
  <c r="GR103" i="47"/>
  <c r="DD103" i="47"/>
  <c r="DE103" i="47"/>
  <c r="JD94" i="47"/>
  <c r="JE94" i="47"/>
  <c r="BQ96" i="47"/>
  <c r="BR96" i="47"/>
  <c r="AD94" i="47"/>
  <c r="AE94" i="47"/>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JP79" i="28"/>
  <c r="JR79" i="28"/>
  <c r="KC41" i="28"/>
  <c r="KD41" i="28"/>
  <c r="HF13" i="47"/>
  <c r="T31" i="33"/>
  <c r="I83" i="48"/>
  <c r="I26" i="48"/>
  <c r="Z16" i="33"/>
  <c r="I41" i="48"/>
  <c r="H21" i="33"/>
  <c r="Z31" i="33"/>
  <c r="I79" i="48"/>
  <c r="HI123" i="28"/>
  <c r="FV123" i="28"/>
  <c r="I123" i="28"/>
  <c r="EV123" i="28"/>
  <c r="IV123" i="28"/>
  <c r="I50" i="48"/>
  <c r="W21" i="33"/>
  <c r="D25" i="26"/>
  <c r="J9" i="22"/>
  <c r="D39" i="26"/>
  <c r="D7" i="64"/>
  <c r="D16" i="64"/>
  <c r="D38" i="26"/>
  <c r="I66" i="22"/>
  <c r="T33" i="33"/>
  <c r="P26" i="64"/>
  <c r="C52" i="47"/>
  <c r="JJ52" i="47"/>
  <c r="D14" i="26"/>
  <c r="J30" i="22"/>
  <c r="F28" i="33"/>
  <c r="Q25" i="62"/>
  <c r="E16" i="47"/>
  <c r="HY16" i="47"/>
  <c r="D60" i="26"/>
  <c r="H21" i="3"/>
  <c r="N10" i="48"/>
  <c r="AZ10" i="33"/>
  <c r="I40" i="48"/>
  <c r="K21" i="33"/>
  <c r="I68" i="48"/>
  <c r="H36" i="33"/>
  <c r="I76" i="48"/>
  <c r="K31" i="33"/>
  <c r="D12" i="26"/>
  <c r="B12" i="3"/>
  <c r="D55" i="26"/>
  <c r="D8" i="66"/>
  <c r="D15" i="26"/>
  <c r="D47" i="26"/>
  <c r="D5" i="69"/>
  <c r="B26" i="33"/>
  <c r="I38" i="48"/>
  <c r="E21" i="33"/>
  <c r="I36" i="48"/>
  <c r="D43" i="26"/>
  <c r="J40" i="22"/>
  <c r="I100" i="48"/>
  <c r="I63" i="48"/>
  <c r="AF26" i="33"/>
  <c r="I125" i="47"/>
  <c r="DV125" i="47"/>
  <c r="AV125" i="47"/>
  <c r="JV125" i="47"/>
  <c r="E26" i="33"/>
  <c r="I37" i="48"/>
  <c r="I21" i="48"/>
  <c r="I23" i="48"/>
  <c r="T16" i="33"/>
  <c r="I27" i="48"/>
  <c r="I32" i="48"/>
  <c r="I113" i="48"/>
  <c r="I61" i="48"/>
  <c r="AI21" i="33"/>
  <c r="I46" i="48"/>
  <c r="N21" i="33"/>
  <c r="D22" i="26"/>
  <c r="I7" i="22"/>
  <c r="D57" i="26"/>
  <c r="I51" i="48"/>
  <c r="T21" i="33"/>
  <c r="CF13" i="47"/>
  <c r="CD13" i="47"/>
  <c r="JC79" i="28"/>
  <c r="JF79" i="28"/>
  <c r="IC79" i="28"/>
  <c r="ID79" i="28"/>
  <c r="IP79" i="28"/>
  <c r="IR79" i="28"/>
  <c r="AP41" i="28"/>
  <c r="AQ41" i="28"/>
  <c r="HR13" i="47"/>
  <c r="HC50" i="28"/>
  <c r="HD50" i="28"/>
  <c r="IP41" i="28"/>
  <c r="IS41" i="28"/>
  <c r="IC41" i="28"/>
  <c r="ID41" i="28"/>
  <c r="Q58" i="33"/>
  <c r="R64" i="33"/>
  <c r="AH48" i="33"/>
  <c r="AI49" i="33"/>
  <c r="GP41" i="28"/>
  <c r="GQ41" i="28"/>
  <c r="HS13" i="47"/>
  <c r="B146" i="48"/>
  <c r="JP27" i="28"/>
  <c r="JQ27" i="28"/>
  <c r="B38" i="48"/>
  <c r="HP64" i="28"/>
  <c r="HQ64" i="28"/>
  <c r="DC29" i="28"/>
  <c r="DF29" i="28"/>
  <c r="B48" i="48"/>
  <c r="GC64" i="28"/>
  <c r="GD64" i="28"/>
  <c r="H22" i="33"/>
  <c r="AC79" i="28"/>
  <c r="AE79" i="28"/>
  <c r="Q59" i="33"/>
  <c r="MC64" i="28"/>
  <c r="ME64" i="28"/>
  <c r="MC79" i="28"/>
  <c r="ME79" i="28"/>
  <c r="C58" i="48"/>
  <c r="KC79" i="28"/>
  <c r="KF79" i="28"/>
  <c r="FP79" i="28"/>
  <c r="FR79" i="28"/>
  <c r="C110" i="48"/>
  <c r="B110" i="48"/>
  <c r="N12" i="33"/>
  <c r="C17" i="48"/>
  <c r="B22" i="33"/>
  <c r="C36" i="48"/>
  <c r="B36" i="48"/>
  <c r="C127" i="48"/>
  <c r="B127" i="48"/>
  <c r="E17" i="33"/>
  <c r="B15" i="48"/>
  <c r="C15" i="48"/>
  <c r="DC79" i="28"/>
  <c r="DF79" i="28"/>
  <c r="B12" i="33"/>
  <c r="LC79" i="28"/>
  <c r="LE79" i="28"/>
  <c r="CP79" i="28"/>
  <c r="CS79" i="28"/>
  <c r="B26" i="48"/>
  <c r="K27" i="33"/>
  <c r="B27" i="33"/>
  <c r="C120" i="48"/>
  <c r="B120" i="48"/>
  <c r="C102" i="48"/>
  <c r="B102" i="48"/>
  <c r="Q22" i="33"/>
  <c r="CC29" i="28"/>
  <c r="CF29" i="28"/>
  <c r="BC79" i="28"/>
  <c r="B4" i="48"/>
  <c r="HP79" i="28"/>
  <c r="HQ79" i="28"/>
  <c r="EP79" i="28"/>
  <c r="ES79" i="28"/>
  <c r="C81" i="48"/>
  <c r="AI37" i="33"/>
  <c r="K37" i="33"/>
  <c r="B77" i="48"/>
  <c r="C77" i="48"/>
  <c r="C27" i="48"/>
  <c r="B27" i="48"/>
  <c r="AI17" i="33"/>
  <c r="C76" i="48"/>
  <c r="LP79" i="28"/>
  <c r="C22" i="48"/>
  <c r="AC12" i="33"/>
  <c r="FC79" i="28"/>
  <c r="FD79" i="28"/>
  <c r="EC79" i="28"/>
  <c r="EF79" i="28"/>
  <c r="T32" i="33"/>
  <c r="K12" i="33"/>
  <c r="C48" i="48"/>
  <c r="T12" i="33"/>
  <c r="B20" i="48"/>
  <c r="W12" i="33"/>
  <c r="C20" i="48"/>
  <c r="B105" i="48"/>
  <c r="C105" i="48"/>
  <c r="B66" i="48"/>
  <c r="H37" i="33"/>
  <c r="C66" i="48"/>
  <c r="B76" i="48"/>
  <c r="P79" i="28"/>
  <c r="S79" i="28"/>
  <c r="B22" i="48"/>
  <c r="C143" i="48"/>
  <c r="AP79" i="28"/>
  <c r="AQ79" i="28"/>
  <c r="IS13" i="47"/>
  <c r="GC79" i="28"/>
  <c r="GD79" i="28"/>
  <c r="BP79" i="28"/>
  <c r="BQ79" i="28"/>
  <c r="C91" i="48"/>
  <c r="B91" i="48"/>
  <c r="AF37" i="33"/>
  <c r="B62" i="48"/>
  <c r="AF22" i="33"/>
  <c r="C62" i="48"/>
  <c r="C73" i="48"/>
  <c r="GP79" i="28"/>
  <c r="H12" i="33"/>
  <c r="KP79" i="28"/>
  <c r="KS79" i="28"/>
  <c r="HC79" i="28"/>
  <c r="HF79" i="28"/>
  <c r="B7" i="48"/>
  <c r="B31" i="48"/>
  <c r="C52" i="48"/>
  <c r="Z27" i="33"/>
  <c r="B52" i="48"/>
  <c r="C134" i="48"/>
  <c r="B134" i="48"/>
  <c r="AI32" i="33"/>
  <c r="N59" i="33"/>
  <c r="B73" i="48"/>
  <c r="IQ13" i="47"/>
  <c r="DP79" i="28"/>
  <c r="DR79" i="28"/>
  <c r="C13" i="48"/>
  <c r="C31" i="48"/>
  <c r="C26" i="48"/>
  <c r="K22" i="33"/>
  <c r="B42" i="48"/>
  <c r="B43" i="48"/>
  <c r="N22" i="33"/>
  <c r="C43" i="48"/>
  <c r="C109" i="48"/>
  <c r="B109" i="48"/>
  <c r="Z37" i="33"/>
  <c r="C80" i="48"/>
  <c r="Z12" i="33"/>
  <c r="B25" i="48"/>
  <c r="C25" i="48"/>
  <c r="B32" i="33"/>
  <c r="C70" i="48"/>
  <c r="B70" i="48"/>
  <c r="B138" i="48"/>
  <c r="JR71" i="47"/>
  <c r="AP27" i="28"/>
  <c r="AQ27" i="28"/>
  <c r="KS10" i="47"/>
  <c r="EC27" i="28"/>
  <c r="EE27" i="28"/>
  <c r="ES71" i="47"/>
  <c r="EP27" i="28"/>
  <c r="EQ27" i="28"/>
  <c r="BP27" i="28"/>
  <c r="BQ27" i="28"/>
  <c r="IC27" i="28"/>
  <c r="IE27" i="28"/>
  <c r="KP27" i="28"/>
  <c r="KS27" i="28"/>
  <c r="EQ71" i="47"/>
  <c r="FC27" i="28"/>
  <c r="FE27" i="28"/>
  <c r="LF6" i="47"/>
  <c r="CF80" i="47"/>
  <c r="CC27" i="28"/>
  <c r="CF27" i="28"/>
  <c r="IF10" i="47"/>
  <c r="AF10" i="47"/>
  <c r="C18" i="48"/>
  <c r="Q12" i="33"/>
  <c r="B18" i="48"/>
  <c r="N17" i="33"/>
  <c r="B11" i="48"/>
  <c r="C11" i="48"/>
  <c r="B114" i="48"/>
  <c r="C114" i="48"/>
  <c r="DC27" i="28"/>
  <c r="DE27" i="28"/>
  <c r="HC27" i="28"/>
  <c r="AC27" i="28"/>
  <c r="AE27" i="28"/>
  <c r="DP27" i="28"/>
  <c r="DQ27" i="28"/>
  <c r="LD6" i="47"/>
  <c r="LP27" i="28"/>
  <c r="LR27" i="28"/>
  <c r="B117" i="48"/>
  <c r="C117" i="48"/>
  <c r="C74" i="48"/>
  <c r="Q32" i="33"/>
  <c r="B74" i="48"/>
  <c r="CP27" i="28"/>
  <c r="CQ27" i="28"/>
  <c r="LC27" i="28"/>
  <c r="LD27" i="28"/>
  <c r="MC27" i="28"/>
  <c r="ME27" i="28"/>
  <c r="KC27" i="28"/>
  <c r="KE27" i="28"/>
  <c r="B89" i="48"/>
  <c r="C89" i="48"/>
  <c r="AC37" i="33"/>
  <c r="AC27" i="33"/>
  <c r="GC27" i="28"/>
  <c r="GF27" i="28"/>
  <c r="B64" i="33"/>
  <c r="A48" i="33"/>
  <c r="B49" i="33"/>
  <c r="B69" i="48"/>
  <c r="FP27" i="28"/>
  <c r="FS27" i="28"/>
  <c r="P27" i="28"/>
  <c r="BC27" i="28"/>
  <c r="BD27" i="28"/>
  <c r="HP27" i="28"/>
  <c r="HQ27" i="28"/>
  <c r="AF6" i="47"/>
  <c r="B16" i="48"/>
  <c r="H27" i="33"/>
  <c r="B57" i="33"/>
  <c r="IP27" i="28"/>
  <c r="IR27" i="28"/>
  <c r="JC27" i="28"/>
  <c r="JF27" i="28"/>
  <c r="CE80" i="47"/>
  <c r="KE10" i="47"/>
  <c r="JS71" i="47"/>
  <c r="KF10" i="47"/>
  <c r="C33" i="48"/>
  <c r="B33" i="48"/>
  <c r="AI12" i="33"/>
  <c r="F64" i="33"/>
  <c r="J48" i="33"/>
  <c r="K49" i="33"/>
  <c r="O64" i="33"/>
  <c r="AB48" i="33"/>
  <c r="N57" i="33"/>
  <c r="N58" i="33"/>
  <c r="BC64" i="28"/>
  <c r="BD64" i="28"/>
  <c r="JP64" i="28"/>
  <c r="JR64" i="28"/>
  <c r="DC64" i="28"/>
  <c r="DF64" i="28"/>
  <c r="AC64" i="28"/>
  <c r="AD64" i="28"/>
  <c r="KP64" i="28"/>
  <c r="KR64" i="28"/>
  <c r="IP64" i="28"/>
  <c r="DP64" i="28"/>
  <c r="DS64" i="28"/>
  <c r="LP64" i="28"/>
  <c r="LS64" i="28"/>
  <c r="KC64" i="28"/>
  <c r="KE64" i="28"/>
  <c r="P64" i="28"/>
  <c r="R64" i="28"/>
  <c r="HC64" i="28"/>
  <c r="IC64" i="28"/>
  <c r="ID64" i="28"/>
  <c r="LC64" i="28"/>
  <c r="LF64" i="28"/>
  <c r="EP64" i="28"/>
  <c r="GP64" i="28"/>
  <c r="GR64" i="28"/>
  <c r="FP64" i="28"/>
  <c r="FQ64" i="28"/>
  <c r="EC64" i="28"/>
  <c r="EF64" i="28"/>
  <c r="HE6" i="47"/>
  <c r="AP64" i="28"/>
  <c r="BP64" i="28"/>
  <c r="BR64" i="28"/>
  <c r="FC64" i="28"/>
  <c r="FD64" i="28"/>
  <c r="KC29" i="28"/>
  <c r="CD71" i="47"/>
  <c r="CP64" i="28"/>
  <c r="CS64" i="28"/>
  <c r="CC64" i="28"/>
  <c r="CE64" i="28"/>
  <c r="BP29" i="28"/>
  <c r="BS29" i="28"/>
  <c r="JC29" i="28"/>
  <c r="JD29" i="28"/>
  <c r="JP41" i="28"/>
  <c r="JQ41" i="28"/>
  <c r="HC41" i="28"/>
  <c r="HF41" i="28"/>
  <c r="JC41" i="28"/>
  <c r="JD41" i="28"/>
  <c r="DC41" i="28"/>
  <c r="DF41" i="28"/>
  <c r="DP41" i="28"/>
  <c r="DQ41" i="28"/>
  <c r="BP41" i="28"/>
  <c r="BR41" i="28"/>
  <c r="FC41" i="28"/>
  <c r="FE41" i="28"/>
  <c r="LC41" i="28"/>
  <c r="LE41" i="28"/>
  <c r="AC41" i="28"/>
  <c r="AE41" i="28"/>
  <c r="HP41" i="28"/>
  <c r="HR41" i="28"/>
  <c r="P41" i="28"/>
  <c r="Q41" i="28"/>
  <c r="EC41" i="28"/>
  <c r="EE41" i="28"/>
  <c r="EP41" i="28"/>
  <c r="ES41" i="28"/>
  <c r="FP41" i="28"/>
  <c r="FR41" i="28"/>
  <c r="KF28" i="47"/>
  <c r="LP41" i="28"/>
  <c r="LQ41" i="28"/>
  <c r="GC41" i="28"/>
  <c r="GD41" i="28"/>
  <c r="KP41" i="28"/>
  <c r="KQ41" i="28"/>
  <c r="CP41" i="28"/>
  <c r="CR41" i="28"/>
  <c r="MC41" i="28"/>
  <c r="MD41" i="28"/>
  <c r="CC41" i="28"/>
  <c r="CE41" i="28"/>
  <c r="GS6" i="47"/>
  <c r="IR6" i="47"/>
  <c r="S6" i="47"/>
  <c r="R6" i="47"/>
  <c r="H20" i="3"/>
  <c r="I27" i="22"/>
  <c r="D7" i="68"/>
  <c r="D16" i="68"/>
  <c r="J75" i="22"/>
  <c r="AG38" i="33"/>
  <c r="Q27" i="68"/>
  <c r="AR6" i="47"/>
  <c r="AS6" i="47"/>
  <c r="HQ10" i="47"/>
  <c r="BD10" i="47"/>
  <c r="IS10" i="47"/>
  <c r="HS10" i="47"/>
  <c r="MD10" i="47"/>
  <c r="BE10" i="47"/>
  <c r="LD71" i="47"/>
  <c r="ID6" i="47"/>
  <c r="IR10" i="47"/>
  <c r="LE71" i="47"/>
  <c r="IF6" i="47"/>
  <c r="JD6" i="47"/>
  <c r="JF6" i="47"/>
  <c r="GC72" i="28"/>
  <c r="GE72" i="28"/>
  <c r="BR10" i="47"/>
  <c r="BS10" i="47"/>
  <c r="D10" i="26"/>
  <c r="D8" i="61"/>
  <c r="D17" i="61"/>
  <c r="JP29" i="28"/>
  <c r="JS29" i="28"/>
  <c r="GP29" i="28"/>
  <c r="GR29" i="28"/>
  <c r="MC29" i="28"/>
  <c r="MD29" i="28"/>
  <c r="FP29" i="28"/>
  <c r="FS29" i="28"/>
  <c r="P29" i="28"/>
  <c r="R29" i="28"/>
  <c r="CF71" i="47"/>
  <c r="DF6" i="47"/>
  <c r="DD10" i="47"/>
  <c r="KD6" i="47"/>
  <c r="ES6" i="47"/>
  <c r="KE6" i="47"/>
  <c r="EE6" i="47"/>
  <c r="FC29" i="28"/>
  <c r="FE29" i="28"/>
  <c r="IP29" i="28"/>
  <c r="IR29" i="28"/>
  <c r="BC29" i="28"/>
  <c r="BD29" i="28"/>
  <c r="KP29" i="28"/>
  <c r="KS29" i="28"/>
  <c r="CD10" i="47"/>
  <c r="AP29" i="28"/>
  <c r="AQ29" i="28"/>
  <c r="HP29" i="28"/>
  <c r="HS29" i="28"/>
  <c r="JF10" i="47"/>
  <c r="CQ10" i="47"/>
  <c r="LP29" i="28"/>
  <c r="LS29" i="28"/>
  <c r="GC29" i="28"/>
  <c r="GE29" i="28"/>
  <c r="CP29" i="28"/>
  <c r="CQ29" i="28"/>
  <c r="DE6" i="47"/>
  <c r="HC29" i="28"/>
  <c r="HD29" i="28"/>
  <c r="JQ10" i="47"/>
  <c r="KD34" i="28"/>
  <c r="EP29" i="28"/>
  <c r="ES29" i="28"/>
  <c r="DP29" i="28"/>
  <c r="DS29" i="28"/>
  <c r="IC29" i="28"/>
  <c r="ID29" i="28"/>
  <c r="KS6" i="47"/>
  <c r="LC29" i="28"/>
  <c r="LF29" i="28"/>
  <c r="ED6" i="47"/>
  <c r="AC29" i="28"/>
  <c r="AE29" i="28"/>
  <c r="HD6" i="47"/>
  <c r="CF10" i="47"/>
  <c r="CS10" i="47"/>
  <c r="JS10" i="47"/>
  <c r="JP80" i="28"/>
  <c r="JS80" i="28"/>
  <c r="IS6" i="47"/>
  <c r="KF41" i="28"/>
  <c r="GP57" i="28"/>
  <c r="GQ57" i="28"/>
  <c r="ER6" i="47"/>
  <c r="IF71" i="47"/>
  <c r="GQ10" i="47"/>
  <c r="EE10" i="47"/>
  <c r="D7" i="63"/>
  <c r="D16" i="63"/>
  <c r="ED10" i="47"/>
  <c r="KQ6" i="47"/>
  <c r="GQ6" i="47"/>
  <c r="IQ52" i="28"/>
  <c r="BS6" i="47"/>
  <c r="LQ10" i="47"/>
  <c r="IC80" i="28"/>
  <c r="IF80" i="28"/>
  <c r="IR52" i="28"/>
  <c r="ME6" i="47"/>
  <c r="BR6" i="47"/>
  <c r="JE10" i="47"/>
  <c r="KR55" i="28"/>
  <c r="LR10" i="47"/>
  <c r="LR6" i="47"/>
  <c r="FR71" i="47"/>
  <c r="MD6" i="47"/>
  <c r="DE10" i="47"/>
  <c r="LS6" i="47"/>
  <c r="J11" i="22"/>
  <c r="FQ71" i="47"/>
  <c r="AP80" i="28"/>
  <c r="AQ80" i="28"/>
  <c r="DC80" i="28"/>
  <c r="DE80" i="28"/>
  <c r="CP80" i="28"/>
  <c r="CR80" i="28"/>
  <c r="EQ10" i="47"/>
  <c r="ME80" i="28"/>
  <c r="BR71" i="47"/>
  <c r="EC80" i="28"/>
  <c r="ED80" i="28"/>
  <c r="Q7" i="68"/>
  <c r="ER10" i="47"/>
  <c r="DS6" i="47"/>
  <c r="KP80" i="28"/>
  <c r="KQ80" i="28"/>
  <c r="FC80" i="28"/>
  <c r="FE80" i="28"/>
  <c r="FR6" i="47"/>
  <c r="DR6" i="47"/>
  <c r="FF6" i="47"/>
  <c r="BS71" i="47"/>
  <c r="JC80" i="28"/>
  <c r="JD80" i="28"/>
  <c r="CQ6" i="47"/>
  <c r="FP80" i="28"/>
  <c r="FR80" i="28"/>
  <c r="HC80" i="28"/>
  <c r="HD80" i="28"/>
  <c r="GP80" i="28"/>
  <c r="GQ80" i="28"/>
  <c r="CR6" i="47"/>
  <c r="GC80" i="28"/>
  <c r="GD80" i="28"/>
  <c r="R55" i="28"/>
  <c r="IP43" i="28"/>
  <c r="IR43" i="28"/>
  <c r="DR10" i="47"/>
  <c r="LC80" i="28"/>
  <c r="LE80" i="28"/>
  <c r="P80" i="28"/>
  <c r="R80" i="28"/>
  <c r="LP80" i="28"/>
  <c r="LS80" i="28"/>
  <c r="EP80" i="28"/>
  <c r="EQ80" i="28"/>
  <c r="FS6" i="47"/>
  <c r="FD6" i="47"/>
  <c r="CC80" i="28"/>
  <c r="CF80" i="28"/>
  <c r="AC80" i="28"/>
  <c r="AD80" i="28"/>
  <c r="BC80" i="28"/>
  <c r="BF80" i="28"/>
  <c r="BP80" i="28"/>
  <c r="BQ80" i="28"/>
  <c r="KC80" i="28"/>
  <c r="KF80" i="28"/>
  <c r="MD80" i="28"/>
  <c r="BE6" i="47"/>
  <c r="ER60" i="28"/>
  <c r="S10" i="47"/>
  <c r="ES60" i="28"/>
  <c r="EC24" i="28"/>
  <c r="ED24" i="28"/>
  <c r="GP24" i="28"/>
  <c r="GQ24" i="28"/>
  <c r="AS10" i="47"/>
  <c r="J42" i="22"/>
  <c r="D8" i="70"/>
  <c r="D17" i="70"/>
  <c r="J43" i="22"/>
  <c r="U28" i="33"/>
  <c r="Q25" i="64"/>
  <c r="Q8" i="66"/>
  <c r="I51" i="22"/>
  <c r="D6" i="64"/>
  <c r="D15" i="64"/>
  <c r="B27" i="3"/>
  <c r="CD6" i="47"/>
  <c r="AQ10" i="47"/>
  <c r="I18" i="22"/>
  <c r="FE10" i="47"/>
  <c r="D7" i="62"/>
  <c r="Q7" i="62"/>
  <c r="JR6" i="47"/>
  <c r="GF10" i="47"/>
  <c r="JF71" i="47"/>
  <c r="BF6" i="47"/>
  <c r="FD10" i="47"/>
  <c r="I74" i="22"/>
  <c r="AF33" i="33"/>
  <c r="P26" i="68"/>
  <c r="I34" i="22"/>
  <c r="I11" i="22"/>
  <c r="B14" i="3"/>
  <c r="JE71" i="47"/>
  <c r="E19" i="3"/>
  <c r="CE6" i="47"/>
  <c r="JQ6" i="47"/>
  <c r="J55" i="22"/>
  <c r="F38" i="33"/>
  <c r="Q27" i="62"/>
  <c r="J19" i="22"/>
  <c r="JP71" i="28"/>
  <c r="JS71" i="28"/>
  <c r="DP71" i="28"/>
  <c r="DQ71" i="28"/>
  <c r="AC71" i="28"/>
  <c r="AD71" i="28"/>
  <c r="IP80" i="28"/>
  <c r="IQ80" i="28"/>
  <c r="KP71" i="28"/>
  <c r="KQ71" i="28"/>
  <c r="LC71" i="28"/>
  <c r="LE71" i="28"/>
  <c r="EP71" i="28"/>
  <c r="ER71" i="28"/>
  <c r="IC71" i="28"/>
  <c r="ID71" i="28"/>
  <c r="FP71" i="28"/>
  <c r="FR71" i="28"/>
  <c r="GP71" i="28"/>
  <c r="GR71" i="28"/>
  <c r="DC71" i="28"/>
  <c r="DD71" i="28"/>
  <c r="FS10" i="47"/>
  <c r="AE6" i="47"/>
  <c r="IE10" i="47"/>
  <c r="AE10" i="47"/>
  <c r="DS10" i="47"/>
  <c r="KQ10" i="47"/>
  <c r="GR10" i="47"/>
  <c r="GD10" i="47"/>
  <c r="P71" i="28"/>
  <c r="R71" i="28"/>
  <c r="HP80" i="28"/>
  <c r="HS80" i="28"/>
  <c r="FQ10" i="47"/>
  <c r="MF10" i="47"/>
  <c r="IE71" i="47"/>
  <c r="E7" i="3"/>
  <c r="R10" i="47"/>
  <c r="HF10" i="47"/>
  <c r="GD6" i="47"/>
  <c r="EF71" i="47"/>
  <c r="LP71" i="28"/>
  <c r="I53" i="22"/>
  <c r="H38" i="33"/>
  <c r="P27" i="63"/>
  <c r="GF6" i="47"/>
  <c r="HS6" i="47"/>
  <c r="LF10" i="47"/>
  <c r="IP71" i="28"/>
  <c r="ED71" i="47"/>
  <c r="J33" i="22"/>
  <c r="LE10" i="47"/>
  <c r="HQ6" i="47"/>
  <c r="HD10" i="47"/>
  <c r="BC71" i="28"/>
  <c r="FC71" i="28"/>
  <c r="FD71" i="28"/>
  <c r="BP71" i="28"/>
  <c r="BQ71" i="28"/>
  <c r="CP71" i="28"/>
  <c r="CS71" i="28"/>
  <c r="CC71" i="28"/>
  <c r="CE71" i="28"/>
  <c r="JC71" i="28"/>
  <c r="JF71" i="28"/>
  <c r="KC71" i="28"/>
  <c r="KD71" i="28"/>
  <c r="GC71" i="28"/>
  <c r="GF71" i="28"/>
  <c r="HC71" i="28"/>
  <c r="HD71" i="28"/>
  <c r="HQ71" i="28"/>
  <c r="HS71" i="28"/>
  <c r="HR71" i="28"/>
  <c r="AP71" i="28"/>
  <c r="EC71" i="28"/>
  <c r="MC71" i="28"/>
  <c r="HC48" i="28"/>
  <c r="HD48" i="28"/>
  <c r="N8" i="48"/>
  <c r="AZ8" i="33"/>
  <c r="J52" i="22"/>
  <c r="I33" i="33"/>
  <c r="Q26" i="63"/>
  <c r="DC24" i="28"/>
  <c r="DF24" i="28"/>
  <c r="KE34" i="28"/>
  <c r="KQ55" i="28"/>
  <c r="KR28" i="47"/>
  <c r="H9" i="3"/>
  <c r="HP67" i="47"/>
  <c r="HQ67" i="47"/>
  <c r="CP24" i="28"/>
  <c r="CR24" i="28"/>
  <c r="S31" i="28"/>
  <c r="BS31" i="28"/>
  <c r="EP24" i="28"/>
  <c r="ES24" i="28"/>
  <c r="KE41" i="28"/>
  <c r="LS48" i="47"/>
  <c r="AQ55" i="28"/>
  <c r="IF24" i="28"/>
  <c r="BC24" i="28"/>
  <c r="BE24" i="28"/>
  <c r="BQ31" i="28"/>
  <c r="CC24" i="28"/>
  <c r="CE24" i="28"/>
  <c r="AR55" i="28"/>
  <c r="HR28" i="47"/>
  <c r="AP83" i="28"/>
  <c r="AR83" i="28"/>
  <c r="LC24" i="28"/>
  <c r="Q31" i="28"/>
  <c r="AC24" i="28"/>
  <c r="AF24" i="28"/>
  <c r="I62" i="22"/>
  <c r="K33" i="33"/>
  <c r="P26" i="70"/>
  <c r="E20" i="3"/>
  <c r="J66" i="22"/>
  <c r="U33" i="33"/>
  <c r="Q26" i="64"/>
  <c r="Z32" i="64"/>
  <c r="GE20" i="47"/>
  <c r="Q7" i="64"/>
  <c r="Q7" i="66"/>
  <c r="AP48" i="28"/>
  <c r="AS48" i="28"/>
  <c r="FC20" i="28"/>
  <c r="FE20" i="28"/>
  <c r="AF62" i="47"/>
  <c r="CP13" i="28"/>
  <c r="CQ13" i="28"/>
  <c r="EC48" i="28"/>
  <c r="EF48" i="28"/>
  <c r="FS28" i="47"/>
  <c r="DP80" i="28"/>
  <c r="DQ80" i="28"/>
  <c r="HR34" i="28"/>
  <c r="HQ34" i="28"/>
  <c r="FC76" i="47"/>
  <c r="FF76" i="47"/>
  <c r="LC62" i="28"/>
  <c r="LE62" i="28"/>
  <c r="GE34" i="28"/>
  <c r="LC13" i="28"/>
  <c r="LF13" i="28"/>
  <c r="DC62" i="28"/>
  <c r="DE62" i="28"/>
  <c r="D8" i="72"/>
  <c r="Q8" i="72"/>
  <c r="FP53" i="47"/>
  <c r="FQ53" i="47"/>
  <c r="IE80" i="47"/>
  <c r="D17" i="66"/>
  <c r="JQ28" i="47"/>
  <c r="IC79" i="47"/>
  <c r="IF79" i="47"/>
  <c r="I70" i="22"/>
  <c r="D7" i="69"/>
  <c r="Q7" i="69"/>
  <c r="IP76" i="47"/>
  <c r="IR76" i="47"/>
  <c r="LC76" i="47"/>
  <c r="LD76" i="47"/>
  <c r="B20" i="3"/>
  <c r="D8" i="63"/>
  <c r="Q8" i="63"/>
  <c r="I69" i="22"/>
  <c r="I61" i="22"/>
  <c r="D75" i="48"/>
  <c r="P53" i="28"/>
  <c r="R53" i="28"/>
  <c r="EC76" i="47"/>
  <c r="EF76" i="47"/>
  <c r="IC76" i="47"/>
  <c r="IF76" i="47"/>
  <c r="J32" i="22"/>
  <c r="BP72" i="28"/>
  <c r="BR72" i="28"/>
  <c r="J69" i="22"/>
  <c r="E84" i="48"/>
  <c r="I17" i="22"/>
  <c r="W13" i="33"/>
  <c r="P22" i="65"/>
  <c r="KC76" i="47"/>
  <c r="KF76" i="47"/>
  <c r="KP76" i="47"/>
  <c r="KQ76" i="47"/>
  <c r="FC72" i="28"/>
  <c r="FE72" i="28"/>
  <c r="AP72" i="28"/>
  <c r="AR72" i="28"/>
  <c r="J8" i="22"/>
  <c r="E24" i="3"/>
  <c r="E27" i="3"/>
  <c r="MC76" i="47"/>
  <c r="MD76" i="47"/>
  <c r="GC76" i="47"/>
  <c r="GF76" i="47"/>
  <c r="R80" i="47"/>
  <c r="CS55" i="28"/>
  <c r="EC72" i="28"/>
  <c r="EE72" i="28"/>
  <c r="CP72" i="28"/>
  <c r="CQ72" i="28"/>
  <c r="I33" i="22"/>
  <c r="I52" i="22"/>
  <c r="I41" i="22"/>
  <c r="AP76" i="47"/>
  <c r="AR76" i="47"/>
  <c r="FP76" i="47"/>
  <c r="FS76" i="47"/>
  <c r="D8" i="71"/>
  <c r="D17" i="71"/>
  <c r="IF28" i="47"/>
  <c r="JS28" i="47"/>
  <c r="AD28" i="47"/>
  <c r="AE28" i="47"/>
  <c r="DC72" i="28"/>
  <c r="JC72" i="28"/>
  <c r="J53" i="22"/>
  <c r="I38" i="33"/>
  <c r="Q27" i="63"/>
  <c r="HP76" i="47"/>
  <c r="HQ76" i="47"/>
  <c r="AC76" i="47"/>
  <c r="AF76" i="47"/>
  <c r="J15" i="22"/>
  <c r="E16" i="48"/>
  <c r="IE28" i="47"/>
  <c r="BD31" i="28"/>
  <c r="HQ31" i="28"/>
  <c r="S80" i="47"/>
  <c r="I58" i="22"/>
  <c r="N33" i="33"/>
  <c r="P26" i="72"/>
  <c r="J37" i="22"/>
  <c r="LC46" i="47"/>
  <c r="LE46" i="47"/>
  <c r="Q6" i="63"/>
  <c r="J13" i="22"/>
  <c r="J10" i="22"/>
  <c r="I13" i="33"/>
  <c r="Q22" i="63"/>
  <c r="LF85" i="47"/>
  <c r="BF41" i="28"/>
  <c r="DS48" i="47"/>
  <c r="DQ48" i="47"/>
  <c r="EP88" i="28"/>
  <c r="ES88" i="28"/>
  <c r="EC46" i="28"/>
  <c r="ED46" i="28"/>
  <c r="EP46" i="28"/>
  <c r="EQ46" i="28"/>
  <c r="BS72" i="47"/>
  <c r="BP46" i="28"/>
  <c r="BR46" i="28"/>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c r="I14" i="22"/>
  <c r="JD55" i="28"/>
  <c r="J39" i="22"/>
  <c r="D7" i="61"/>
  <c r="Q7" i="61"/>
  <c r="FS13" i="47"/>
  <c r="AR31" i="28"/>
  <c r="IF31" i="28"/>
  <c r="JF55" i="28"/>
  <c r="KE31" i="28"/>
  <c r="J60" i="22"/>
  <c r="E74" i="48"/>
  <c r="D8" i="69"/>
  <c r="D17" i="69"/>
  <c r="HS55" i="28"/>
  <c r="Q8" i="65"/>
  <c r="I44" i="22"/>
  <c r="Z28" i="33"/>
  <c r="P25" i="69"/>
  <c r="I64" i="22"/>
  <c r="Z33" i="33"/>
  <c r="P26" i="69"/>
  <c r="H13" i="3"/>
  <c r="JS72" i="47"/>
  <c r="D6" i="66"/>
  <c r="Q6" i="66"/>
  <c r="J47" i="22"/>
  <c r="AD28" i="33"/>
  <c r="Q25" i="66"/>
  <c r="I72" i="22"/>
  <c r="J38" i="22"/>
  <c r="J56" i="22"/>
  <c r="C33" i="33"/>
  <c r="Q26" i="61"/>
  <c r="CF62" i="47"/>
  <c r="B6" i="3"/>
  <c r="JR72" i="47"/>
  <c r="LE13" i="47"/>
  <c r="JR31" i="28"/>
  <c r="R48" i="47"/>
  <c r="LF13" i="47"/>
  <c r="J57" i="22"/>
  <c r="E69" i="48"/>
  <c r="B8" i="3"/>
  <c r="I10" i="22"/>
  <c r="H13" i="33"/>
  <c r="P22" i="63"/>
  <c r="D6" i="71"/>
  <c r="D15" i="71"/>
  <c r="AP24" i="28"/>
  <c r="AQ24" i="28"/>
  <c r="FC24" i="28"/>
  <c r="FE24" i="28"/>
  <c r="CE72" i="47"/>
  <c r="DP13" i="28"/>
  <c r="DR13" i="28"/>
  <c r="I5" i="22"/>
  <c r="B18" i="33"/>
  <c r="P23" i="61"/>
  <c r="LQ48" i="47"/>
  <c r="B18" i="3"/>
  <c r="HP79" i="47"/>
  <c r="HS79" i="47"/>
  <c r="IE24" i="28"/>
  <c r="LP24" i="28"/>
  <c r="LS24" i="28"/>
  <c r="ER20" i="47"/>
  <c r="J23" i="22"/>
  <c r="AD18" i="33"/>
  <c r="Q23" i="66"/>
  <c r="JD28" i="47"/>
  <c r="E9" i="3"/>
  <c r="JE28" i="47"/>
  <c r="J54" i="22"/>
  <c r="F33" i="33"/>
  <c r="Q26" i="62"/>
  <c r="J35" i="22"/>
  <c r="D7" i="70"/>
  <c r="Q7" i="70"/>
  <c r="D7" i="65"/>
  <c r="Q7" i="65"/>
  <c r="J68" i="22"/>
  <c r="X33" i="33"/>
  <c r="Q26" i="65"/>
  <c r="D5" i="62"/>
  <c r="D14" i="62"/>
  <c r="P24" i="28"/>
  <c r="S24" i="28"/>
  <c r="IP24" i="28"/>
  <c r="IR24" i="28"/>
  <c r="CF72" i="47"/>
  <c r="JR78" i="47"/>
  <c r="HR55" i="28"/>
  <c r="LP79" i="47"/>
  <c r="LQ79" i="47"/>
  <c r="HC24" i="28"/>
  <c r="HE24" i="28"/>
  <c r="JS31" i="28"/>
  <c r="KP24" i="28"/>
  <c r="KR24" i="28"/>
  <c r="D12" i="48"/>
  <c r="KC62" i="28"/>
  <c r="KE62" i="28"/>
  <c r="AD62" i="47"/>
  <c r="HC79" i="47"/>
  <c r="HF79" i="47"/>
  <c r="KC24" i="28"/>
  <c r="KE24" i="28"/>
  <c r="KQ31" i="28"/>
  <c r="MC79" i="47"/>
  <c r="ME79" i="47"/>
  <c r="J61" i="22"/>
  <c r="R38" i="33"/>
  <c r="Q27" i="71"/>
  <c r="I47" i="22"/>
  <c r="I59" i="22"/>
  <c r="N38" i="33"/>
  <c r="P27" i="72"/>
  <c r="HQ28" i="47"/>
  <c r="E12" i="3"/>
  <c r="BP24" i="28"/>
  <c r="BR24" i="28"/>
  <c r="JP24" i="28"/>
  <c r="JR24" i="28"/>
  <c r="P13" i="28"/>
  <c r="R13" i="28"/>
  <c r="CP79" i="47"/>
  <c r="CQ79" i="47"/>
  <c r="S72" i="47"/>
  <c r="KS31" i="28"/>
  <c r="LP48" i="28"/>
  <c r="LR48" i="28"/>
  <c r="CR28" i="47"/>
  <c r="J12" i="22"/>
  <c r="O18" i="33"/>
  <c r="Q23" i="72"/>
  <c r="I73" i="22"/>
  <c r="AC38" i="33"/>
  <c r="P27" i="66"/>
  <c r="I19" i="22"/>
  <c r="T13" i="33"/>
  <c r="P22" i="64"/>
  <c r="I30" i="22"/>
  <c r="I6" i="22"/>
  <c r="E13" i="33"/>
  <c r="P22" i="62"/>
  <c r="B26" i="3"/>
  <c r="MC24" i="28"/>
  <c r="ME24" i="28"/>
  <c r="FP24" i="28"/>
  <c r="FS24" i="28"/>
  <c r="GC24" i="28"/>
  <c r="GE24" i="28"/>
  <c r="BC62" i="28"/>
  <c r="BF62" i="28"/>
  <c r="E18" i="48"/>
  <c r="H15" i="3"/>
  <c r="GP79" i="47"/>
  <c r="GQ79" i="47"/>
  <c r="LS28" i="47"/>
  <c r="Q72" i="47"/>
  <c r="JF62" i="47"/>
  <c r="JE62" i="47"/>
  <c r="JC88" i="28"/>
  <c r="JE88" i="28"/>
  <c r="I60" i="22"/>
  <c r="Q33" i="33"/>
  <c r="P26" i="71"/>
  <c r="JC24" i="28"/>
  <c r="JE24" i="28"/>
  <c r="HP24" i="28"/>
  <c r="HQ24" i="28"/>
  <c r="DP24" i="28"/>
  <c r="DQ24" i="28"/>
  <c r="ID80" i="47"/>
  <c r="AC13" i="28"/>
  <c r="AE13" i="28"/>
  <c r="AC62" i="28"/>
  <c r="AD62" i="28"/>
  <c r="LQ28" i="47"/>
  <c r="KQ28" i="47"/>
  <c r="CQ28" i="47"/>
  <c r="CC83" i="47"/>
  <c r="CD83" i="47"/>
  <c r="AC20" i="28"/>
  <c r="AE20" i="28"/>
  <c r="DP83" i="28"/>
  <c r="DR83" i="28"/>
  <c r="GD80" i="47"/>
  <c r="JC20" i="28"/>
  <c r="JF20" i="28"/>
  <c r="BC20" i="28"/>
  <c r="BE20" i="28"/>
  <c r="D13" i="26"/>
  <c r="HQ71" i="47"/>
  <c r="EP70" i="47"/>
  <c r="ES70" i="47"/>
  <c r="LF28" i="47"/>
  <c r="ME62" i="47"/>
  <c r="CP70" i="47"/>
  <c r="CR70" i="47"/>
  <c r="GE80" i="47"/>
  <c r="MC20" i="28"/>
  <c r="ME20" i="28"/>
  <c r="DP20" i="28"/>
  <c r="KC20" i="28"/>
  <c r="KF20" i="28"/>
  <c r="AC70" i="47"/>
  <c r="AF70" i="47"/>
  <c r="FF13" i="47"/>
  <c r="FR28" i="47"/>
  <c r="LP70" i="47"/>
  <c r="LR70" i="47"/>
  <c r="LP20" i="28"/>
  <c r="LR20" i="28"/>
  <c r="IC20" i="28"/>
  <c r="IF20" i="28"/>
  <c r="HC20" i="28"/>
  <c r="HF20" i="28"/>
  <c r="LC70" i="47"/>
  <c r="LE70" i="47"/>
  <c r="CP20" i="28"/>
  <c r="CR20" i="28"/>
  <c r="CC20" i="28"/>
  <c r="CD20" i="28"/>
  <c r="IC70" i="47"/>
  <c r="IE70" i="47"/>
  <c r="DP70" i="47"/>
  <c r="DR70" i="47"/>
  <c r="KQ72" i="47"/>
  <c r="KP20" i="28"/>
  <c r="KQ20" i="28"/>
  <c r="FP20" i="28"/>
  <c r="FS20" i="28"/>
  <c r="EC20" i="28"/>
  <c r="EE20" i="28"/>
  <c r="IP70" i="47"/>
  <c r="IQ70" i="47"/>
  <c r="KR72" i="47"/>
  <c r="GR55" i="28"/>
  <c r="GP20" i="28"/>
  <c r="GR20" i="28"/>
  <c r="AP20" i="28"/>
  <c r="AQ20" i="28"/>
  <c r="LC20" i="28"/>
  <c r="LD20" i="28"/>
  <c r="DC70" i="47"/>
  <c r="DE70" i="47"/>
  <c r="KP70" i="47"/>
  <c r="KQ70" i="47"/>
  <c r="BC70" i="47"/>
  <c r="BE70" i="47"/>
  <c r="HC70" i="47"/>
  <c r="HF70" i="47"/>
  <c r="GC70" i="47"/>
  <c r="GE70" i="47"/>
  <c r="DC20" i="28"/>
  <c r="DF20" i="28"/>
  <c r="HP20" i="28"/>
  <c r="HS20" i="28"/>
  <c r="P20" i="28"/>
  <c r="R20" i="28"/>
  <c r="AF13" i="47"/>
  <c r="P70" i="47"/>
  <c r="S70" i="47"/>
  <c r="Q48" i="47"/>
  <c r="HP70" i="47"/>
  <c r="HS70" i="47"/>
  <c r="GC20" i="28"/>
  <c r="GD20" i="28"/>
  <c r="EP20" i="28"/>
  <c r="EQ20" i="28"/>
  <c r="AD13" i="47"/>
  <c r="BP70" i="47"/>
  <c r="BQ70" i="47"/>
  <c r="JP70" i="47"/>
  <c r="JQ70" i="47"/>
  <c r="LE28" i="47"/>
  <c r="HS71" i="47"/>
  <c r="JR13" i="47"/>
  <c r="IC7" i="28"/>
  <c r="IE7" i="28"/>
  <c r="EP84" i="28"/>
  <c r="ES84" i="28"/>
  <c r="JS13" i="47"/>
  <c r="DD64" i="28"/>
  <c r="JE85" i="47"/>
  <c r="GP21" i="28"/>
  <c r="GQ21" i="28"/>
  <c r="DE62" i="47"/>
  <c r="KP21" i="28"/>
  <c r="KS21" i="28"/>
  <c r="DD62" i="47"/>
  <c r="HC7" i="28"/>
  <c r="HE7" i="28"/>
  <c r="P21" i="28"/>
  <c r="R21" i="28"/>
  <c r="I57" i="22"/>
  <c r="B38" i="33"/>
  <c r="P27" i="61"/>
  <c r="D6" i="69"/>
  <c r="Q6" i="69"/>
  <c r="J51" i="22"/>
  <c r="AG28" i="33"/>
  <c r="Q25" i="68"/>
  <c r="IR60" i="28"/>
  <c r="AR20" i="47"/>
  <c r="IS60" i="28"/>
  <c r="D6" i="68"/>
  <c r="D15" i="68"/>
  <c r="I12" i="22"/>
  <c r="N18" i="33"/>
  <c r="P23" i="72"/>
  <c r="HC21" i="28"/>
  <c r="HF21" i="28"/>
  <c r="MC21" i="28"/>
  <c r="ME21" i="28"/>
  <c r="CC21" i="28"/>
  <c r="CD21" i="28"/>
  <c r="J36" i="22"/>
  <c r="J26" i="22"/>
  <c r="E52" i="48"/>
  <c r="AS20" i="47"/>
  <c r="CP21" i="28"/>
  <c r="CS21" i="28"/>
  <c r="FC21" i="28"/>
  <c r="FF21" i="28"/>
  <c r="IP21" i="28"/>
  <c r="IS21" i="28"/>
  <c r="I63" i="22"/>
  <c r="K38" i="33"/>
  <c r="P27" i="70"/>
  <c r="I75" i="22"/>
  <c r="AF38" i="33"/>
  <c r="P27" i="68"/>
  <c r="LC53" i="47"/>
  <c r="LF53" i="47"/>
  <c r="BP53" i="47"/>
  <c r="BS53" i="47"/>
  <c r="AR70" i="47"/>
  <c r="LP21" i="28"/>
  <c r="LS21" i="28"/>
  <c r="D6" i="70"/>
  <c r="D15" i="70"/>
  <c r="JP53" i="47"/>
  <c r="JS53" i="47"/>
  <c r="BC21" i="28"/>
  <c r="BD21" i="28"/>
  <c r="DC21" i="28"/>
  <c r="DE21" i="28"/>
  <c r="HP21" i="28"/>
  <c r="HS21" i="28"/>
  <c r="AE20" i="47"/>
  <c r="I65" i="22"/>
  <c r="Z38" i="33"/>
  <c r="P27" i="69"/>
  <c r="HY133" i="47"/>
  <c r="J7" i="22"/>
  <c r="L13" i="33"/>
  <c r="Q22" i="70"/>
  <c r="E8" i="3"/>
  <c r="AP53" i="47"/>
  <c r="AQ53" i="47"/>
  <c r="AS70" i="47"/>
  <c r="EC21" i="28"/>
  <c r="EE21" i="28"/>
  <c r="AC21" i="28"/>
  <c r="AE21" i="28"/>
  <c r="FP21" i="28"/>
  <c r="FQ21" i="28"/>
  <c r="JC21" i="28"/>
  <c r="JD21" i="28"/>
  <c r="LN132" i="47"/>
  <c r="J71" i="22"/>
  <c r="E87" i="48"/>
  <c r="J20" i="22"/>
  <c r="AA13" i="33"/>
  <c r="Q22" i="69"/>
  <c r="D7" i="72"/>
  <c r="HP53" i="47"/>
  <c r="HQ53" i="47"/>
  <c r="HP35" i="28"/>
  <c r="HS35" i="28"/>
  <c r="Q6" i="72"/>
  <c r="KC21" i="28"/>
  <c r="KD21" i="28"/>
  <c r="AF20" i="47"/>
  <c r="LP7" i="28"/>
  <c r="LS7" i="28"/>
  <c r="GC21" i="28"/>
  <c r="GF21" i="28"/>
  <c r="EP21" i="28"/>
  <c r="EQ21" i="28"/>
  <c r="JP21" i="28"/>
  <c r="JR21" i="28"/>
  <c r="LL132" i="47"/>
  <c r="H7" i="3"/>
  <c r="IC53" i="47"/>
  <c r="ID53" i="47"/>
  <c r="IP53" i="47"/>
  <c r="IR53" i="47"/>
  <c r="IC21" i="28"/>
  <c r="IE21" i="28"/>
  <c r="AP21" i="28"/>
  <c r="AR21" i="28"/>
  <c r="DP21" i="28"/>
  <c r="DR21" i="28"/>
  <c r="DC53" i="47"/>
  <c r="DE53" i="47"/>
  <c r="GC35" i="28"/>
  <c r="GF35" i="28"/>
  <c r="Q8" i="64"/>
  <c r="D17" i="64"/>
  <c r="D16" i="66"/>
  <c r="I20" i="22"/>
  <c r="Z13" i="33"/>
  <c r="P22" i="69"/>
  <c r="D6" i="61"/>
  <c r="Q6" i="61"/>
  <c r="J64" i="22"/>
  <c r="AA33" i="33"/>
  <c r="Q26" i="69"/>
  <c r="AC73" i="28"/>
  <c r="AF73" i="28"/>
  <c r="LP39" i="47"/>
  <c r="LQ39" i="47"/>
  <c r="JC35" i="28"/>
  <c r="JF35" i="28"/>
  <c r="H6" i="3"/>
  <c r="DP35" i="28"/>
  <c r="FP35" i="28"/>
  <c r="FQ35" i="28"/>
  <c r="I45" i="22"/>
  <c r="KC35" i="28"/>
  <c r="KD35" i="28"/>
  <c r="DC35" i="28"/>
  <c r="DD35" i="28"/>
  <c r="AR28" i="47"/>
  <c r="E21" i="3"/>
  <c r="AC35" i="28"/>
  <c r="AD35" i="28"/>
  <c r="HC35" i="28"/>
  <c r="HE35" i="28"/>
  <c r="AQ28" i="47"/>
  <c r="I43" i="22"/>
  <c r="T28" i="33"/>
  <c r="P25" i="64"/>
  <c r="J18" i="22"/>
  <c r="AP35" i="28"/>
  <c r="AQ35" i="28"/>
  <c r="JP35" i="28"/>
  <c r="JR35" i="28"/>
  <c r="B24" i="3"/>
  <c r="J62" i="22"/>
  <c r="L33" i="33"/>
  <c r="Q26" i="70"/>
  <c r="I67" i="22"/>
  <c r="T38" i="33"/>
  <c r="P27" i="64"/>
  <c r="LP50" i="28"/>
  <c r="LQ50" i="28"/>
  <c r="BC35" i="28"/>
  <c r="BD35" i="28"/>
  <c r="P35" i="28"/>
  <c r="S35" i="28"/>
  <c r="D5" i="70"/>
  <c r="Q5" i="70"/>
  <c r="B7" i="3"/>
  <c r="J28" i="22"/>
  <c r="C23" i="33"/>
  <c r="Q24" i="61"/>
  <c r="CP35" i="28"/>
  <c r="CQ35" i="28"/>
  <c r="GP35" i="28"/>
  <c r="GR35" i="28"/>
  <c r="LD48" i="47"/>
  <c r="I35" i="22"/>
  <c r="BE52" i="28"/>
  <c r="KP35" i="28"/>
  <c r="KS35" i="28"/>
  <c r="EC35" i="28"/>
  <c r="EE35" i="28"/>
  <c r="LF48" i="47"/>
  <c r="BP35" i="28"/>
  <c r="BQ35" i="28"/>
  <c r="EP83" i="28"/>
  <c r="EQ83" i="28"/>
  <c r="B19" i="3"/>
  <c r="HC13" i="28"/>
  <c r="HE13" i="28"/>
  <c r="HP13" i="28"/>
  <c r="HS13" i="28"/>
  <c r="GP13" i="28"/>
  <c r="GR13" i="28"/>
  <c r="JQ78" i="47"/>
  <c r="EP13" i="28"/>
  <c r="ES13" i="28"/>
  <c r="LC21" i="28"/>
  <c r="LD21" i="28"/>
  <c r="BE31" i="28"/>
  <c r="AE80" i="47"/>
  <c r="LC35" i="28"/>
  <c r="LF35" i="28"/>
  <c r="IC35" i="28"/>
  <c r="ID35" i="28"/>
  <c r="DS31" i="28"/>
  <c r="LP35" i="28"/>
  <c r="LS35" i="28"/>
  <c r="GR28" i="47"/>
  <c r="KD79" i="28"/>
  <c r="CQ55" i="28"/>
  <c r="MC13" i="28"/>
  <c r="MD13" i="28"/>
  <c r="LP13" i="28"/>
  <c r="LQ13" i="28"/>
  <c r="JP13" i="28"/>
  <c r="JS13" i="28"/>
  <c r="CF55" i="28"/>
  <c r="IC13" i="28"/>
  <c r="MD62" i="47"/>
  <c r="DR55" i="28"/>
  <c r="AF80" i="47"/>
  <c r="LS31" i="28"/>
  <c r="LS72" i="47"/>
  <c r="KE79" i="28"/>
  <c r="CD31" i="28"/>
  <c r="LD31" i="28"/>
  <c r="KC13" i="28"/>
  <c r="KE13" i="28"/>
  <c r="EC13" i="28"/>
  <c r="ED13" i="28"/>
  <c r="KP13" i="28"/>
  <c r="KQ13" i="28"/>
  <c r="CE55" i="28"/>
  <c r="BC13" i="28"/>
  <c r="BF13" i="28"/>
  <c r="BS28" i="47"/>
  <c r="I68" i="22"/>
  <c r="W33" i="33"/>
  <c r="P26" i="65"/>
  <c r="DC13" i="28"/>
  <c r="DD13" i="28"/>
  <c r="FC13" i="28"/>
  <c r="FE13" i="28"/>
  <c r="BR79" i="28"/>
  <c r="LQ31" i="28"/>
  <c r="HE31" i="28"/>
  <c r="E25" i="3"/>
  <c r="FP13" i="28"/>
  <c r="FR13" i="28"/>
  <c r="BP13" i="28"/>
  <c r="BR13" i="28"/>
  <c r="MF13" i="47"/>
  <c r="DR31" i="28"/>
  <c r="FE72" i="47"/>
  <c r="MC35" i="28"/>
  <c r="FP83" i="28"/>
  <c r="FS83" i="28"/>
  <c r="D6" i="65"/>
  <c r="D15" i="65"/>
  <c r="CC13" i="28"/>
  <c r="CF13" i="28"/>
  <c r="GC13" i="28"/>
  <c r="GD13" i="28"/>
  <c r="KE28" i="47"/>
  <c r="B25" i="3"/>
  <c r="ME20" i="47"/>
  <c r="IS20" i="47"/>
  <c r="HR31" i="28"/>
  <c r="AE55" i="28"/>
  <c r="HD31" i="28"/>
  <c r="LQ72" i="47"/>
  <c r="CE31" i="28"/>
  <c r="EP35" i="28"/>
  <c r="J17" i="22"/>
  <c r="X13" i="33"/>
  <c r="Q22" i="65"/>
  <c r="JC13" i="28"/>
  <c r="JF13" i="28"/>
  <c r="AP13" i="28"/>
  <c r="AQ13" i="28"/>
  <c r="IP13" i="28"/>
  <c r="IR13" i="28"/>
  <c r="FQ13" i="47"/>
  <c r="AF55" i="28"/>
  <c r="DS55" i="28"/>
  <c r="FC35" i="28"/>
  <c r="FF35" i="28"/>
  <c r="CC35" i="28"/>
  <c r="CE35" i="28"/>
  <c r="LE31" i="28"/>
  <c r="BR28" i="47"/>
  <c r="GS28" i="47"/>
  <c r="MC53" i="47"/>
  <c r="MD53" i="47"/>
  <c r="DP46" i="28"/>
  <c r="DR46" i="28"/>
  <c r="DC46" i="28"/>
  <c r="DD46" i="28"/>
  <c r="GD20" i="47"/>
  <c r="LC39" i="47"/>
  <c r="LF39" i="47"/>
  <c r="IP46" i="28"/>
  <c r="IQ46" i="28"/>
  <c r="S28" i="47"/>
  <c r="BD52" i="28"/>
  <c r="D5" i="66"/>
  <c r="Q5" i="66"/>
  <c r="CC46" i="28"/>
  <c r="CD46" i="28"/>
  <c r="LP46" i="28"/>
  <c r="LQ46" i="28"/>
  <c r="MC46" i="28"/>
  <c r="MD46" i="28"/>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c r="AP46" i="28"/>
  <c r="AR46" i="28"/>
  <c r="FP46" i="28"/>
  <c r="FR46" i="28"/>
  <c r="S20" i="47"/>
  <c r="ME31" i="28"/>
  <c r="I29" i="22"/>
  <c r="E23" i="33"/>
  <c r="P24" i="62"/>
  <c r="J25" i="22"/>
  <c r="AJ13" i="33"/>
  <c r="Q22" i="67"/>
  <c r="EC50" i="47"/>
  <c r="EE50" i="47"/>
  <c r="BC53" i="47"/>
  <c r="BF53" i="47"/>
  <c r="AC53" i="47"/>
  <c r="AE53" i="47"/>
  <c r="KC46" i="28"/>
  <c r="KE46" i="28"/>
  <c r="KP46" i="28"/>
  <c r="KR46" i="28"/>
  <c r="IC46" i="28"/>
  <c r="IE46" i="28"/>
  <c r="MC67" i="47"/>
  <c r="MD67" i="47"/>
  <c r="FC46" i="28"/>
  <c r="FE46" i="28"/>
  <c r="GQ20" i="47"/>
  <c r="FS55" i="28"/>
  <c r="B15" i="3"/>
  <c r="J49" i="22"/>
  <c r="AJ28" i="33"/>
  <c r="Q25" i="67"/>
  <c r="HC50" i="47"/>
  <c r="HE50" i="47"/>
  <c r="EC53" i="47"/>
  <c r="EE53" i="47"/>
  <c r="GP53" i="47"/>
  <c r="GR53" i="47"/>
  <c r="AC46" i="28"/>
  <c r="AD46" i="28"/>
  <c r="BC46" i="28"/>
  <c r="BD46" i="28"/>
  <c r="CP46" i="28"/>
  <c r="CQ46" i="28"/>
  <c r="KP67" i="47"/>
  <c r="KS67" i="47"/>
  <c r="J73" i="22"/>
  <c r="AD38" i="33"/>
  <c r="Q27" i="66"/>
  <c r="LC46" i="28"/>
  <c r="LF46" i="28"/>
  <c r="JR55" i="28"/>
  <c r="EE28" i="47"/>
  <c r="D8" i="62"/>
  <c r="D17" i="62"/>
  <c r="Q6" i="67"/>
  <c r="H25" i="3"/>
  <c r="BP50" i="47"/>
  <c r="BS50" i="47"/>
  <c r="GC53" i="47"/>
  <c r="GF53" i="47"/>
  <c r="DP53" i="47"/>
  <c r="DS53" i="47"/>
  <c r="HP46" i="28"/>
  <c r="HQ46" i="28"/>
  <c r="JP46" i="28"/>
  <c r="JR46" i="28"/>
  <c r="GP46" i="28"/>
  <c r="GQ46" i="28"/>
  <c r="KR20" i="47"/>
  <c r="ED28" i="47"/>
  <c r="HD20" i="47"/>
  <c r="MD31" i="28"/>
  <c r="FS80" i="47"/>
  <c r="FQ80" i="47"/>
  <c r="GP50" i="28"/>
  <c r="GR50" i="28"/>
  <c r="AC50" i="47"/>
  <c r="AD50" i="47"/>
  <c r="CP53" i="47"/>
  <c r="CR53" i="47"/>
  <c r="P46" i="28"/>
  <c r="R46" i="28"/>
  <c r="GC46" i="28"/>
  <c r="GE46" i="28"/>
  <c r="MC39" i="47"/>
  <c r="MF39" i="47"/>
  <c r="HF20" i="47"/>
  <c r="FS31" i="28"/>
  <c r="JS55" i="28"/>
  <c r="CF79" i="28"/>
  <c r="JP20" i="28"/>
  <c r="IP20" i="28"/>
  <c r="BP20" i="28"/>
  <c r="GL69" i="47"/>
  <c r="KY69" i="47"/>
  <c r="FP62" i="28"/>
  <c r="FR62" i="28"/>
  <c r="GQ55" i="28"/>
  <c r="BC48" i="28"/>
  <c r="BE48" i="28"/>
  <c r="FC39" i="47"/>
  <c r="FD39" i="47"/>
  <c r="GP62" i="28"/>
  <c r="GQ62" i="28"/>
  <c r="IP62" i="28"/>
  <c r="IR62" i="28"/>
  <c r="LQ55" i="28"/>
  <c r="FE13" i="47"/>
  <c r="ED31" i="28"/>
  <c r="DP48" i="28"/>
  <c r="CP48" i="28"/>
  <c r="FD72" i="47"/>
  <c r="DP62" i="28"/>
  <c r="DQ62" i="28"/>
  <c r="KP62" i="28"/>
  <c r="KR62" i="28"/>
  <c r="DE15" i="47"/>
  <c r="EP48" i="28"/>
  <c r="ER48" i="28"/>
  <c r="HP62" i="28"/>
  <c r="HQ62" i="28"/>
  <c r="JP62" i="28"/>
  <c r="JS62" i="28"/>
  <c r="KD55" i="28"/>
  <c r="EF31" i="28"/>
  <c r="P48" i="28"/>
  <c r="FP70" i="47"/>
  <c r="FC70" i="47"/>
  <c r="MC70" i="47"/>
  <c r="KC70" i="47"/>
  <c r="JC70" i="47"/>
  <c r="GP70" i="47"/>
  <c r="CC70" i="47"/>
  <c r="EC70" i="47"/>
  <c r="HC62" i="28"/>
  <c r="HE62" i="28"/>
  <c r="DD15" i="47"/>
  <c r="CP60" i="47"/>
  <c r="CQ60" i="47"/>
  <c r="FC48" i="28"/>
  <c r="FF48" i="28"/>
  <c r="CC48" i="28"/>
  <c r="CE48" i="28"/>
  <c r="JC39" i="47"/>
  <c r="JE39" i="47"/>
  <c r="BP62" i="28"/>
  <c r="BR62" i="28"/>
  <c r="FC62" i="28"/>
  <c r="FD62" i="28"/>
  <c r="KF55" i="28"/>
  <c r="HE34" i="28"/>
  <c r="LC72" i="28"/>
  <c r="KP72" i="28"/>
  <c r="FP72" i="28"/>
  <c r="LP72" i="28"/>
  <c r="JP72" i="28"/>
  <c r="HP72" i="28"/>
  <c r="BC72" i="28"/>
  <c r="KC72" i="28"/>
  <c r="CC72" i="28"/>
  <c r="P72" i="28"/>
  <c r="IP72" i="28"/>
  <c r="MC72" i="28"/>
  <c r="DP72" i="28"/>
  <c r="GP72" i="28"/>
  <c r="IC72" i="28"/>
  <c r="EP72" i="28"/>
  <c r="AC72" i="28"/>
  <c r="HC72" i="28"/>
  <c r="JC62" i="28"/>
  <c r="JD62" i="28"/>
  <c r="FP48" i="28"/>
  <c r="FR48" i="28"/>
  <c r="IC48" i="28"/>
  <c r="EC62" i="28"/>
  <c r="EF62" i="28"/>
  <c r="CP62" i="28"/>
  <c r="CQ62" i="28"/>
  <c r="IR28" i="47"/>
  <c r="KC48" i="28"/>
  <c r="IS28" i="47"/>
  <c r="E69" i="28"/>
  <c r="IC62" i="28"/>
  <c r="ID62" i="28"/>
  <c r="BP48" i="28"/>
  <c r="BQ48" i="28"/>
  <c r="JC48" i="28"/>
  <c r="EC39" i="47"/>
  <c r="ED39" i="47"/>
  <c r="AP62" i="28"/>
  <c r="AS62" i="28"/>
  <c r="P62" i="28"/>
  <c r="S62" i="28"/>
  <c r="CD79" i="28"/>
  <c r="HQ80" i="47"/>
  <c r="KP48" i="28"/>
  <c r="AC48" i="28"/>
  <c r="EP62" i="28"/>
  <c r="ER62" i="28"/>
  <c r="LC48" i="28"/>
  <c r="LE48" i="28"/>
  <c r="DC39" i="47"/>
  <c r="DD39" i="47"/>
  <c r="GC62" i="28"/>
  <c r="GF62" i="28"/>
  <c r="ME71" i="47"/>
  <c r="AE31" i="28"/>
  <c r="GQ72" i="47"/>
  <c r="GP48" i="28"/>
  <c r="GS48" i="28"/>
  <c r="DC86" i="28"/>
  <c r="DD86" i="28"/>
  <c r="MC62" i="28"/>
  <c r="MF62" i="28"/>
  <c r="DC48" i="28"/>
  <c r="DF48" i="28"/>
  <c r="LP62" i="28"/>
  <c r="LQ62" i="28"/>
  <c r="CC62" i="28"/>
  <c r="LR55" i="28"/>
  <c r="AF31" i="28"/>
  <c r="HR80" i="47"/>
  <c r="HP48" i="28"/>
  <c r="JP48" i="28"/>
  <c r="JS48" i="28"/>
  <c r="HD34" i="28"/>
  <c r="B58" i="33"/>
  <c r="LP29" i="47"/>
  <c r="LR29" i="47"/>
  <c r="GS20" i="47"/>
  <c r="EP126" i="47"/>
  <c r="EO108" i="47"/>
  <c r="AI11" i="33"/>
  <c r="I33" i="48"/>
  <c r="K16" i="33"/>
  <c r="I12" i="48"/>
  <c r="JO108" i="47"/>
  <c r="JP126" i="47"/>
  <c r="JO107" i="47"/>
  <c r="JP124" i="47"/>
  <c r="BO107" i="47"/>
  <c r="BP124" i="47"/>
  <c r="BO108" i="47"/>
  <c r="BP126" i="47"/>
  <c r="JB107" i="47"/>
  <c r="JB108" i="47"/>
  <c r="B59" i="33"/>
  <c r="EC11" i="47"/>
  <c r="EE11" i="47"/>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c r="P22" i="61"/>
  <c r="FC53" i="28"/>
  <c r="FE53" i="28"/>
  <c r="FC7" i="28"/>
  <c r="FF7" i="28"/>
  <c r="FC50" i="47"/>
  <c r="FF50" i="47"/>
  <c r="JP50" i="47"/>
  <c r="JQ50" i="47"/>
  <c r="HP50" i="47"/>
  <c r="HQ50" i="47"/>
  <c r="JP29" i="47"/>
  <c r="JQ29" i="47"/>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c r="CR62" i="47"/>
  <c r="LP50" i="47"/>
  <c r="LR50" i="47"/>
  <c r="MC50" i="47"/>
  <c r="MF50" i="47"/>
  <c r="JC50" i="47"/>
  <c r="JE50" i="47"/>
  <c r="DP29" i="47"/>
  <c r="DR29" i="47"/>
  <c r="EF62" i="47"/>
  <c r="DR72" i="47"/>
  <c r="HE79" i="28"/>
  <c r="GR31" i="28"/>
  <c r="GQ31" i="28"/>
  <c r="ES84" i="47"/>
  <c r="CS62" i="47"/>
  <c r="LP36" i="47"/>
  <c r="LQ36" i="47"/>
  <c r="EP50" i="47"/>
  <c r="EQ50" i="47"/>
  <c r="CC50" i="47"/>
  <c r="CF50" i="47"/>
  <c r="P50" i="47"/>
  <c r="R50" i="47"/>
  <c r="P29" i="47"/>
  <c r="R29" i="47"/>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c r="AP50" i="47"/>
  <c r="AR50" i="47"/>
  <c r="GC50" i="47"/>
  <c r="GD50" i="47"/>
  <c r="AC29" i="47"/>
  <c r="AE29" i="47"/>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c r="DP50" i="47"/>
  <c r="DR50" i="47"/>
  <c r="KP50" i="47"/>
  <c r="KS50" i="47"/>
  <c r="FP29" i="47"/>
  <c r="FS29" i="47"/>
  <c r="AE71" i="47"/>
  <c r="EF20" i="47"/>
  <c r="ME13" i="47"/>
  <c r="MD72" i="47"/>
  <c r="GD31" i="28"/>
  <c r="IF79" i="28"/>
  <c r="IE79" i="28"/>
  <c r="JS79" i="28"/>
  <c r="JQ79" i="28"/>
  <c r="BC29" i="47"/>
  <c r="BE29" i="47"/>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c r="KC50" i="47"/>
  <c r="KD50" i="47"/>
  <c r="MF20" i="47"/>
  <c r="ER31" i="28"/>
  <c r="IS31" i="28"/>
  <c r="IR31" i="28"/>
  <c r="KC53" i="47"/>
  <c r="KD53" i="47"/>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c r="EP53" i="47"/>
  <c r="ES53" i="47"/>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c r="KF71" i="47"/>
  <c r="GR27" i="28"/>
  <c r="JD20" i="47"/>
  <c r="J48" i="22"/>
  <c r="E61" i="48"/>
  <c r="H26" i="3"/>
  <c r="D7" i="67"/>
  <c r="N7" i="48"/>
  <c r="AZ7" i="33"/>
  <c r="I36" i="22"/>
  <c r="D46" i="48"/>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c r="FP50" i="47"/>
  <c r="FQ50" i="47"/>
  <c r="LC50" i="47"/>
  <c r="LD50" i="47"/>
  <c r="IP50" i="47"/>
  <c r="IS50" i="47"/>
  <c r="KD71" i="47"/>
  <c r="R20" i="47"/>
  <c r="CF20" i="47"/>
  <c r="AS80" i="47"/>
  <c r="AQ80" i="47"/>
  <c r="AR80" i="47"/>
  <c r="R78" i="47"/>
  <c r="KF72" i="47"/>
  <c r="KE72" i="47"/>
  <c r="Q78" i="47"/>
  <c r="JC69" i="28"/>
  <c r="JF69" i="28"/>
  <c r="AP44" i="47"/>
  <c r="AS44" i="47"/>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c r="FD20" i="47"/>
  <c r="FE20" i="47"/>
  <c r="FF20" i="47"/>
  <c r="HS20" i="47"/>
  <c r="HQ20" i="47"/>
  <c r="HR20" i="47"/>
  <c r="LD20" i="47"/>
  <c r="LE20" i="47"/>
  <c r="LF20" i="47"/>
  <c r="MD55" i="28"/>
  <c r="ME55" i="28"/>
  <c r="MF55" i="28"/>
  <c r="CS147" i="47"/>
  <c r="IC50" i="28"/>
  <c r="ID50" i="28"/>
  <c r="DF72" i="47"/>
  <c r="DE72" i="47"/>
  <c r="DD72" i="47"/>
  <c r="IE55" i="28"/>
  <c r="ID55" i="28"/>
  <c r="IF55" i="28"/>
  <c r="LC63" i="28"/>
  <c r="LD63" i="28"/>
  <c r="GD71" i="47"/>
  <c r="CD84" i="47"/>
  <c r="JF85" i="47"/>
  <c r="HS146" i="47"/>
  <c r="BN132" i="47"/>
  <c r="AR146" i="47"/>
  <c r="BP50" i="28"/>
  <c r="BR50" i="28"/>
  <c r="DC50" i="28"/>
  <c r="DD50" i="28"/>
  <c r="GQ78" i="47"/>
  <c r="LQ80" i="47"/>
  <c r="LR80" i="47"/>
  <c r="LS80" i="47"/>
  <c r="EQ55" i="28"/>
  <c r="ES55" i="28"/>
  <c r="ER55" i="28"/>
  <c r="DE146" i="47"/>
  <c r="LP44" i="47"/>
  <c r="LS44" i="47"/>
  <c r="KP30" i="28"/>
  <c r="KS30" i="28"/>
  <c r="P17" i="28"/>
  <c r="Q17" i="28"/>
  <c r="CC50" i="28"/>
  <c r="CF50" i="28"/>
  <c r="AP50" i="28"/>
  <c r="AR50" i="28"/>
  <c r="GR78" i="47"/>
  <c r="HF71" i="47"/>
  <c r="JF72" i="47"/>
  <c r="JE72" i="47"/>
  <c r="HD55" i="28"/>
  <c r="HE55" i="28"/>
  <c r="HF55" i="28"/>
  <c r="FN133" i="47"/>
  <c r="AD85" i="47"/>
  <c r="HQ86" i="47"/>
  <c r="KL132" i="47"/>
  <c r="BS146" i="47"/>
  <c r="AF147" i="47"/>
  <c r="MA133" i="47"/>
  <c r="CS80" i="47"/>
  <c r="EC50" i="28"/>
  <c r="ED50" i="28"/>
  <c r="EP50" i="28"/>
  <c r="ER50" i="28"/>
  <c r="CC58" i="47"/>
  <c r="CE58" i="47"/>
  <c r="HD71" i="47"/>
  <c r="IS35" i="28"/>
  <c r="FD80" i="47"/>
  <c r="FF80" i="47"/>
  <c r="FE80" i="47"/>
  <c r="EF72" i="47"/>
  <c r="ED72" i="47"/>
  <c r="BD55" i="28"/>
  <c r="BF55" i="28"/>
  <c r="BE55" i="28"/>
  <c r="DE55" i="28"/>
  <c r="DD55" i="28"/>
  <c r="DF55" i="28"/>
  <c r="BS147" i="47"/>
  <c r="IP63" i="28"/>
  <c r="IR63" i="28"/>
  <c r="GF71" i="47"/>
  <c r="KY132" i="47"/>
  <c r="BC17" i="28"/>
  <c r="BE17" i="28"/>
  <c r="HR86" i="47"/>
  <c r="JR147" i="47"/>
  <c r="IE146" i="47"/>
  <c r="GS147" i="47"/>
  <c r="CL133" i="47"/>
  <c r="CQ80" i="47"/>
  <c r="BC50" i="28"/>
  <c r="BF50" i="28"/>
  <c r="JP58" i="47"/>
  <c r="JQ58" i="47"/>
  <c r="IR35" i="28"/>
  <c r="KD80" i="47"/>
  <c r="KE80" i="47"/>
  <c r="KF80" i="47"/>
  <c r="LE55" i="28"/>
  <c r="LF55" i="28"/>
  <c r="LD55" i="28"/>
  <c r="CF84" i="47"/>
  <c r="BP85" i="28"/>
  <c r="BR85" i="28"/>
  <c r="GC63" i="28"/>
  <c r="GF63" i="28"/>
  <c r="EP17" i="28"/>
  <c r="ES17" i="28"/>
  <c r="CA133" i="47"/>
  <c r="HF146" i="47"/>
  <c r="ES147" i="47"/>
  <c r="LC50" i="28"/>
  <c r="LD50" i="28"/>
  <c r="LP58" i="47"/>
  <c r="LR58" i="47"/>
  <c r="CP18" i="47"/>
  <c r="CQ18" i="47"/>
  <c r="DS28" i="47"/>
  <c r="LE72" i="47"/>
  <c r="LF72" i="47"/>
  <c r="LD72" i="47"/>
  <c r="IR55" i="28"/>
  <c r="IQ55" i="28"/>
  <c r="IS55" i="28"/>
  <c r="JP69" i="28"/>
  <c r="JQ69" i="28"/>
  <c r="GC50" i="28"/>
  <c r="GE50" i="28"/>
  <c r="HF78" i="47"/>
  <c r="CC88" i="28"/>
  <c r="CD88" i="28"/>
  <c r="HS147" i="47"/>
  <c r="DS146" i="47"/>
  <c r="KS147" i="47"/>
  <c r="JS146" i="47"/>
  <c r="KC50" i="28"/>
  <c r="KE50" i="28"/>
  <c r="GC67" i="47"/>
  <c r="GE67" i="47"/>
  <c r="BS55" i="28"/>
  <c r="BQ55" i="28"/>
  <c r="BR55" i="28"/>
  <c r="JF78" i="47"/>
  <c r="JD78" i="47"/>
  <c r="JE78" i="47"/>
  <c r="FS48" i="47"/>
  <c r="FR48" i="47"/>
  <c r="FQ48" i="47"/>
  <c r="EP7" i="28"/>
  <c r="EQ7" i="28"/>
  <c r="CC63" i="28"/>
  <c r="CF63" i="28"/>
  <c r="JP63" i="28"/>
  <c r="JS63" i="28"/>
  <c r="IP7" i="28"/>
  <c r="IS7" i="28"/>
  <c r="KP7" i="28"/>
  <c r="KQ7" i="28"/>
  <c r="KC7" i="28"/>
  <c r="KF7" i="28"/>
  <c r="P87" i="47"/>
  <c r="R87" i="47"/>
  <c r="D16" i="71"/>
  <c r="GP44" i="47"/>
  <c r="GR44" i="47"/>
  <c r="HP44" i="47"/>
  <c r="HR44" i="47"/>
  <c r="KP58" i="47"/>
  <c r="KQ58" i="47"/>
  <c r="BP58" i="47"/>
  <c r="BR58" i="47"/>
  <c r="JC18" i="47"/>
  <c r="JE18" i="47"/>
  <c r="CC67" i="47"/>
  <c r="CE67" i="47"/>
  <c r="JP67" i="47"/>
  <c r="JR67" i="47"/>
  <c r="KC67" i="47"/>
  <c r="KF67" i="47"/>
  <c r="DC44" i="47"/>
  <c r="DD44" i="47"/>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c r="AC44" i="47"/>
  <c r="AF44" i="47"/>
  <c r="IC44" i="47"/>
  <c r="IF44" i="47"/>
  <c r="DP44" i="47"/>
  <c r="DR44" i="47"/>
  <c r="AC58" i="47"/>
  <c r="AE58" i="47"/>
  <c r="EC58" i="47"/>
  <c r="ED58" i="47"/>
  <c r="GC58" i="47"/>
  <c r="GE58" i="47"/>
  <c r="CP67" i="47"/>
  <c r="AP67" i="47"/>
  <c r="AR67" i="47"/>
  <c r="HE78" i="47"/>
  <c r="GS80" i="47"/>
  <c r="GR80" i="47"/>
  <c r="GQ80" i="47"/>
  <c r="ID72" i="47"/>
  <c r="IF72" i="47"/>
  <c r="IE72" i="47"/>
  <c r="HE72" i="47"/>
  <c r="HF72" i="47"/>
  <c r="HD72" i="47"/>
  <c r="FF62" i="47"/>
  <c r="FE62" i="47"/>
  <c r="FD62" i="47"/>
  <c r="CE48" i="47"/>
  <c r="CF48" i="47"/>
  <c r="CD48" i="47"/>
  <c r="LP63" i="28"/>
  <c r="LQ63" i="28"/>
  <c r="JC63" i="28"/>
  <c r="JF63" i="28"/>
  <c r="DP7" i="28"/>
  <c r="DR7" i="28"/>
  <c r="GP7" i="28"/>
  <c r="GQ7" i="28"/>
  <c r="EC7" i="28"/>
  <c r="ED7" i="28"/>
  <c r="CS71" i="47"/>
  <c r="MC63" i="28"/>
  <c r="MD63" i="28"/>
  <c r="GP63" i="28"/>
  <c r="GS63" i="28"/>
  <c r="DC63" i="28"/>
  <c r="DD63" i="28"/>
  <c r="BP7" i="28"/>
  <c r="BS7" i="28"/>
  <c r="AP7" i="28"/>
  <c r="AS7" i="28"/>
  <c r="JP7" i="28"/>
  <c r="JR7" i="28"/>
  <c r="FP84" i="28"/>
  <c r="FR84" i="28"/>
  <c r="IP44" i="47"/>
  <c r="IS44" i="47"/>
  <c r="P44" i="47"/>
  <c r="S44" i="47"/>
  <c r="BC44" i="47"/>
  <c r="BE44" i="47"/>
  <c r="CP58" i="47"/>
  <c r="CR58" i="47"/>
  <c r="KC58" i="47"/>
  <c r="KF58" i="47"/>
  <c r="HP58" i="47"/>
  <c r="FP67" i="47"/>
  <c r="FQ67" i="47"/>
  <c r="HC67" i="47"/>
  <c r="HF67" i="47"/>
  <c r="JE79" i="28"/>
  <c r="EQ13" i="47"/>
  <c r="ER13" i="47"/>
  <c r="ES13" i="47"/>
  <c r="DR80" i="47"/>
  <c r="DQ80" i="47"/>
  <c r="DS80" i="47"/>
  <c r="FQ72" i="47"/>
  <c r="FS72" i="47"/>
  <c r="FR72" i="47"/>
  <c r="IR62" i="47"/>
  <c r="IQ62" i="47"/>
  <c r="IS62" i="47"/>
  <c r="DR62" i="47"/>
  <c r="DS62" i="47"/>
  <c r="DQ62" i="47"/>
  <c r="JS48" i="47"/>
  <c r="JR48" i="47"/>
  <c r="JQ48" i="47"/>
  <c r="AP63" i="28"/>
  <c r="AQ63" i="28"/>
  <c r="CC44" i="47"/>
  <c r="CD44" i="47"/>
  <c r="HC44" i="47"/>
  <c r="HF44" i="47"/>
  <c r="FC44" i="47"/>
  <c r="FF44" i="47"/>
  <c r="GP58" i="47"/>
  <c r="GR58" i="47"/>
  <c r="FP58" i="47"/>
  <c r="FS58" i="47"/>
  <c r="IP58" i="47"/>
  <c r="IQ58" i="47"/>
  <c r="P63" i="28"/>
  <c r="IP67" i="47"/>
  <c r="IR67" i="47"/>
  <c r="BC67" i="47"/>
  <c r="BF67" i="47"/>
  <c r="CS60" i="28"/>
  <c r="CP44" i="47"/>
  <c r="CR44" i="47"/>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c r="AC63" i="28"/>
  <c r="AF63" i="28"/>
  <c r="IC63" i="28"/>
  <c r="ID63" i="28"/>
  <c r="P7" i="28"/>
  <c r="Q7" i="28"/>
  <c r="CP7" i="28"/>
  <c r="CQ7" i="28"/>
  <c r="DQ60" i="28"/>
  <c r="IE84" i="47"/>
  <c r="KC44" i="47"/>
  <c r="KF44" i="47"/>
  <c r="FP44" i="47"/>
  <c r="FQ44" i="47"/>
  <c r="LC44" i="47"/>
  <c r="LF44" i="47"/>
  <c r="HC58" i="47"/>
  <c r="HF58" i="47"/>
  <c r="AP58" i="47"/>
  <c r="AS58" i="47"/>
  <c r="DP58" i="47"/>
  <c r="DS58" i="47"/>
  <c r="EP63" i="28"/>
  <c r="ER63" i="28"/>
  <c r="P67" i="47"/>
  <c r="S67" i="47"/>
  <c r="IC67" i="47"/>
  <c r="IF67" i="47"/>
  <c r="CR60" i="28"/>
  <c r="MF71" i="47"/>
  <c r="GC44" i="47"/>
  <c r="GE44" i="47"/>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c r="FP7" i="28"/>
  <c r="FS7" i="28"/>
  <c r="HP63" i="28"/>
  <c r="HR63" i="28"/>
  <c r="KP63" i="28"/>
  <c r="KS63" i="28"/>
  <c r="FP63" i="28"/>
  <c r="FR63" i="28"/>
  <c r="CC7" i="28"/>
  <c r="CD7" i="28"/>
  <c r="DC7" i="28"/>
  <c r="DE7" i="28"/>
  <c r="DR60" i="28"/>
  <c r="IF84" i="47"/>
  <c r="EP44" i="47"/>
  <c r="ER44" i="47"/>
  <c r="BP44" i="47"/>
  <c r="BS44" i="47"/>
  <c r="JP44" i="47"/>
  <c r="JQ44" i="47"/>
  <c r="IC58" i="47"/>
  <c r="IE58" i="47"/>
  <c r="LC58" i="47"/>
  <c r="LF58" i="47"/>
  <c r="DC58" i="47"/>
  <c r="DE58" i="47"/>
  <c r="BP63" i="28"/>
  <c r="BS63" i="28"/>
  <c r="DP67" i="47"/>
  <c r="DS67" i="47"/>
  <c r="EP67" i="47"/>
  <c r="ES67" i="47"/>
  <c r="JC67" i="47"/>
  <c r="JF67" i="47"/>
  <c r="GC88" i="28"/>
  <c r="GF88" i="28"/>
  <c r="JC44" i="47"/>
  <c r="DR28" i="47"/>
  <c r="LQ79" i="28"/>
  <c r="LR79" i="28"/>
  <c r="LS79" i="28"/>
  <c r="DF80" i="47"/>
  <c r="DE80" i="47"/>
  <c r="DD80" i="47"/>
  <c r="AS72" i="47"/>
  <c r="AQ72" i="47"/>
  <c r="AR72" i="47"/>
  <c r="Q62" i="47"/>
  <c r="S62" i="47"/>
  <c r="R62" i="47"/>
  <c r="FC63" i="28"/>
  <c r="FF63" i="28"/>
  <c r="DP63" i="28"/>
  <c r="DS63" i="28"/>
  <c r="KC63" i="28"/>
  <c r="KD63" i="28"/>
  <c r="LC7" i="28"/>
  <c r="LE7" i="28"/>
  <c r="JC7" i="28"/>
  <c r="JE7" i="28"/>
  <c r="EC44" i="47"/>
  <c r="EE44" i="47"/>
  <c r="MC44" i="47"/>
  <c r="MF44" i="47"/>
  <c r="FC58" i="47"/>
  <c r="EP58" i="47"/>
  <c r="ES58" i="47"/>
  <c r="GP67" i="47"/>
  <c r="GR67" i="47"/>
  <c r="LP67" i="47"/>
  <c r="LR67" i="47"/>
  <c r="BE80" i="47"/>
  <c r="BF80" i="47"/>
  <c r="BD80" i="47"/>
  <c r="ER72" i="47"/>
  <c r="ES72" i="47"/>
  <c r="EQ72" i="47"/>
  <c r="KS62" i="47"/>
  <c r="KR62" i="47"/>
  <c r="KQ62" i="47"/>
  <c r="LD62" i="47"/>
  <c r="LF62" i="47"/>
  <c r="LE62" i="47"/>
  <c r="FE48" i="47"/>
  <c r="FF48" i="47"/>
  <c r="FD48" i="47"/>
  <c r="KP53" i="28"/>
  <c r="KS53" i="28"/>
  <c r="IC17" i="28"/>
  <c r="IE17" i="28"/>
  <c r="KC17" i="28"/>
  <c r="KD17" i="28"/>
  <c r="KP17" i="28"/>
  <c r="KS17" i="28"/>
  <c r="DP88" i="28"/>
  <c r="DS88" i="28"/>
  <c r="AC88" i="28"/>
  <c r="AD88" i="28"/>
  <c r="GC87" i="28"/>
  <c r="GE87" i="28"/>
  <c r="JP87" i="28"/>
  <c r="JS87" i="28"/>
  <c r="KP88" i="28"/>
  <c r="EP60" i="47"/>
  <c r="ES60" i="47"/>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c r="MC17" i="28"/>
  <c r="MD17" i="28"/>
  <c r="CC17" i="28"/>
  <c r="CE17" i="28"/>
  <c r="BP17" i="28"/>
  <c r="BR17" i="28"/>
  <c r="CR71" i="47"/>
  <c r="HG126" i="47"/>
  <c r="BP88" i="28"/>
  <c r="BS88" i="28"/>
  <c r="IP88" i="28"/>
  <c r="IS88" i="28"/>
  <c r="DC88" i="28"/>
  <c r="DE88" i="28"/>
  <c r="CP88" i="28"/>
  <c r="P88" i="28"/>
  <c r="BC88" i="28"/>
  <c r="BD88" i="28"/>
  <c r="JE29" i="28"/>
  <c r="GC60" i="47"/>
  <c r="GF60" i="47"/>
  <c r="LR71" i="47"/>
  <c r="LQ71" i="47"/>
  <c r="LS71" i="47"/>
  <c r="L28" i="33"/>
  <c r="Q25" i="70"/>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c r="GC17" i="28"/>
  <c r="GE17" i="28"/>
  <c r="HP17" i="28"/>
  <c r="HQ17" i="28"/>
  <c r="HP88" i="28"/>
  <c r="HR88" i="28"/>
  <c r="FP88" i="28"/>
  <c r="FR88" i="28"/>
  <c r="JP88" i="28"/>
  <c r="JQ88" i="28"/>
  <c r="JF29" i="28"/>
  <c r="BQ21" i="28"/>
  <c r="HP60" i="47"/>
  <c r="HQ60" i="47"/>
  <c r="P60" i="47"/>
  <c r="R60" i="47"/>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c r="JC17" i="28"/>
  <c r="JF17" i="28"/>
  <c r="DC17" i="28"/>
  <c r="DF17" i="28"/>
  <c r="FQ60" i="28"/>
  <c r="AP88" i="28"/>
  <c r="AQ88" i="28"/>
  <c r="IC87" i="28"/>
  <c r="IF87" i="28"/>
  <c r="IC88" i="28"/>
  <c r="IF88" i="28"/>
  <c r="MC30" i="28"/>
  <c r="MF30" i="28"/>
  <c r="BS21" i="28"/>
  <c r="DP60" i="47"/>
  <c r="DR60" i="47"/>
  <c r="LC60" i="47"/>
  <c r="LE60" i="47"/>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c r="JP17" i="28"/>
  <c r="JQ17" i="28"/>
  <c r="AC17" i="28"/>
  <c r="AE17" i="28"/>
  <c r="FR60" i="28"/>
  <c r="MC88" i="28"/>
  <c r="MD88" i="28"/>
  <c r="GP30" i="28"/>
  <c r="GQ30" i="28"/>
  <c r="FP60" i="47"/>
  <c r="FQ60" i="47"/>
  <c r="CC60" i="47"/>
  <c r="CE60" i="47"/>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c r="GP17" i="28"/>
  <c r="GQ17" i="28"/>
  <c r="IP17" i="28"/>
  <c r="IQ17" i="28"/>
  <c r="FC17" i="28"/>
  <c r="FE17" i="28"/>
  <c r="LC88" i="28"/>
  <c r="LD88" i="28"/>
  <c r="GP87" i="28"/>
  <c r="GQ87" i="28"/>
  <c r="LP88" i="28"/>
  <c r="LR88" i="28"/>
  <c r="FD85" i="47"/>
  <c r="HC88" i="28"/>
  <c r="HF88" i="28"/>
  <c r="HC60" i="47"/>
  <c r="HD60" i="47"/>
  <c r="IP60" i="47"/>
  <c r="IQ60" i="47"/>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c r="EC17" i="28"/>
  <c r="EE17" i="28"/>
  <c r="EC88" i="28"/>
  <c r="ED88" i="28"/>
  <c r="GP88" i="28"/>
  <c r="GQ88" i="28"/>
  <c r="BC87" i="28"/>
  <c r="BD87" i="28"/>
  <c r="KC88" i="28"/>
  <c r="KE88" i="28"/>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c r="KJ52" i="47"/>
  <c r="AC30" i="28"/>
  <c r="AE30" i="28"/>
  <c r="AP30" i="28"/>
  <c r="AS30" i="28"/>
  <c r="BC30" i="28"/>
  <c r="BF30" i="28"/>
  <c r="GC69" i="28"/>
  <c r="GD69" i="28"/>
  <c r="CC69" i="28"/>
  <c r="CF69" i="28"/>
  <c r="GP69" i="28"/>
  <c r="GS69" i="28"/>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c r="EC30" i="28"/>
  <c r="ED30" i="28"/>
  <c r="GP11" i="47"/>
  <c r="GQ11" i="47"/>
  <c r="IC69" i="28"/>
  <c r="IF69" i="28"/>
  <c r="EC69" i="28"/>
  <c r="EF69" i="28"/>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c r="P30" i="28"/>
  <c r="R30" i="28"/>
  <c r="KP69" i="28"/>
  <c r="KS69" i="28"/>
  <c r="EP69" i="28"/>
  <c r="EQ69" i="28"/>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c r="LP30" i="28"/>
  <c r="LQ30" i="28"/>
  <c r="BP69" i="28"/>
  <c r="DP69" i="28"/>
  <c r="DR69" i="28"/>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c r="JC30" i="28"/>
  <c r="JE30" i="28"/>
  <c r="DC69" i="28"/>
  <c r="DD69" i="28"/>
  <c r="FC69" i="28"/>
  <c r="FD69" i="28"/>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c r="CC30" i="28"/>
  <c r="CD30" i="28"/>
  <c r="LC69" i="28"/>
  <c r="LD69" i="28"/>
  <c r="KC69" i="28"/>
  <c r="KD69" i="28"/>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c r="LC84" i="28"/>
  <c r="LF84" i="28"/>
  <c r="DP84" i="28"/>
  <c r="DS84" i="28"/>
  <c r="FC84" i="28"/>
  <c r="FD84" i="28"/>
  <c r="CP84" i="28"/>
  <c r="CS84" i="28"/>
  <c r="KP84" i="28"/>
  <c r="KR84" i="28"/>
  <c r="JC84" i="28"/>
  <c r="JD84" i="28"/>
  <c r="IP84" i="28"/>
  <c r="IS84" i="28"/>
  <c r="AP84" i="28"/>
  <c r="AS84" i="28"/>
  <c r="LP84" i="28"/>
  <c r="LS84" i="28"/>
  <c r="GC84" i="28"/>
  <c r="GD84" i="28"/>
  <c r="GP84" i="28"/>
  <c r="HP84" i="28"/>
  <c r="HR84" i="28"/>
  <c r="DC84" i="28"/>
  <c r="IC84" i="28"/>
  <c r="IE84" i="28"/>
  <c r="CC84" i="28"/>
  <c r="CE84" i="28"/>
  <c r="MC84" i="28"/>
  <c r="DS84" i="47"/>
  <c r="DR84" i="47"/>
  <c r="JE86" i="47"/>
  <c r="JD86" i="47"/>
  <c r="HS11" i="47"/>
  <c r="HR11" i="47"/>
  <c r="HQ11" i="47"/>
  <c r="DP53" i="28"/>
  <c r="DQ53" i="28"/>
  <c r="EC53" i="28"/>
  <c r="EF53" i="28"/>
  <c r="CP53" i="28"/>
  <c r="CR53" i="28"/>
  <c r="BP53" i="28"/>
  <c r="BR53" i="28"/>
  <c r="LC53" i="28"/>
  <c r="LF53" i="28"/>
  <c r="Q86" i="47"/>
  <c r="LP85" i="28"/>
  <c r="LR85" i="28"/>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c r="HF74" i="47"/>
  <c r="HD74" i="47"/>
  <c r="HE74" i="47"/>
  <c r="CR74" i="47"/>
  <c r="CQ74" i="47"/>
  <c r="CS74" i="47"/>
  <c r="JE74" i="47"/>
  <c r="JD74" i="47"/>
  <c r="JF74" i="47"/>
  <c r="JC53" i="28"/>
  <c r="JE53" i="28"/>
  <c r="HC53" i="28"/>
  <c r="HF53" i="28"/>
  <c r="EP53" i="28"/>
  <c r="ER53" i="28"/>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c r="CC53" i="28"/>
  <c r="CF53" i="28"/>
  <c r="KC53" i="28"/>
  <c r="KE53" i="28"/>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c r="GC53" i="28"/>
  <c r="GE53" i="28"/>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c r="HP53" i="28"/>
  <c r="HR53" i="28"/>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c r="GC83" i="28"/>
  <c r="GD83" i="28"/>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c r="JC85" i="28"/>
  <c r="JF85" i="28"/>
  <c r="FC85" i="28"/>
  <c r="FE85" i="28"/>
  <c r="IC83" i="28"/>
  <c r="ID83" i="28"/>
  <c r="EC83" i="28"/>
  <c r="EF83" i="28"/>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c r="GC85" i="28"/>
  <c r="GF85" i="28"/>
  <c r="CC83" i="28"/>
  <c r="CD83" i="28"/>
  <c r="AC83" i="28"/>
  <c r="AF83" i="28"/>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c r="IP83" i="28"/>
  <c r="IQ83" i="28"/>
  <c r="CP83" i="28"/>
  <c r="CS83" i="28"/>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c r="LC85" i="28"/>
  <c r="LE85" i="28"/>
  <c r="JP83" i="28"/>
  <c r="JS83" i="28"/>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c r="KP85" i="28"/>
  <c r="KS85" i="28"/>
  <c r="P85" i="28"/>
  <c r="Q85" i="28"/>
  <c r="DC83" i="28"/>
  <c r="DD83" i="28"/>
  <c r="DD85" i="47"/>
  <c r="LY69" i="47"/>
  <c r="GP86" i="28"/>
  <c r="GR86" i="28"/>
  <c r="EC86" i="28"/>
  <c r="EE86" i="28"/>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c r="P83" i="28"/>
  <c r="R83" i="28"/>
  <c r="ER146" i="47"/>
  <c r="JE147" i="47"/>
  <c r="CE147" i="47"/>
  <c r="EN133" i="47"/>
  <c r="DN133" i="47"/>
  <c r="CR147" i="47"/>
  <c r="GY133" i="47"/>
  <c r="KA133" i="47"/>
  <c r="HL69" i="47"/>
  <c r="HT119" i="47"/>
  <c r="BT117" i="47"/>
  <c r="EG117" i="47"/>
  <c r="GP83" i="28"/>
  <c r="GR83" i="28"/>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c r="HP87" i="28"/>
  <c r="HS87" i="28"/>
  <c r="FS86" i="47"/>
  <c r="FP86" i="28"/>
  <c r="FS86" i="28"/>
  <c r="AP87" i="28"/>
  <c r="AR87" i="28"/>
  <c r="E57" i="33"/>
  <c r="HC86" i="28"/>
  <c r="LC87" i="28"/>
  <c r="KW52" i="47"/>
  <c r="HC87" i="28"/>
  <c r="AC23" i="33"/>
  <c r="P24" i="66"/>
  <c r="IG118" i="47"/>
  <c r="MG116" i="47"/>
  <c r="AG118" i="47"/>
  <c r="DG117" i="47"/>
  <c r="HT117" i="47"/>
  <c r="GG118" i="47"/>
  <c r="CG118" i="47"/>
  <c r="CG116" i="47"/>
  <c r="IG119" i="47"/>
  <c r="AT117" i="47"/>
  <c r="MC87" i="28"/>
  <c r="MF87" i="28"/>
  <c r="FR86" i="47"/>
  <c r="JC87" i="28"/>
  <c r="JE87" i="28"/>
  <c r="CQ87" i="28"/>
  <c r="E59" i="33"/>
  <c r="JP86" i="28"/>
  <c r="JQ86" i="28"/>
  <c r="FC87" i="28"/>
  <c r="FE87" i="28"/>
  <c r="FG116" i="47"/>
  <c r="JG119" i="47"/>
  <c r="ET118" i="47"/>
  <c r="IT116" i="47"/>
  <c r="IT118" i="47"/>
  <c r="IG116" i="47"/>
  <c r="JT119" i="47"/>
  <c r="LT116" i="47"/>
  <c r="KG118" i="47"/>
  <c r="GT119" i="47"/>
  <c r="LG116" i="47"/>
  <c r="BG119" i="47"/>
  <c r="LC86" i="28"/>
  <c r="LF86" i="28"/>
  <c r="AP86" i="28"/>
  <c r="AQ86" i="28"/>
  <c r="JC86" i="28"/>
  <c r="JD86" i="28"/>
  <c r="MC86" i="28"/>
  <c r="ME86" i="28"/>
  <c r="E64" i="33"/>
  <c r="G48" i="33"/>
  <c r="H48" i="33"/>
  <c r="CC87" i="28"/>
  <c r="IT117" i="47"/>
  <c r="P87" i="28"/>
  <c r="KP87" i="28"/>
  <c r="LG118" i="47"/>
  <c r="KT118" i="47"/>
  <c r="GT117" i="47"/>
  <c r="AG119" i="47"/>
  <c r="LG119" i="47"/>
  <c r="GT116" i="47"/>
  <c r="JG116" i="47"/>
  <c r="KT117" i="47"/>
  <c r="BT118" i="47"/>
  <c r="LT118" i="47"/>
  <c r="ET117" i="47"/>
  <c r="DG116" i="47"/>
  <c r="LP86" i="28"/>
  <c r="LQ86" i="28"/>
  <c r="HP86" i="28"/>
  <c r="AC86" i="28"/>
  <c r="DP87" i="28"/>
  <c r="DQ87" i="28"/>
  <c r="EJ52" i="47"/>
  <c r="HG117" i="47"/>
  <c r="KT116" i="47"/>
  <c r="DG119" i="47"/>
  <c r="AT118" i="47"/>
  <c r="JG118" i="47"/>
  <c r="HG119" i="47"/>
  <c r="IT119" i="47"/>
  <c r="GG117" i="47"/>
  <c r="MG117" i="47"/>
  <c r="BG118" i="47"/>
  <c r="MG119" i="47"/>
  <c r="KC87" i="28"/>
  <c r="KD87" i="28"/>
  <c r="P86" i="28"/>
  <c r="R86" i="28"/>
  <c r="CP86" i="28"/>
  <c r="CQ86" i="28"/>
  <c r="LP87" i="28"/>
  <c r="LR87" i="28"/>
  <c r="IW52" i="47"/>
  <c r="Q5" i="71"/>
  <c r="GG119" i="47"/>
  <c r="T117" i="47"/>
  <c r="FT116" i="47"/>
  <c r="GG116" i="47"/>
  <c r="CT117" i="47"/>
  <c r="JT118" i="47"/>
  <c r="AT116" i="47"/>
  <c r="HG118" i="47"/>
  <c r="FT118" i="47"/>
  <c r="EG118" i="47"/>
  <c r="CG117" i="47"/>
  <c r="BT116" i="47"/>
  <c r="MF88" i="47"/>
  <c r="EC87" i="28"/>
  <c r="EE87" i="28"/>
  <c r="FC86" i="28"/>
  <c r="FE86" i="28"/>
  <c r="LJ52" i="47"/>
  <c r="BC86" i="28"/>
  <c r="BF86" i="28"/>
  <c r="CS87" i="28"/>
  <c r="BP87" i="28"/>
  <c r="BQ87" i="28"/>
  <c r="DC87" i="28"/>
  <c r="DD87" i="28"/>
  <c r="FW52" i="47"/>
  <c r="LG117" i="47"/>
  <c r="FT119" i="47"/>
  <c r="FT117" i="47"/>
  <c r="HT118" i="47"/>
  <c r="BG117" i="47"/>
  <c r="T118" i="47"/>
  <c r="CG119" i="47"/>
  <c r="AG116" i="47"/>
  <c r="KG116" i="47"/>
  <c r="HG116" i="47"/>
  <c r="EG116" i="47"/>
  <c r="FG119" i="47"/>
  <c r="T119" i="47"/>
  <c r="EP86" i="28"/>
  <c r="ES86" i="28"/>
  <c r="IP87" i="28"/>
  <c r="IQ87" i="28"/>
  <c r="EP87" i="28"/>
  <c r="EQ87" i="28"/>
  <c r="AC87" i="28"/>
  <c r="AF87" i="28"/>
  <c r="FP87" i="28"/>
  <c r="C52" i="28"/>
  <c r="X23" i="33"/>
  <c r="Q24" i="65"/>
  <c r="E48" i="48"/>
  <c r="KC87" i="47"/>
  <c r="KF87" i="47"/>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c r="DP83" i="47"/>
  <c r="HP83" i="47"/>
  <c r="HR83" i="47"/>
  <c r="CP83" i="47"/>
  <c r="CS83" i="47"/>
  <c r="GP83" i="47"/>
  <c r="GR83" i="47"/>
  <c r="P83" i="47"/>
  <c r="BC83" i="47"/>
  <c r="BD83" i="47"/>
  <c r="FC83" i="47"/>
  <c r="FD83" i="47"/>
  <c r="BP83" i="47"/>
  <c r="BS83" i="47"/>
  <c r="EP83" i="47"/>
  <c r="ES83" i="47"/>
  <c r="FP83" i="47"/>
  <c r="LC83" i="47"/>
  <c r="LD83" i="47"/>
  <c r="AC83" i="47"/>
  <c r="AD83" i="47"/>
  <c r="IC83" i="47"/>
  <c r="ID83" i="47"/>
  <c r="LP83" i="47"/>
  <c r="LS83" i="47"/>
  <c r="DC83" i="47"/>
  <c r="HC83" i="47"/>
  <c r="HD83" i="47"/>
  <c r="MC83" i="47"/>
  <c r="MD83" i="47"/>
  <c r="KC83" i="47"/>
  <c r="KD83" i="47"/>
  <c r="JP83" i="47"/>
  <c r="JQ83" i="47"/>
  <c r="GC83" i="47"/>
  <c r="GF83" i="47"/>
  <c r="IP83" i="47"/>
  <c r="IS83" i="47"/>
  <c r="AP83" i="47"/>
  <c r="AQ83" i="47"/>
  <c r="KD84" i="47"/>
  <c r="KF84" i="47"/>
  <c r="KE84" i="47"/>
  <c r="BT126" i="47"/>
  <c r="L18" i="33"/>
  <c r="Q23" i="70"/>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c r="E47" i="48"/>
  <c r="LP87" i="47"/>
  <c r="LQ87" i="47"/>
  <c r="E90" i="48"/>
  <c r="AC33" i="33"/>
  <c r="P26" i="66"/>
  <c r="D88" i="48"/>
  <c r="EP87" i="47"/>
  <c r="EQ87" i="47"/>
  <c r="AA38" i="33"/>
  <c r="Q27" i="69"/>
  <c r="E80" i="48"/>
  <c r="D62" i="48"/>
  <c r="C28" i="33"/>
  <c r="Q25" i="61"/>
  <c r="BC83" i="28"/>
  <c r="LP83" i="28"/>
  <c r="KP83" i="28"/>
  <c r="H18" i="33"/>
  <c r="P23" i="63"/>
  <c r="U38" i="33"/>
  <c r="Q27" i="64"/>
  <c r="E82" i="48"/>
  <c r="BC84" i="28"/>
  <c r="BP84" i="28"/>
  <c r="HC84" i="28"/>
  <c r="JP84" i="28"/>
  <c r="EC84" i="28"/>
  <c r="AA23" i="33"/>
  <c r="Q24" i="69"/>
  <c r="E53" i="48"/>
  <c r="KP86" i="28"/>
  <c r="BP86" i="28"/>
  <c r="CC86" i="28"/>
  <c r="IC86" i="28"/>
  <c r="KC86" i="28"/>
  <c r="DP86" i="28"/>
  <c r="MC87" i="47"/>
  <c r="MF87" i="47"/>
  <c r="R28" i="33"/>
  <c r="Q25" i="71"/>
  <c r="P84" i="28"/>
  <c r="AC84" i="28"/>
  <c r="KC85" i="28"/>
  <c r="AC85" i="28"/>
  <c r="EC85" i="28"/>
  <c r="JP85" i="28"/>
  <c r="IP85" i="28"/>
  <c r="IC85" i="28"/>
  <c r="EP85" i="28"/>
  <c r="GP85" i="28"/>
  <c r="AP85" i="28"/>
  <c r="FP85" i="28"/>
  <c r="HC85" i="28"/>
  <c r="CC85" i="28"/>
  <c r="BC85" i="28"/>
  <c r="CP85" i="28"/>
  <c r="DP85" i="28"/>
  <c r="DC85" i="28"/>
  <c r="GC86" i="28"/>
  <c r="GP87" i="47"/>
  <c r="GR87" i="47"/>
  <c r="KP87" i="47"/>
  <c r="KR87" i="47"/>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c r="E77" i="48"/>
  <c r="AA18" i="33"/>
  <c r="Q23" i="69"/>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c r="E27" i="48"/>
  <c r="BE88" i="47"/>
  <c r="BF88" i="47"/>
  <c r="BD88" i="47"/>
  <c r="AA54" i="33"/>
  <c r="Z48" i="33"/>
  <c r="Z49" i="33"/>
  <c r="Z54" i="33"/>
  <c r="Z47" i="33"/>
  <c r="FS85" i="47"/>
  <c r="FR85" i="47"/>
  <c r="IQ85" i="47"/>
  <c r="IS85" i="47"/>
  <c r="IR85" i="47"/>
  <c r="W58" i="33"/>
  <c r="W57" i="33"/>
  <c r="X64" i="33"/>
  <c r="AT48" i="33"/>
  <c r="W59" i="33"/>
  <c r="W64" i="33"/>
  <c r="AQ48" i="33"/>
  <c r="EF88" i="47"/>
  <c r="ED88" i="47"/>
  <c r="EE88" i="47"/>
  <c r="KS88" i="47"/>
  <c r="KQ88" i="47"/>
  <c r="KR88" i="47"/>
  <c r="CR86" i="47"/>
  <c r="CS86" i="47"/>
  <c r="CQ86" i="47"/>
  <c r="AF86" i="47"/>
  <c r="AD86" i="47"/>
  <c r="AE86" i="47"/>
  <c r="DP87" i="47"/>
  <c r="CP87" i="47"/>
  <c r="FP87" i="47"/>
  <c r="AI13" i="33"/>
  <c r="P22" i="67"/>
  <c r="D33" i="48"/>
  <c r="AI28" i="33"/>
  <c r="P25" i="67"/>
  <c r="D58" i="48"/>
  <c r="DS88" i="47"/>
  <c r="DQ88" i="47"/>
  <c r="DR88" i="47"/>
  <c r="HQ85" i="47"/>
  <c r="HS85" i="47"/>
  <c r="HR85" i="47"/>
  <c r="ED85" i="47"/>
  <c r="EF85" i="47"/>
  <c r="EE85" i="47"/>
  <c r="HQ88" i="47"/>
  <c r="HR88" i="47"/>
  <c r="HS88" i="47"/>
  <c r="T58" i="33"/>
  <c r="T64" i="33"/>
  <c r="AK48" i="33"/>
  <c r="T59" i="33"/>
  <c r="U64" i="33"/>
  <c r="AN48" i="33"/>
  <c r="T57" i="33"/>
  <c r="GD85" i="47"/>
  <c r="GE85" i="47"/>
  <c r="GF85" i="47"/>
  <c r="CS88" i="47"/>
  <c r="CQ88" i="47"/>
  <c r="CR88" i="47"/>
  <c r="B117" i="47"/>
  <c r="EP117" i="47"/>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c r="C13" i="33"/>
  <c r="Q22" i="61"/>
  <c r="E4" i="48"/>
  <c r="K59" i="33"/>
  <c r="K57" i="33"/>
  <c r="K58" i="33"/>
  <c r="K64" i="33"/>
  <c r="S48" i="33"/>
  <c r="L64" i="33"/>
  <c r="V48" i="33"/>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c r="D57" i="48"/>
  <c r="H57" i="33"/>
  <c r="H58" i="33"/>
  <c r="H59" i="33"/>
  <c r="I64" i="33"/>
  <c r="P48" i="33"/>
  <c r="H64" i="33"/>
  <c r="M48" i="33"/>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c r="E62" i="48"/>
  <c r="N28" i="33"/>
  <c r="P25" i="72"/>
  <c r="HF27" i="28"/>
  <c r="HE27" i="28"/>
  <c r="HD27" i="28"/>
  <c r="KG107" i="47"/>
  <c r="AG114" i="47"/>
  <c r="AT110" i="47"/>
  <c r="LT111" i="47"/>
  <c r="HG113" i="47"/>
  <c r="IG108" i="47"/>
  <c r="KG112" i="47"/>
  <c r="DG109" i="47"/>
  <c r="BG112" i="47"/>
  <c r="BT114" i="47"/>
  <c r="BG109" i="47"/>
  <c r="HG107" i="47"/>
  <c r="B121" i="47"/>
  <c r="JT122" i="47"/>
  <c r="JO147" i="47"/>
  <c r="DG122" i="47"/>
  <c r="DB147" i="47"/>
  <c r="GG121" i="47"/>
  <c r="GB146" i="47"/>
  <c r="KT122" i="47"/>
  <c r="KO147" i="47"/>
  <c r="FG121" i="47"/>
  <c r="FB146" i="47"/>
  <c r="LG121" i="47"/>
  <c r="LB146" i="47"/>
  <c r="JG122" i="47"/>
  <c r="JB147" i="47"/>
  <c r="EG122" i="47"/>
  <c r="EB147" i="47"/>
  <c r="DG121" i="47"/>
  <c r="DB146" i="47"/>
  <c r="CT121" i="47"/>
  <c r="CO146" i="47"/>
  <c r="AG122" i="47"/>
  <c r="AB147" i="47"/>
  <c r="MG122" i="47"/>
  <c r="MB147" i="47"/>
  <c r="FT122" i="47"/>
  <c r="FO147" i="47"/>
  <c r="BT122" i="47"/>
  <c r="BO147" i="47"/>
  <c r="BG121" i="47"/>
  <c r="BB146" i="47"/>
  <c r="HG121" i="47"/>
  <c r="HB146" i="47"/>
  <c r="ET121" i="47"/>
  <c r="EO146" i="47"/>
  <c r="LT122" i="47"/>
  <c r="LO147" i="47"/>
  <c r="DT122" i="47"/>
  <c r="DO147" i="47"/>
  <c r="AG121" i="47"/>
  <c r="AB146" i="47"/>
  <c r="LT121" i="47"/>
  <c r="LO146" i="47"/>
  <c r="T121" i="47"/>
  <c r="O146" i="47"/>
  <c r="HG122" i="47"/>
  <c r="HB147" i="47"/>
  <c r="IG121" i="47"/>
  <c r="IB146" i="47"/>
  <c r="CG122" i="47"/>
  <c r="CB147" i="47"/>
  <c r="KT121" i="47"/>
  <c r="KO146" i="47"/>
  <c r="LG122" i="47"/>
  <c r="LB147" i="47"/>
  <c r="HT121" i="47"/>
  <c r="HO146" i="47"/>
  <c r="AT121" i="47"/>
  <c r="AO146" i="47"/>
  <c r="JT121" i="47"/>
  <c r="JO146" i="47"/>
  <c r="IT122" i="47"/>
  <c r="IO147" i="47"/>
  <c r="AT122" i="47"/>
  <c r="AO147" i="47"/>
  <c r="DT121" i="47"/>
  <c r="DO146" i="47"/>
  <c r="GT121" i="47"/>
  <c r="GO146" i="47"/>
  <c r="GT122" i="47"/>
  <c r="GO147" i="47"/>
  <c r="FG122" i="47"/>
  <c r="FB147" i="47"/>
  <c r="BT121" i="47"/>
  <c r="BO146" i="47"/>
  <c r="ET122" i="47"/>
  <c r="EO147" i="47"/>
  <c r="BG122" i="47"/>
  <c r="BB147" i="47"/>
  <c r="CG121" i="47"/>
  <c r="CB146" i="47"/>
  <c r="IG122" i="47"/>
  <c r="IB147" i="47"/>
  <c r="HT122" i="47"/>
  <c r="HO147" i="47"/>
  <c r="JG121" i="47"/>
  <c r="JB146" i="47"/>
  <c r="IT121" i="47"/>
  <c r="IO146" i="47"/>
  <c r="KG121" i="47"/>
  <c r="KB146" i="47"/>
  <c r="CT122" i="47"/>
  <c r="CO147" i="47"/>
  <c r="EG121" i="47"/>
  <c r="EB146" i="47"/>
  <c r="MG121" i="47"/>
  <c r="MB146" i="47"/>
  <c r="KG122" i="47"/>
  <c r="KB147" i="47"/>
  <c r="FT121" i="47"/>
  <c r="FO146" i="47"/>
  <c r="GG122" i="47"/>
  <c r="GB147" i="47"/>
  <c r="T122" i="47"/>
  <c r="O147" i="47"/>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c r="D63" i="48"/>
  <c r="AT112" i="47"/>
  <c r="GT110" i="47"/>
  <c r="KT110" i="47"/>
  <c r="CT111" i="47"/>
  <c r="EG110" i="47"/>
  <c r="FG112" i="47"/>
  <c r="AT107" i="47"/>
  <c r="AT113" i="47"/>
  <c r="T112" i="47"/>
  <c r="LT110" i="47"/>
  <c r="MD86" i="47"/>
  <c r="ME86" i="47"/>
  <c r="MF86" i="47"/>
  <c r="DD84" i="47"/>
  <c r="DE84" i="47"/>
  <c r="DF84" i="47"/>
  <c r="GQ84" i="47"/>
  <c r="GR84" i="47"/>
  <c r="GS84" i="47"/>
  <c r="D108" i="47"/>
  <c r="EC112" i="47"/>
  <c r="JG111" i="47"/>
  <c r="HT110" i="47"/>
  <c r="ET109" i="47"/>
  <c r="BT107" i="47"/>
  <c r="KG110" i="47"/>
  <c r="GT109" i="47"/>
  <c r="T108" i="47"/>
  <c r="HT114" i="47"/>
  <c r="HO139" i="47"/>
  <c r="FT108" i="47"/>
  <c r="LG114" i="47"/>
  <c r="KT109" i="47"/>
  <c r="IT112" i="47"/>
  <c r="FG107" i="47"/>
  <c r="BG107" i="47"/>
  <c r="HT113" i="47"/>
  <c r="ET114" i="47"/>
  <c r="EO139" i="47"/>
  <c r="CG112" i="47"/>
  <c r="JG110" i="47"/>
  <c r="FT114" i="47"/>
  <c r="KG113" i="47"/>
  <c r="AG110" i="47"/>
  <c r="CT107" i="47"/>
  <c r="JT110" i="47"/>
  <c r="T113" i="47"/>
  <c r="O138" i="47"/>
  <c r="BT113" i="47"/>
  <c r="HT109" i="47"/>
  <c r="AT114" i="47"/>
  <c r="CT114" i="47"/>
  <c r="FT113" i="47"/>
  <c r="IG110" i="47"/>
  <c r="HG112" i="47"/>
  <c r="DG114" i="47"/>
  <c r="DB139" i="47"/>
  <c r="IG112" i="47"/>
  <c r="FG108" i="47"/>
  <c r="BG113" i="47"/>
  <c r="DT107" i="47"/>
  <c r="KT108" i="47"/>
  <c r="DG110" i="47"/>
  <c r="DT113" i="47"/>
  <c r="MG108" i="47"/>
  <c r="MB133" i="47"/>
  <c r="AG112" i="47"/>
  <c r="MG111" i="47"/>
  <c r="JT113" i="47"/>
  <c r="HG111" i="47"/>
  <c r="T114" i="47"/>
  <c r="FT109" i="47"/>
  <c r="JT109" i="47"/>
  <c r="GG113" i="47"/>
  <c r="GB138" i="47"/>
  <c r="DT114" i="47"/>
  <c r="JG109" i="47"/>
  <c r="CG110" i="47"/>
  <c r="T107" i="47"/>
  <c r="FT107" i="47"/>
  <c r="CT110" i="47"/>
  <c r="FT110" i="47"/>
  <c r="CT113" i="47"/>
  <c r="CO138" i="47"/>
  <c r="JG114" i="47"/>
  <c r="ET107" i="47"/>
  <c r="HT108" i="47"/>
  <c r="IG107" i="47"/>
  <c r="DT112" i="47"/>
  <c r="LG107" i="47"/>
  <c r="CG109" i="47"/>
  <c r="IT113" i="47"/>
  <c r="IO138" i="47"/>
  <c r="EG107" i="47"/>
  <c r="DT111" i="47"/>
  <c r="IT108" i="47"/>
  <c r="EG109" i="47"/>
  <c r="BT111" i="47"/>
  <c r="DT109" i="47"/>
  <c r="T110" i="47"/>
  <c r="LG113" i="47"/>
  <c r="LB138" i="47"/>
  <c r="DT110" i="47"/>
  <c r="CG111" i="47"/>
  <c r="ET108" i="47"/>
  <c r="DG108" i="47"/>
  <c r="AG111" i="47"/>
  <c r="MG107" i="47"/>
  <c r="IG109" i="47"/>
  <c r="HG114" i="47"/>
  <c r="HB139" i="47"/>
  <c r="HT112" i="47"/>
  <c r="GG108" i="47"/>
  <c r="BT112" i="47"/>
  <c r="LG112" i="47"/>
  <c r="CG114" i="47"/>
  <c r="GT111" i="47"/>
  <c r="FT112" i="47"/>
  <c r="ET112" i="47"/>
  <c r="EO137" i="47"/>
  <c r="MG109" i="47"/>
  <c r="KG108" i="47"/>
  <c r="CT109" i="47"/>
  <c r="HG110" i="47"/>
  <c r="MG110" i="47"/>
  <c r="FG110" i="47"/>
  <c r="EG113" i="47"/>
  <c r="JG113" i="47"/>
  <c r="JB138" i="47"/>
  <c r="LT107" i="47"/>
  <c r="AG109" i="47"/>
  <c r="KG114" i="47"/>
  <c r="EG112" i="47"/>
  <c r="T109" i="47"/>
  <c r="BT108" i="47"/>
  <c r="JG108" i="47"/>
  <c r="GT113" i="47"/>
  <c r="GO138" i="47"/>
  <c r="HG108" i="47"/>
  <c r="IT110" i="47"/>
  <c r="LT108" i="47"/>
  <c r="JT108" i="47"/>
  <c r="T111" i="47"/>
  <c r="GT112" i="47"/>
  <c r="CT112" i="47"/>
  <c r="GG107" i="47"/>
  <c r="CG107" i="47"/>
  <c r="GG109" i="47"/>
  <c r="KT114" i="47"/>
  <c r="KT112" i="47"/>
  <c r="BT109" i="47"/>
  <c r="DG112" i="47"/>
  <c r="ET111" i="47"/>
  <c r="IG111" i="47"/>
  <c r="IB136" i="47"/>
  <c r="JG107" i="47"/>
  <c r="AG107" i="47"/>
  <c r="AG108" i="47"/>
  <c r="LT113" i="47"/>
  <c r="JT112" i="47"/>
  <c r="FG113" i="47"/>
  <c r="JG112" i="47"/>
  <c r="CG108" i="47"/>
  <c r="CB133"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c r="D32" i="48"/>
  <c r="I18" i="33"/>
  <c r="Q23" i="63"/>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c r="GG110" i="47"/>
  <c r="IT109" i="47"/>
  <c r="LG110" i="47"/>
  <c r="EG108" i="47"/>
  <c r="IT111" i="47"/>
  <c r="MG114" i="47"/>
  <c r="JT114" i="47"/>
  <c r="LT109" i="47"/>
  <c r="KG111" i="47"/>
  <c r="BG111" i="47"/>
  <c r="FT111" i="47"/>
  <c r="HG109" i="47"/>
  <c r="HD88" i="47"/>
  <c r="HE88" i="47"/>
  <c r="HF88" i="47"/>
  <c r="HQ84" i="47"/>
  <c r="HR84" i="47"/>
  <c r="HS84" i="47"/>
  <c r="BD84" i="47"/>
  <c r="BE84" i="47"/>
  <c r="BF84" i="47"/>
  <c r="MF64" i="28"/>
  <c r="MD64" i="28"/>
  <c r="AR27" i="28"/>
  <c r="AD27" i="28"/>
  <c r="AF27" i="28"/>
  <c r="E16" i="28"/>
  <c r="HY16" i="28"/>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c r="FC130" i="28"/>
  <c r="Z23" i="33"/>
  <c r="P24" i="69"/>
  <c r="C64" i="28"/>
  <c r="D56" i="48"/>
  <c r="W23" i="33"/>
  <c r="P24" i="65"/>
  <c r="C57" i="47"/>
  <c r="D50" i="48"/>
  <c r="I23" i="33"/>
  <c r="Q24" i="63"/>
  <c r="E41" i="48"/>
  <c r="P124" i="47"/>
  <c r="P126" i="47"/>
  <c r="O108" i="47"/>
  <c r="O107" i="47"/>
  <c r="D65" i="48"/>
  <c r="D84" i="48"/>
  <c r="E17" i="48"/>
  <c r="D38" i="48"/>
  <c r="D41" i="48"/>
  <c r="D81" i="48"/>
  <c r="N9" i="48"/>
  <c r="AZ9" i="33"/>
  <c r="AI38" i="33"/>
  <c r="P27" i="67"/>
  <c r="D87" i="48"/>
  <c r="R23" i="33"/>
  <c r="Q24" i="71"/>
  <c r="E45" i="48"/>
  <c r="E18" i="33"/>
  <c r="P23" i="62"/>
  <c r="F18" i="33"/>
  <c r="Q23" i="62"/>
  <c r="Z23" i="62"/>
  <c r="D10" i="48"/>
  <c r="L23" i="33"/>
  <c r="Q24" i="70"/>
  <c r="E40" i="48"/>
  <c r="KC126" i="47"/>
  <c r="KC124" i="47"/>
  <c r="KB108" i="47"/>
  <c r="KB107" i="47"/>
  <c r="U18" i="33"/>
  <c r="Q23" i="64"/>
  <c r="E49" i="47"/>
  <c r="E23" i="48"/>
  <c r="AG13" i="33"/>
  <c r="Q22" i="68"/>
  <c r="E30" i="48"/>
  <c r="Q23" i="33"/>
  <c r="P24" i="71"/>
  <c r="D45" i="48"/>
  <c r="T18" i="33"/>
  <c r="P23" i="64"/>
  <c r="D23" i="48"/>
  <c r="E14" i="28"/>
  <c r="DY14" i="28"/>
  <c r="E10" i="48"/>
  <c r="BC126" i="47"/>
  <c r="BB108" i="47"/>
  <c r="BC124" i="47"/>
  <c r="BB107" i="47"/>
  <c r="D42" i="48"/>
  <c r="D40" i="48"/>
  <c r="O23" i="33"/>
  <c r="Q24" i="72"/>
  <c r="E36" i="47"/>
  <c r="E46" i="48"/>
  <c r="D18" i="48"/>
  <c r="AI33" i="33"/>
  <c r="P26" i="67"/>
  <c r="C87" i="28"/>
  <c r="D86" i="48"/>
  <c r="U23" i="33"/>
  <c r="Q24" i="64"/>
  <c r="E50" i="47"/>
  <c r="E51" i="48"/>
  <c r="D5" i="68"/>
  <c r="J74" i="22"/>
  <c r="I26" i="22"/>
  <c r="H18" i="3"/>
  <c r="I50" i="22"/>
  <c r="EC124" i="47"/>
  <c r="EB107" i="47"/>
  <c r="EC126" i="47"/>
  <c r="EB108" i="47"/>
  <c r="CP130" i="28"/>
  <c r="CP131" i="28"/>
  <c r="DP130" i="28"/>
  <c r="DP131" i="28"/>
  <c r="JP130" i="28"/>
  <c r="MC130" i="28"/>
  <c r="MC131" i="28"/>
  <c r="IE64" i="28"/>
  <c r="IS27" i="28"/>
  <c r="IS79" i="28"/>
  <c r="GR41" i="28"/>
  <c r="LP130" i="28"/>
  <c r="LP131" i="28"/>
  <c r="AP130" i="28"/>
  <c r="AP131" i="28"/>
  <c r="IC130" i="28"/>
  <c r="BQ64" i="28"/>
  <c r="CC130" i="28"/>
  <c r="IP130" i="28"/>
  <c r="LC130" i="28"/>
  <c r="GC130" i="28"/>
  <c r="BS64" i="28"/>
  <c r="JR41" i="28"/>
  <c r="P130" i="28"/>
  <c r="AC130" i="28"/>
  <c r="AC131" i="28"/>
  <c r="JC130" i="28"/>
  <c r="JC131" i="28"/>
  <c r="DC130" i="28"/>
  <c r="DC131" i="28"/>
  <c r="KP130" i="28"/>
  <c r="HP130" i="28"/>
  <c r="LE29" i="28"/>
  <c r="GF41" i="28"/>
  <c r="EC130" i="28"/>
  <c r="BP130" i="28"/>
  <c r="BP131" i="28"/>
  <c r="GP130" i="28"/>
  <c r="BC130" i="28"/>
  <c r="BC131" i="28"/>
  <c r="IF64" i="28"/>
  <c r="GE41" i="28"/>
  <c r="HC130" i="28"/>
  <c r="HC131" i="28"/>
  <c r="KC130" i="28"/>
  <c r="KC131" i="28"/>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c r="E42" i="28"/>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c r="HF80" i="28"/>
  <c r="I28" i="22"/>
  <c r="B23" i="33"/>
  <c r="P24" i="61"/>
  <c r="Q8" i="61"/>
  <c r="I56" i="22"/>
  <c r="B33" i="33"/>
  <c r="P26" i="61"/>
  <c r="T26" i="61"/>
  <c r="HE29" i="28"/>
  <c r="ES80" i="28"/>
  <c r="K28" i="33"/>
  <c r="P25" i="70"/>
  <c r="C30" i="47"/>
  <c r="FR29" i="28"/>
  <c r="AD29" i="28"/>
  <c r="GS29" i="28"/>
  <c r="ME29" i="28"/>
  <c r="GS57" i="28"/>
  <c r="HQ29" i="28"/>
  <c r="D17" i="72"/>
  <c r="Y14" i="28"/>
  <c r="AR29" i="28"/>
  <c r="ER80" i="28"/>
  <c r="E15" i="48"/>
  <c r="HF29" i="28"/>
  <c r="EE80" i="28"/>
  <c r="MF29" i="28"/>
  <c r="IQ76" i="47"/>
  <c r="E66" i="48"/>
  <c r="D73" i="48"/>
  <c r="U13" i="33"/>
  <c r="Q22" i="64"/>
  <c r="E48" i="47"/>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c r="E34" i="28"/>
  <c r="Q38" i="33"/>
  <c r="P27" i="71"/>
  <c r="T27" i="7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c r="D17" i="63"/>
  <c r="X38" i="33"/>
  <c r="Q27" i="65"/>
  <c r="E60" i="47"/>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c r="E28" i="33"/>
  <c r="P25" i="62"/>
  <c r="C16" i="28"/>
  <c r="Q70" i="47"/>
  <c r="AE63" i="28"/>
  <c r="AF53" i="47"/>
  <c r="DS83" i="28"/>
  <c r="CQ20" i="28"/>
  <c r="DP119" i="47"/>
  <c r="DQ119" i="47"/>
  <c r="DR119" i="47"/>
  <c r="CS62" i="28"/>
  <c r="AC118" i="47"/>
  <c r="AF118" i="47"/>
  <c r="FC117" i="47"/>
  <c r="FF117" i="47"/>
  <c r="EP118" i="47"/>
  <c r="EQ118" i="47"/>
  <c r="ER118" i="47"/>
  <c r="LC117" i="47"/>
  <c r="LF117" i="47"/>
  <c r="IC117" i="47"/>
  <c r="ID117" i="47"/>
  <c r="IE117" i="47"/>
  <c r="AP116" i="47"/>
  <c r="AS116" i="47"/>
  <c r="CF83" i="47"/>
  <c r="D69" i="28"/>
  <c r="IK69" i="28"/>
  <c r="HE63" i="28"/>
  <c r="HQ20" i="28"/>
  <c r="HS24" i="28"/>
  <c r="BR48" i="28"/>
  <c r="FD72" i="28"/>
  <c r="FD53" i="28"/>
  <c r="FF24" i="28"/>
  <c r="BF44" i="47"/>
  <c r="LQ44" i="47"/>
  <c r="ER58" i="47"/>
  <c r="LQ24" i="28"/>
  <c r="EF39" i="47"/>
  <c r="S17" i="28"/>
  <c r="K23" i="33"/>
  <c r="P24" i="70"/>
  <c r="C29" i="28"/>
  <c r="GQ44" i="47"/>
  <c r="B70" i="28"/>
  <c r="LI70" i="28"/>
  <c r="B70" i="47"/>
  <c r="II70" i="47"/>
  <c r="EE83" i="28"/>
  <c r="IQ21" i="28"/>
  <c r="B52" i="47"/>
  <c r="LV52" i="47"/>
  <c r="ED83" i="28"/>
  <c r="IF7" i="28"/>
  <c r="CF21" i="28"/>
  <c r="D69" i="47"/>
  <c r="HX69" i="47"/>
  <c r="BS46" i="28"/>
  <c r="D41" i="28"/>
  <c r="KX41" i="28"/>
  <c r="LF63" i="28"/>
  <c r="E63" i="48"/>
  <c r="R33" i="33"/>
  <c r="Q26" i="71"/>
  <c r="Z26" i="71"/>
  <c r="D16" i="47"/>
  <c r="KX16" i="47"/>
  <c r="HE79" i="47"/>
  <c r="D41" i="47"/>
  <c r="LK41" i="47"/>
  <c r="KF63" i="28"/>
  <c r="KF50" i="47"/>
  <c r="CD13" i="28"/>
  <c r="D74" i="48"/>
  <c r="MD39" i="47"/>
  <c r="EQ53" i="47"/>
  <c r="D20" i="48"/>
  <c r="KF62" i="28"/>
  <c r="CS72" i="28"/>
  <c r="W38" i="33"/>
  <c r="P27" i="65"/>
  <c r="C60" i="47"/>
  <c r="Q13" i="33"/>
  <c r="P22" i="71"/>
  <c r="Z28" i="71"/>
  <c r="ES50" i="47"/>
  <c r="BQ44" i="47"/>
  <c r="ER53" i="47"/>
  <c r="H33" i="33"/>
  <c r="P26" i="63"/>
  <c r="C24" i="28"/>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c r="C23" i="28"/>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c r="E11" i="47"/>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c r="Z25" i="66"/>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c r="BC117" i="47"/>
  <c r="BD117" i="47"/>
  <c r="BE117" i="47"/>
  <c r="LF20" i="28"/>
  <c r="KR20" i="28"/>
  <c r="AQ17" i="28"/>
  <c r="ER84" i="28"/>
  <c r="JS35" i="28"/>
  <c r="BR70" i="47"/>
  <c r="BB141" i="47"/>
  <c r="EQ84" i="28"/>
  <c r="HS60" i="47"/>
  <c r="BS70" i="47"/>
  <c r="KD20" i="28"/>
  <c r="ER7" i="28"/>
  <c r="IQ63" i="28"/>
  <c r="E42" i="48"/>
  <c r="JE13" i="28"/>
  <c r="KD24" i="28"/>
  <c r="Q20" i="28"/>
  <c r="HE17" i="28"/>
  <c r="BP116" i="47"/>
  <c r="BS116" i="47"/>
  <c r="IC119" i="47"/>
  <c r="IF119" i="47"/>
  <c r="LC119" i="47"/>
  <c r="LD119" i="47"/>
  <c r="LE119" i="47"/>
  <c r="JP117" i="47"/>
  <c r="JS117" i="47"/>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c r="E88" i="47"/>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c r="B13" i="3"/>
  <c r="D6" i="62"/>
  <c r="J29" i="22"/>
  <c r="E36" i="48"/>
  <c r="I55" i="22"/>
  <c r="D66" i="48"/>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c r="CR119" i="47"/>
  <c r="HQ87" i="28"/>
  <c r="EB142" i="47"/>
  <c r="KP119" i="47"/>
  <c r="KS119" i="47"/>
  <c r="HP116" i="47"/>
  <c r="HS116" i="47"/>
  <c r="IP119" i="47"/>
  <c r="IQ119" i="47"/>
  <c r="IR119" i="47"/>
  <c r="GP118" i="47"/>
  <c r="GS118" i="47"/>
  <c r="P117" i="47"/>
  <c r="S117" i="47"/>
  <c r="LP118" i="47"/>
  <c r="LS118" i="47"/>
  <c r="DC119" i="47"/>
  <c r="DF119" i="47"/>
  <c r="DP117" i="47"/>
  <c r="DQ117" i="47"/>
  <c r="DR117" i="47"/>
  <c r="FC119" i="47"/>
  <c r="FD119" i="47"/>
  <c r="FE119" i="47"/>
  <c r="BP118" i="47"/>
  <c r="BS118" i="47"/>
  <c r="KC119" i="47"/>
  <c r="KF119" i="47"/>
  <c r="CP118" i="47"/>
  <c r="CS118" i="47"/>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c r="JP116" i="47"/>
  <c r="JS116" i="47"/>
  <c r="IC118" i="47"/>
  <c r="IF118" i="47"/>
  <c r="CC118" i="47"/>
  <c r="CF118" i="47"/>
  <c r="GC116" i="47"/>
  <c r="GD116" i="47"/>
  <c r="GE116" i="47"/>
  <c r="HP119" i="47"/>
  <c r="HS119" i="47"/>
  <c r="CC119" i="47"/>
  <c r="CF119" i="47"/>
  <c r="IP116" i="47"/>
  <c r="IQ116" i="47"/>
  <c r="IR116" i="47"/>
  <c r="KC118" i="47"/>
  <c r="KF118" i="47"/>
  <c r="AP117" i="47"/>
  <c r="AS117" i="47"/>
  <c r="EC117" i="47"/>
  <c r="ED117" i="47"/>
  <c r="EE117" i="47"/>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c r="FC118" i="47"/>
  <c r="FF118" i="47"/>
  <c r="DC118" i="47"/>
  <c r="DF118" i="47"/>
  <c r="DC116" i="47"/>
  <c r="DD116" i="47"/>
  <c r="DE116" i="47"/>
  <c r="JC119" i="47"/>
  <c r="JD119" i="47"/>
  <c r="JE119" i="47"/>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c r="BE116" i="47"/>
  <c r="LC116" i="47"/>
  <c r="LD116" i="47"/>
  <c r="LE116" i="47"/>
  <c r="BP119" i="47"/>
  <c r="BQ119" i="47"/>
  <c r="BR119" i="47"/>
  <c r="GP117" i="47"/>
  <c r="GQ117" i="47"/>
  <c r="GR117" i="47"/>
  <c r="EP119" i="47"/>
  <c r="EQ119" i="47"/>
  <c r="ER119" i="47"/>
  <c r="EC116" i="47"/>
  <c r="EF116" i="47"/>
  <c r="KC117" i="47"/>
  <c r="KF117" i="47"/>
  <c r="GP116" i="47"/>
  <c r="GS116" i="47"/>
  <c r="AC119" i="47"/>
  <c r="AD119" i="47"/>
  <c r="AE119" i="47"/>
  <c r="LC118" i="47"/>
  <c r="LD118" i="47"/>
  <c r="LE118" i="47"/>
  <c r="P116" i="47"/>
  <c r="Q116" i="47"/>
  <c r="R116" i="47"/>
  <c r="GC117" i="47"/>
  <c r="GF117" i="47"/>
  <c r="KP118" i="47"/>
  <c r="KS118" i="47"/>
  <c r="KP116" i="47"/>
  <c r="KQ116" i="47"/>
  <c r="KR116" i="47"/>
  <c r="FP116" i="47"/>
  <c r="FS116" i="47"/>
  <c r="DC117" i="47"/>
  <c r="DF117" i="47"/>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c r="LP117" i="47"/>
  <c r="LQ117" i="47"/>
  <c r="LR117" i="47"/>
  <c r="CC117" i="47"/>
  <c r="CF117" i="47"/>
  <c r="CC116" i="47"/>
  <c r="CD116" i="47"/>
  <c r="CE116" i="47"/>
  <c r="MC119" i="47"/>
  <c r="MD119" i="47"/>
  <c r="ME119" i="47"/>
  <c r="HP118" i="47"/>
  <c r="HS118" i="47"/>
  <c r="LP119" i="47"/>
  <c r="LS119" i="47"/>
  <c r="AC117" i="47"/>
  <c r="AF117" i="47"/>
  <c r="P119" i="47"/>
  <c r="S119" i="47"/>
  <c r="FC116" i="47"/>
  <c r="FF116" i="47"/>
  <c r="AC116" i="47"/>
  <c r="AD116" i="47"/>
  <c r="AE116" i="47"/>
  <c r="FP117" i="47"/>
  <c r="FS117" i="47"/>
  <c r="KC116" i="47"/>
  <c r="KF116" i="47"/>
  <c r="HC118" i="47"/>
  <c r="HF118" i="47"/>
  <c r="DP116" i="47"/>
  <c r="DS116" i="47"/>
  <c r="EC119" i="47"/>
  <c r="EF119" i="47"/>
  <c r="JP118" i="47"/>
  <c r="JQ118" i="47"/>
  <c r="JR118" i="47"/>
  <c r="KP117" i="47"/>
  <c r="KS117" i="47"/>
  <c r="FP118" i="47"/>
  <c r="FQ118" i="47"/>
  <c r="FR118" i="47"/>
  <c r="GC118" i="47"/>
  <c r="GF118" i="47"/>
  <c r="EC118" i="47"/>
  <c r="EF118" i="47"/>
  <c r="MC118" i="47"/>
  <c r="MD118" i="47"/>
  <c r="ME118" i="47"/>
  <c r="HC117" i="47"/>
  <c r="HF117" i="47"/>
  <c r="EE53" i="28"/>
  <c r="AP118" i="47"/>
  <c r="AQ118" i="47"/>
  <c r="AR118" i="47"/>
  <c r="LP116" i="47"/>
  <c r="LQ116" i="47"/>
  <c r="LR116" i="47"/>
  <c r="BC119" i="47"/>
  <c r="BF119" i="47"/>
  <c r="HC119" i="47"/>
  <c r="HF119" i="47"/>
  <c r="DP118" i="47"/>
  <c r="DS118" i="47"/>
  <c r="HP117" i="47"/>
  <c r="HQ117" i="47"/>
  <c r="HR117" i="47"/>
  <c r="JB142" i="47"/>
  <c r="EP116" i="47"/>
  <c r="EQ116" i="47"/>
  <c r="ER116" i="47"/>
  <c r="CP117" i="47"/>
  <c r="CS117" i="47"/>
  <c r="BP117" i="47"/>
  <c r="BQ117" i="47"/>
  <c r="BR117" i="47"/>
  <c r="CP116" i="47"/>
  <c r="CS116" i="47"/>
  <c r="JC118" i="47"/>
  <c r="JD118" i="47"/>
  <c r="JE118" i="47"/>
  <c r="JP119" i="47"/>
  <c r="JQ119" i="47"/>
  <c r="JR119" i="47"/>
  <c r="MC117" i="47"/>
  <c r="MD117" i="47"/>
  <c r="ME117" i="47"/>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c r="IP118" i="47"/>
  <c r="IQ118" i="47"/>
  <c r="IR118" i="47"/>
  <c r="GC119" i="47"/>
  <c r="GF119" i="47"/>
  <c r="AP119" i="47"/>
  <c r="AQ119" i="47"/>
  <c r="AR119" i="47"/>
  <c r="MC116" i="47"/>
  <c r="MF116" i="47"/>
  <c r="JC116" i="47"/>
  <c r="JF116" i="47"/>
  <c r="FP119" i="47"/>
  <c r="FQ119" i="47"/>
  <c r="FR119" i="47"/>
  <c r="GP119" i="47"/>
  <c r="GQ119" i="47"/>
  <c r="GR119" i="47"/>
  <c r="IP117" i="47"/>
  <c r="IQ117" i="47"/>
  <c r="IR117" i="47"/>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c r="D17" i="48"/>
  <c r="R46" i="47"/>
  <c r="S46" i="47"/>
  <c r="Q46" i="47"/>
  <c r="GS46" i="47"/>
  <c r="GR46" i="47"/>
  <c r="GQ46" i="47"/>
  <c r="EE46" i="47"/>
  <c r="ED46" i="47"/>
  <c r="EF46" i="47"/>
  <c r="T23" i="33"/>
  <c r="P24" i="64"/>
  <c r="E71" i="28"/>
  <c r="E71" i="47"/>
  <c r="AC13" i="33"/>
  <c r="P22" i="66"/>
  <c r="Q5" i="72"/>
  <c r="D14" i="72"/>
  <c r="KE46" i="47"/>
  <c r="KD46" i="47"/>
  <c r="KF46" i="47"/>
  <c r="DQ46" i="47"/>
  <c r="DR46" i="47"/>
  <c r="DS46" i="47"/>
  <c r="BQ46" i="47"/>
  <c r="BR46" i="47"/>
  <c r="BS46" i="47"/>
  <c r="O38" i="33"/>
  <c r="Q27" i="72"/>
  <c r="Z33" i="72"/>
  <c r="E72" i="48"/>
  <c r="IQ46" i="47"/>
  <c r="IR46" i="47"/>
  <c r="IS46" i="47"/>
  <c r="JR46" i="47"/>
  <c r="JS46" i="47"/>
  <c r="JQ46" i="47"/>
  <c r="HE46" i="47"/>
  <c r="HF46" i="47"/>
  <c r="HD46" i="47"/>
  <c r="Z18" i="33"/>
  <c r="P23" i="69"/>
  <c r="D26" i="48"/>
  <c r="W18" i="33"/>
  <c r="P23" i="65"/>
  <c r="D22" i="48"/>
  <c r="E73" i="47"/>
  <c r="E73" i="28"/>
  <c r="N23" i="33"/>
  <c r="P24" i="72"/>
  <c r="D43" i="48"/>
  <c r="Q18" i="33"/>
  <c r="P23" i="71"/>
  <c r="D16" i="48"/>
  <c r="HS46" i="47"/>
  <c r="HR46" i="47"/>
  <c r="HQ46" i="47"/>
  <c r="CQ46" i="47"/>
  <c r="CS46" i="47"/>
  <c r="CR46" i="47"/>
  <c r="FD46" i="47"/>
  <c r="FE46" i="47"/>
  <c r="FF46" i="47"/>
  <c r="AG18" i="33"/>
  <c r="Q23" i="68"/>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c r="E22" i="48"/>
  <c r="JE46" i="47"/>
  <c r="JF46" i="47"/>
  <c r="JD46" i="47"/>
  <c r="LQ46" i="47"/>
  <c r="LS46" i="47"/>
  <c r="LR46" i="47"/>
  <c r="GF46" i="47"/>
  <c r="GE46" i="47"/>
  <c r="GD46" i="47"/>
  <c r="W28" i="33"/>
  <c r="P25" i="65"/>
  <c r="D47" i="48"/>
  <c r="C15" i="28"/>
  <c r="C15" i="47"/>
  <c r="AJ23" i="33"/>
  <c r="Q24" i="67"/>
  <c r="T24" i="67"/>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c r="EF112" i="47"/>
  <c r="E21" i="47"/>
  <c r="E21" i="28"/>
  <c r="Z29" i="63"/>
  <c r="T23" i="63"/>
  <c r="Z23" i="63"/>
  <c r="T23" i="72"/>
  <c r="Z23" i="72"/>
  <c r="E35" i="47"/>
  <c r="E35" i="28"/>
  <c r="Z29" i="72"/>
  <c r="C80" i="47"/>
  <c r="C80" i="28"/>
  <c r="T26" i="72"/>
  <c r="C38" i="47"/>
  <c r="C38" i="28"/>
  <c r="Z32" i="72"/>
  <c r="Z26" i="72"/>
  <c r="CG128" i="47"/>
  <c r="CG129" i="47"/>
  <c r="CB132" i="47"/>
  <c r="LO132" i="47"/>
  <c r="LT128" i="47"/>
  <c r="LT129" i="47"/>
  <c r="MB134" i="47"/>
  <c r="HO137" i="47"/>
  <c r="DO135" i="47"/>
  <c r="EB132" i="47"/>
  <c r="EG128" i="47"/>
  <c r="EG129" i="47"/>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c r="JO136" i="47"/>
  <c r="JO132" i="47"/>
  <c r="JT128" i="47"/>
  <c r="JT129" i="47"/>
  <c r="EQ117" i="47"/>
  <c r="ER117" i="47"/>
  <c r="ES117" i="47"/>
  <c r="E20" i="47"/>
  <c r="E20" i="28"/>
  <c r="Z28" i="63"/>
  <c r="Z22" i="63"/>
  <c r="T22" i="63"/>
  <c r="C77" i="47"/>
  <c r="C77" i="28"/>
  <c r="GB132" i="47"/>
  <c r="GG128" i="47"/>
  <c r="GG129" i="47"/>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c r="LO136" i="47"/>
  <c r="Z25" i="72"/>
  <c r="T25" i="72"/>
  <c r="C37" i="47"/>
  <c r="C37" i="28"/>
  <c r="E22" i="47"/>
  <c r="E22" i="28"/>
  <c r="E78" i="47"/>
  <c r="E78" i="28"/>
  <c r="IB138" i="47"/>
  <c r="IO139" i="47"/>
  <c r="AO134" i="47"/>
  <c r="MB132" i="47"/>
  <c r="MG128" i="47"/>
  <c r="MG129" i="47"/>
  <c r="LB132" i="47"/>
  <c r="LG128" i="47"/>
  <c r="LG129" i="47"/>
  <c r="CO132" i="47"/>
  <c r="CT128" i="47"/>
  <c r="CT129" i="47"/>
  <c r="BB132" i="47"/>
  <c r="BG128" i="47"/>
  <c r="BG129" i="47"/>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c r="AB132" i="47"/>
  <c r="CB139" i="47"/>
  <c r="AB136" i="47"/>
  <c r="BO136" i="47"/>
  <c r="DO137" i="47"/>
  <c r="FO132" i="47"/>
  <c r="FT128" i="47"/>
  <c r="FT129" i="47"/>
  <c r="O139" i="47"/>
  <c r="KO133" i="47"/>
  <c r="FO138" i="47"/>
  <c r="AB135" i="47"/>
  <c r="FB132" i="47"/>
  <c r="FG128" i="47"/>
  <c r="FG129" i="47"/>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c r="HO132" i="47"/>
  <c r="HT128" i="47"/>
  <c r="HT129" i="47"/>
  <c r="JG128" i="47"/>
  <c r="JG129" i="47"/>
  <c r="JB132" i="47"/>
  <c r="IB132" i="47"/>
  <c r="IG128" i="47"/>
  <c r="IG129" i="47"/>
  <c r="O132" i="47"/>
  <c r="T128" i="47"/>
  <c r="T129" i="47"/>
  <c r="DO132" i="47"/>
  <c r="DT128" i="47"/>
  <c r="DT129" i="47"/>
  <c r="KB138" i="47"/>
  <c r="IO137" i="47"/>
  <c r="BO132" i="47"/>
  <c r="BT128" i="47"/>
  <c r="BT129" i="47"/>
  <c r="AO132" i="47"/>
  <c r="AT128" i="47"/>
  <c r="AT129" i="47"/>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c r="EO132" i="47"/>
  <c r="ET128" i="47"/>
  <c r="ET129" i="47"/>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C14" i="28"/>
  <c r="IL14" i="28"/>
  <c r="E14" i="47"/>
  <c r="KY14" i="47"/>
  <c r="LY14" i="28"/>
  <c r="GL14" i="28"/>
  <c r="T23" i="64"/>
  <c r="FL14" i="28"/>
  <c r="Z23" i="64"/>
  <c r="D14" i="28"/>
  <c r="LK14" i="28"/>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c r="Z30" i="64"/>
  <c r="E50" i="28"/>
  <c r="D14" i="68"/>
  <c r="Q5" i="68"/>
  <c r="D35" i="48"/>
  <c r="D60" i="48"/>
  <c r="AF23" i="33"/>
  <c r="P24" i="68"/>
  <c r="AE130" i="28"/>
  <c r="AE131" i="28"/>
  <c r="IS130" i="28"/>
  <c r="IS131" i="28"/>
  <c r="LQ130" i="28"/>
  <c r="FF130" i="28"/>
  <c r="FF131" i="28"/>
  <c r="DS130" i="28"/>
  <c r="BF130" i="28"/>
  <c r="D30" i="48"/>
  <c r="AF13" i="33"/>
  <c r="P22" i="68"/>
  <c r="AG33" i="33"/>
  <c r="Q26" i="68"/>
  <c r="I8" i="68"/>
  <c r="DD130" i="28"/>
  <c r="DD131" i="28"/>
  <c r="E88" i="48"/>
  <c r="IY14" i="28"/>
  <c r="FY14" i="28"/>
  <c r="AL14" i="28"/>
  <c r="L14" i="28"/>
  <c r="JL14" i="28"/>
  <c r="KY14" i="28"/>
  <c r="CY14" i="28"/>
  <c r="AY14" i="28"/>
  <c r="LL14" i="28"/>
  <c r="BL14" i="28"/>
  <c r="GY14" i="28"/>
  <c r="DL14" i="28"/>
  <c r="DE130" i="28"/>
  <c r="DE131" i="28"/>
  <c r="AF130" i="28"/>
  <c r="AF131" i="28"/>
  <c r="IR130" i="28"/>
  <c r="IR131" i="28"/>
  <c r="AS130" i="28"/>
  <c r="FD130" i="28"/>
  <c r="JR130" i="28"/>
  <c r="KE130" i="28"/>
  <c r="BE130" i="28"/>
  <c r="BR130" i="28"/>
  <c r="HR130" i="28"/>
  <c r="R130" i="28"/>
  <c r="R131" i="28"/>
  <c r="GD130" i="28"/>
  <c r="GD131" i="28"/>
  <c r="IQ130" i="28"/>
  <c r="LS130" i="28"/>
  <c r="ED130" i="28"/>
  <c r="DQ130" i="28"/>
  <c r="HE130" i="28"/>
  <c r="HE131" i="28"/>
  <c r="BD130" i="28"/>
  <c r="BD131" i="28"/>
  <c r="HF130" i="28"/>
  <c r="HF131" i="28"/>
  <c r="HQ130" i="28"/>
  <c r="HQ131" i="28"/>
  <c r="S130" i="28"/>
  <c r="GE130" i="28"/>
  <c r="IE130" i="28"/>
  <c r="LR130" i="28"/>
  <c r="LR131" i="28"/>
  <c r="EE130" i="28"/>
  <c r="EE131" i="28"/>
  <c r="MF130" i="28"/>
  <c r="MF131" i="28"/>
  <c r="DR130" i="28"/>
  <c r="FQ130" i="28"/>
  <c r="HD130" i="28"/>
  <c r="GR130" i="28"/>
  <c r="KQ130" i="28"/>
  <c r="JF130" i="28"/>
  <c r="Q130" i="28"/>
  <c r="Q131" i="28"/>
  <c r="GF130" i="28"/>
  <c r="GF131" i="28"/>
  <c r="ID130" i="28"/>
  <c r="ID131" i="28"/>
  <c r="CE130" i="28"/>
  <c r="CE131" i="28"/>
  <c r="EF130" i="28"/>
  <c r="MD130" i="28"/>
  <c r="CR130" i="28"/>
  <c r="FR130" i="28"/>
  <c r="GS130" i="28"/>
  <c r="GS131" i="28"/>
  <c r="KS130" i="28"/>
  <c r="KS131" i="28"/>
  <c r="JE130" i="28"/>
  <c r="LE130" i="28"/>
  <c r="LE131" i="28"/>
  <c r="IF130" i="28"/>
  <c r="IF131" i="28"/>
  <c r="CF130" i="28"/>
  <c r="ER130" i="28"/>
  <c r="ME130" i="28"/>
  <c r="CS130" i="28"/>
  <c r="CS131" i="28"/>
  <c r="FS130" i="28"/>
  <c r="FS131" i="28"/>
  <c r="GQ130" i="28"/>
  <c r="GQ131" i="28"/>
  <c r="KR130" i="28"/>
  <c r="KR131" i="28"/>
  <c r="JD130" i="28"/>
  <c r="LF130" i="28"/>
  <c r="AR130" i="28"/>
  <c r="CD130" i="28"/>
  <c r="ES130" i="28"/>
  <c r="ES131" i="28"/>
  <c r="JQ130" i="28"/>
  <c r="JQ131" i="28"/>
  <c r="CQ130" i="28"/>
  <c r="CQ131" i="28"/>
  <c r="KF130" i="28"/>
  <c r="KF131" i="28"/>
  <c r="BS130" i="28"/>
  <c r="DF130" i="28"/>
  <c r="AD130" i="28"/>
  <c r="LD130" i="28"/>
  <c r="AQ130" i="28"/>
  <c r="AQ131" i="28"/>
  <c r="FE130" i="28"/>
  <c r="FE131" i="28"/>
  <c r="EQ130" i="28"/>
  <c r="EQ131" i="28"/>
  <c r="JS130" i="28"/>
  <c r="KD130" i="28"/>
  <c r="BQ130" i="28"/>
  <c r="E42" i="47"/>
  <c r="KL14" i="47"/>
  <c r="EL14" i="47"/>
  <c r="HL14" i="47"/>
  <c r="GY14" i="47"/>
  <c r="AY14" i="47"/>
  <c r="C10" i="47"/>
  <c r="Z26" i="61"/>
  <c r="Z32" i="61"/>
  <c r="C10" i="28"/>
  <c r="C22" i="28"/>
  <c r="KJ22" i="28"/>
  <c r="C41" i="28"/>
  <c r="EW41" i="28"/>
  <c r="C22" i="47"/>
  <c r="HW22" i="47"/>
  <c r="T24" i="63"/>
  <c r="U24" i="63"/>
  <c r="Z24" i="63"/>
  <c r="LX16" i="28"/>
  <c r="DV52" i="47"/>
  <c r="KX16" i="28"/>
  <c r="Z28" i="72"/>
  <c r="E34" i="47"/>
  <c r="CY34" i="47"/>
  <c r="AD118" i="47"/>
  <c r="AE118" i="47"/>
  <c r="P5" i="65"/>
  <c r="IS118" i="47"/>
  <c r="T26" i="63"/>
  <c r="AA32" i="63"/>
  <c r="C18" i="33"/>
  <c r="Q23" i="61"/>
  <c r="E7" i="47"/>
  <c r="AL7" i="47"/>
  <c r="CY14" i="47"/>
  <c r="EY14" i="47"/>
  <c r="Y14" i="47"/>
  <c r="DL14" i="47"/>
  <c r="FY14" i="47"/>
  <c r="L14" i="47"/>
  <c r="T22" i="64"/>
  <c r="AA28" i="64"/>
  <c r="HY14" i="47"/>
  <c r="JL14" i="47"/>
  <c r="D14" i="47"/>
  <c r="IX14" i="47"/>
  <c r="D70" i="48"/>
  <c r="Z25" i="70"/>
  <c r="Z22" i="64"/>
  <c r="Z28" i="64"/>
  <c r="T25" i="70"/>
  <c r="V25" i="70"/>
  <c r="Z31" i="70"/>
  <c r="C30" i="28"/>
  <c r="LW30" i="28"/>
  <c r="E48" i="28"/>
  <c r="IL48" i="28"/>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c r="IK16" i="47"/>
  <c r="C29" i="47"/>
  <c r="JW29" i="47"/>
  <c r="O6" i="70"/>
  <c r="N6" i="70"/>
  <c r="O5" i="70"/>
  <c r="GX16" i="47"/>
  <c r="DS119" i="47"/>
  <c r="KK16" i="47"/>
  <c r="EX16" i="47"/>
  <c r="HX16" i="47"/>
  <c r="CK16" i="47"/>
  <c r="BX16" i="47"/>
  <c r="Z33" i="71"/>
  <c r="C16" i="47"/>
  <c r="EW16" i="47"/>
  <c r="T25" i="62"/>
  <c r="V25" i="62"/>
  <c r="Z25" i="62"/>
  <c r="C46" i="47"/>
  <c r="BJ46" i="47"/>
  <c r="BV70" i="47"/>
  <c r="Z31" i="62"/>
  <c r="C46" i="28"/>
  <c r="J46" i="28"/>
  <c r="FD117" i="47"/>
  <c r="FE117" i="47"/>
  <c r="MD116" i="47"/>
  <c r="ME116" i="47"/>
  <c r="T27" i="65"/>
  <c r="U27" i="65"/>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c r="JD117" i="47"/>
  <c r="JE117" i="47"/>
  <c r="ED119" i="47"/>
  <c r="EE119" i="47"/>
  <c r="HX69" i="28"/>
  <c r="IX69" i="28"/>
  <c r="AX16" i="47"/>
  <c r="BK16" i="47"/>
  <c r="JX16" i="47"/>
  <c r="EK16" i="47"/>
  <c r="BD118" i="47"/>
  <c r="BE118" i="47"/>
  <c r="DX16" i="47"/>
  <c r="AK16" i="47"/>
  <c r="X16" i="47"/>
  <c r="DK16" i="47"/>
  <c r="AQ117" i="47"/>
  <c r="AR117" i="47"/>
  <c r="T22" i="71"/>
  <c r="V22" i="71"/>
  <c r="FK16" i="47"/>
  <c r="C41" i="47"/>
  <c r="BW41" i="47"/>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c r="CD117" i="47"/>
  <c r="CE117" i="47"/>
  <c r="EI52" i="47"/>
  <c r="DI52" i="47"/>
  <c r="AV52" i="47"/>
  <c r="AI52" i="47"/>
  <c r="T27" i="72"/>
  <c r="AA33" i="72"/>
  <c r="FS118" i="47"/>
  <c r="ID116" i="47"/>
  <c r="IE116" i="47"/>
  <c r="LD117" i="47"/>
  <c r="LE117" i="47"/>
  <c r="II52" i="47"/>
  <c r="KV52" i="47"/>
  <c r="LI52" i="47"/>
  <c r="HI52" i="47"/>
  <c r="KI52" i="47"/>
  <c r="JV52" i="47"/>
  <c r="GI52" i="47"/>
  <c r="I52" i="47"/>
  <c r="HV52" i="47"/>
  <c r="JI52" i="47"/>
  <c r="Z27" i="72"/>
  <c r="H7" i="63"/>
  <c r="C23" i="47"/>
  <c r="EJ23" i="47"/>
  <c r="V52" i="47"/>
  <c r="CV52" i="47"/>
  <c r="GV52" i="47"/>
  <c r="M8" i="63"/>
  <c r="IV52" i="47"/>
  <c r="FV52" i="47"/>
  <c r="BV52" i="47"/>
  <c r="FI52" i="47"/>
  <c r="CI52" i="47"/>
  <c r="H5" i="70"/>
  <c r="M5" i="70"/>
  <c r="O7" i="70"/>
  <c r="T24" i="70"/>
  <c r="V24" i="70"/>
  <c r="E45" i="28"/>
  <c r="LY45" i="28"/>
  <c r="Z33" i="65"/>
  <c r="N8" i="70"/>
  <c r="H7" i="70"/>
  <c r="Z24" i="70"/>
  <c r="E45" i="47"/>
  <c r="JL45" i="47"/>
  <c r="Z27" i="65"/>
  <c r="N7" i="70"/>
  <c r="O8" i="70"/>
  <c r="H6" i="70"/>
  <c r="C60" i="28"/>
  <c r="LW60" i="28"/>
  <c r="I5" i="70"/>
  <c r="I7" i="70"/>
  <c r="M7" i="70"/>
  <c r="AQ116" i="47"/>
  <c r="AR116" i="47"/>
  <c r="N5" i="70"/>
  <c r="I6" i="70"/>
  <c r="M6" i="70"/>
  <c r="I8" i="70"/>
  <c r="Z30" i="70"/>
  <c r="T26" i="71"/>
  <c r="AA32" i="71"/>
  <c r="M8" i="70"/>
  <c r="H8" i="70"/>
  <c r="M5" i="71"/>
  <c r="GD117" i="47"/>
  <c r="GE117" i="47"/>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c r="S116" i="47"/>
  <c r="Z32" i="63"/>
  <c r="C24" i="47"/>
  <c r="KJ24" i="47"/>
  <c r="Z30" i="67"/>
  <c r="LX41" i="28"/>
  <c r="HX41" i="28"/>
  <c r="BK41" i="28"/>
  <c r="DX41" i="28"/>
  <c r="GX41" i="28"/>
  <c r="I5" i="67"/>
  <c r="BX41" i="28"/>
  <c r="AK41" i="47"/>
  <c r="O6" i="67"/>
  <c r="Z33" i="67"/>
  <c r="K41" i="28"/>
  <c r="ID119" i="47"/>
  <c r="IE119" i="47"/>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c r="O5" i="63"/>
  <c r="N7" i="63"/>
  <c r="H8" i="63"/>
  <c r="O8" i="63"/>
  <c r="O7" i="63"/>
  <c r="N6" i="63"/>
  <c r="I8" i="63"/>
  <c r="T25" i="63"/>
  <c r="U25" i="63"/>
  <c r="I5" i="63"/>
  <c r="M7" i="63"/>
  <c r="N8" i="63"/>
  <c r="Z25" i="63"/>
  <c r="M6" i="63"/>
  <c r="Z31" i="63"/>
  <c r="H5" i="63"/>
  <c r="O6" i="63"/>
  <c r="M5" i="63"/>
  <c r="N5" i="63"/>
  <c r="CD119" i="47"/>
  <c r="CE119" i="47"/>
  <c r="Z33" i="61"/>
  <c r="LQ119" i="47"/>
  <c r="LR119" i="47"/>
  <c r="T27" i="61"/>
  <c r="U27" i="61"/>
  <c r="E11" i="28"/>
  <c r="LL11" i="28"/>
  <c r="Z27" i="61"/>
  <c r="T25" i="66"/>
  <c r="AA25" i="66"/>
  <c r="Z31" i="66"/>
  <c r="C72" i="28"/>
  <c r="B72" i="28"/>
  <c r="BF117" i="47"/>
  <c r="C72" i="47"/>
  <c r="LJ72" i="47"/>
  <c r="I6" i="66"/>
  <c r="HD117" i="47"/>
  <c r="HE117" i="47"/>
  <c r="HD116" i="47"/>
  <c r="HE116" i="47"/>
  <c r="IS117" i="47"/>
  <c r="Z22" i="72"/>
  <c r="DD119" i="47"/>
  <c r="DE119" i="47"/>
  <c r="T22" i="72"/>
  <c r="AA28" i="72"/>
  <c r="DQ116" i="47"/>
  <c r="DR116" i="47"/>
  <c r="BQ116" i="47"/>
  <c r="BR116" i="47"/>
  <c r="JQ117" i="47"/>
  <c r="JR117" i="47"/>
  <c r="HQ116" i="47"/>
  <c r="HR116" i="47"/>
  <c r="BQ118" i="47"/>
  <c r="BR118" i="47"/>
  <c r="N8" i="72"/>
  <c r="FQ116" i="47"/>
  <c r="FR116" i="47"/>
  <c r="KD117" i="47"/>
  <c r="KE117" i="47"/>
  <c r="GQ116" i="47"/>
  <c r="GR116" i="47"/>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c r="P8" i="68"/>
  <c r="P6" i="67"/>
  <c r="P7" i="69"/>
  <c r="P7" i="71"/>
  <c r="P7" i="61"/>
  <c r="CD118" i="47"/>
  <c r="CE118" i="47"/>
  <c r="P8" i="69"/>
  <c r="P5" i="61"/>
  <c r="P8" i="64"/>
  <c r="P5" i="71"/>
  <c r="P7" i="63"/>
  <c r="P6" i="71"/>
  <c r="P6" i="72"/>
  <c r="P6" i="61"/>
  <c r="P6" i="69"/>
  <c r="P8" i="71"/>
  <c r="P7" i="64"/>
  <c r="P6" i="68"/>
  <c r="P5" i="70"/>
  <c r="P5" i="69"/>
  <c r="M5" i="66"/>
  <c r="H6" i="67"/>
  <c r="M7" i="67"/>
  <c r="M5" i="67"/>
  <c r="E88" i="28"/>
  <c r="LY88" i="28"/>
  <c r="T23" i="68"/>
  <c r="AA23" i="68"/>
  <c r="I7" i="67"/>
  <c r="O7" i="67"/>
  <c r="N6" i="67"/>
  <c r="I6" i="67"/>
  <c r="N8" i="67"/>
  <c r="H8" i="67"/>
  <c r="M6" i="67"/>
  <c r="Q119" i="47"/>
  <c r="R119" i="47"/>
  <c r="I8" i="67"/>
  <c r="O8" i="67"/>
  <c r="Z27" i="67"/>
  <c r="H7" i="67"/>
  <c r="N7" i="67"/>
  <c r="T27" i="67"/>
  <c r="AA27" i="67"/>
  <c r="H5" i="67"/>
  <c r="M8" i="67"/>
  <c r="N5" i="67"/>
  <c r="F13" i="33"/>
  <c r="Q22" i="62"/>
  <c r="E8" i="48"/>
  <c r="E38" i="33"/>
  <c r="P27" i="62"/>
  <c r="D68" i="48"/>
  <c r="F23" i="33"/>
  <c r="Q24" i="62"/>
  <c r="E37" i="48"/>
  <c r="Q6" i="62"/>
  <c r="D15" i="62"/>
  <c r="O5" i="66"/>
  <c r="HQ119" i="47"/>
  <c r="HR119" i="47"/>
  <c r="O7" i="69"/>
  <c r="T23" i="71"/>
  <c r="AA29" i="71"/>
  <c r="N5" i="65"/>
  <c r="H7" i="72"/>
  <c r="M7" i="69"/>
  <c r="I5" i="71"/>
  <c r="Q117" i="47"/>
  <c r="R117" i="47"/>
  <c r="FQ117" i="47"/>
  <c r="FR117" i="47"/>
  <c r="O7" i="72"/>
  <c r="N6" i="72"/>
  <c r="N5" i="72"/>
  <c r="N7" i="72"/>
  <c r="Z30" i="72"/>
  <c r="T25" i="65"/>
  <c r="U25" i="65"/>
  <c r="I5" i="72"/>
  <c r="I8" i="72"/>
  <c r="JF119" i="47"/>
  <c r="M8" i="72"/>
  <c r="M7" i="72"/>
  <c r="N6" i="65"/>
  <c r="Z25" i="65"/>
  <c r="O5" i="65"/>
  <c r="HD119" i="47"/>
  <c r="HE119" i="47"/>
  <c r="I7" i="72"/>
  <c r="M6" i="72"/>
  <c r="KD119" i="47"/>
  <c r="KE119" i="47"/>
  <c r="JD116" i="47"/>
  <c r="JE116" i="47"/>
  <c r="JF118" i="47"/>
  <c r="IS119" i="47"/>
  <c r="Z31" i="65"/>
  <c r="M6" i="65"/>
  <c r="O8" i="72"/>
  <c r="CF116" i="47"/>
  <c r="O6" i="72"/>
  <c r="M5" i="72"/>
  <c r="T24" i="72"/>
  <c r="AA24" i="72"/>
  <c r="O7" i="65"/>
  <c r="H8" i="72"/>
  <c r="GD118" i="47"/>
  <c r="GE118" i="47"/>
  <c r="H6" i="72"/>
  <c r="I6" i="72"/>
  <c r="N8" i="64"/>
  <c r="I8" i="64"/>
  <c r="BS117" i="47"/>
  <c r="H5" i="66"/>
  <c r="M8" i="66"/>
  <c r="I7" i="69"/>
  <c r="I6" i="71"/>
  <c r="O5" i="71"/>
  <c r="N8" i="66"/>
  <c r="HD118" i="47"/>
  <c r="HE118" i="47"/>
  <c r="LF116" i="47"/>
  <c r="H6" i="66"/>
  <c r="M7" i="66"/>
  <c r="GS119" i="47"/>
  <c r="MF118" i="47"/>
  <c r="I8" i="69"/>
  <c r="H6" i="69"/>
  <c r="H7" i="71"/>
  <c r="N5" i="71"/>
  <c r="I5" i="69"/>
  <c r="N5" i="69"/>
  <c r="N7" i="66"/>
  <c r="O7" i="66"/>
  <c r="M6" i="66"/>
  <c r="T23" i="69"/>
  <c r="AA29" i="69"/>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c r="H8" i="66"/>
  <c r="I7" i="66"/>
  <c r="I8" i="71"/>
  <c r="N6" i="71"/>
  <c r="M7" i="71"/>
  <c r="Z29" i="71"/>
  <c r="O8" i="66"/>
  <c r="I8" i="66"/>
  <c r="O6" i="69"/>
  <c r="M6" i="69"/>
  <c r="I7" i="71"/>
  <c r="N7" i="71"/>
  <c r="M6" i="71"/>
  <c r="M8" i="69"/>
  <c r="H5" i="68"/>
  <c r="N7" i="65"/>
  <c r="H8" i="65"/>
  <c r="ES119" i="47"/>
  <c r="FD118" i="47"/>
  <c r="FE118" i="47"/>
  <c r="DS117" i="47"/>
  <c r="Z23" i="68"/>
  <c r="CQ117" i="47"/>
  <c r="CR117" i="47"/>
  <c r="O8" i="65"/>
  <c r="H6" i="65"/>
  <c r="T26" i="62"/>
  <c r="AA26" i="62"/>
  <c r="H7" i="65"/>
  <c r="I7" i="65"/>
  <c r="Z32" i="62"/>
  <c r="H5" i="65"/>
  <c r="Q118" i="47"/>
  <c r="R118" i="47"/>
  <c r="N8" i="65"/>
  <c r="I6" i="65"/>
  <c r="Z26" i="62"/>
  <c r="M5" i="65"/>
  <c r="AS118" i="47"/>
  <c r="I8" i="65"/>
  <c r="M8" i="65"/>
  <c r="JS118" i="47"/>
  <c r="KQ118" i="47"/>
  <c r="KR118" i="47"/>
  <c r="KD118" i="47"/>
  <c r="KE118" i="47"/>
  <c r="Z29" i="68"/>
  <c r="GD119" i="47"/>
  <c r="GE119" i="47"/>
  <c r="O6" i="65"/>
  <c r="M7" i="65"/>
  <c r="I5" i="65"/>
  <c r="JQ116" i="47"/>
  <c r="JR116" i="47"/>
  <c r="N6" i="64"/>
  <c r="H7" i="64"/>
  <c r="M7" i="64"/>
  <c r="KS116" i="47"/>
  <c r="KQ117" i="47"/>
  <c r="KR117" i="47"/>
  <c r="M5" i="64"/>
  <c r="FF119" i="47"/>
  <c r="I6" i="64"/>
  <c r="O6" i="64"/>
  <c r="H5" i="64"/>
  <c r="AS119" i="47"/>
  <c r="FD116" i="47"/>
  <c r="FE116" i="47"/>
  <c r="LS116" i="47"/>
  <c r="DD118" i="47"/>
  <c r="DE118" i="47"/>
  <c r="O7" i="64"/>
  <c r="O8" i="64"/>
  <c r="I5" i="64"/>
  <c r="ED116" i="47"/>
  <c r="EE116" i="47"/>
  <c r="N7" i="64"/>
  <c r="H8" i="64"/>
  <c r="T24" i="64"/>
  <c r="AA30" i="64"/>
  <c r="O5" i="64"/>
  <c r="LS117" i="47"/>
  <c r="KQ119" i="47"/>
  <c r="KR119" i="47"/>
  <c r="I7" i="64"/>
  <c r="M6" i="64"/>
  <c r="Z24" i="64"/>
  <c r="N5" i="64"/>
  <c r="H6" i="64"/>
  <c r="M8" i="64"/>
  <c r="GF116" i="47"/>
  <c r="CQ118" i="47"/>
  <c r="CR118" i="47"/>
  <c r="KD116" i="47"/>
  <c r="KE116" i="47"/>
  <c r="BF116" i="47"/>
  <c r="FS119" i="47"/>
  <c r="MF119" i="47"/>
  <c r="JS119" i="47"/>
  <c r="ED118" i="47"/>
  <c r="EE118" i="47"/>
  <c r="GQ118" i="47"/>
  <c r="GR118" i="47"/>
  <c r="DQ118" i="47"/>
  <c r="DR118" i="47"/>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c r="FF114" i="47"/>
  <c r="AA23" i="66"/>
  <c r="V23" i="66"/>
  <c r="U23" i="66"/>
  <c r="AA29" i="66"/>
  <c r="AS109" i="47"/>
  <c r="AQ109" i="47"/>
  <c r="AR109" i="47"/>
  <c r="MF107" i="47"/>
  <c r="MD107" i="47"/>
  <c r="MC128" i="47"/>
  <c r="MC129" i="47"/>
  <c r="KF114" i="47"/>
  <c r="KD114" i="47"/>
  <c r="KE114" i="47"/>
  <c r="KD109" i="47"/>
  <c r="KE109" i="47"/>
  <c r="KF109" i="47"/>
  <c r="LD112" i="47"/>
  <c r="LE112" i="47"/>
  <c r="LF112" i="47"/>
  <c r="FD111" i="47"/>
  <c r="FE111" i="47"/>
  <c r="FF111" i="47"/>
  <c r="JQ111" i="47"/>
  <c r="JR111" i="47"/>
  <c r="JS111" i="47"/>
  <c r="DD107" i="47"/>
  <c r="DF107" i="47"/>
  <c r="DC128" i="47"/>
  <c r="DC129" i="47"/>
  <c r="AF113" i="47"/>
  <c r="AD113" i="47"/>
  <c r="AE113" i="47"/>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c r="AF114" i="47"/>
  <c r="IS111" i="47"/>
  <c r="IQ111" i="47"/>
  <c r="IR111" i="47"/>
  <c r="LQ112" i="47"/>
  <c r="LR112" i="47"/>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c r="JF114" i="47"/>
  <c r="JD114" i="47"/>
  <c r="JE114" i="47"/>
  <c r="BS113" i="47"/>
  <c r="BQ113" i="47"/>
  <c r="BR113" i="47"/>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c r="KQ108" i="47"/>
  <c r="KR108" i="47"/>
  <c r="KS108" i="47"/>
  <c r="DF113" i="47"/>
  <c r="DD113" i="47"/>
  <c r="DE113" i="47"/>
  <c r="MD121" i="47"/>
  <c r="ME121" i="47"/>
  <c r="MF121" i="47"/>
  <c r="S122" i="47"/>
  <c r="Q122" i="47"/>
  <c r="R122" i="47"/>
  <c r="S121" i="47"/>
  <c r="Q121" i="47"/>
  <c r="R121" i="47"/>
  <c r="CD122" i="47"/>
  <c r="CE122" i="47"/>
  <c r="CF122" i="47"/>
  <c r="ID121" i="47"/>
  <c r="IE121" i="47"/>
  <c r="IF121" i="47"/>
  <c r="BF122" i="47"/>
  <c r="BD122" i="47"/>
  <c r="BE122" i="47"/>
  <c r="GD110" i="47"/>
  <c r="GE110" i="47"/>
  <c r="GF110" i="47"/>
  <c r="ED108" i="47"/>
  <c r="EE108" i="47"/>
  <c r="EF108" i="47"/>
  <c r="LS107" i="47"/>
  <c r="LQ107" i="47"/>
  <c r="LP128" i="47"/>
  <c r="LP129" i="47"/>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c r="DD114" i="47"/>
  <c r="DE114" i="47"/>
  <c r="DF114" i="47"/>
  <c r="FS109" i="47"/>
  <c r="FQ109" i="47"/>
  <c r="FR109" i="47"/>
  <c r="V26" i="72"/>
  <c r="U26" i="72"/>
  <c r="AA32" i="72"/>
  <c r="AA26" i="72"/>
  <c r="BS107" i="47"/>
  <c r="BQ107" i="47"/>
  <c r="BP128" i="47"/>
  <c r="BP129" i="47"/>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c r="DS113" i="47"/>
  <c r="IS112" i="47"/>
  <c r="IQ112" i="47"/>
  <c r="IR112" i="47"/>
  <c r="MF114" i="47"/>
  <c r="MD114" i="47"/>
  <c r="ME114" i="47"/>
  <c r="KS110" i="47"/>
  <c r="KQ110" i="47"/>
  <c r="KR110" i="47"/>
  <c r="JS110" i="47"/>
  <c r="JQ110" i="47"/>
  <c r="JR110" i="47"/>
  <c r="CS112" i="47"/>
  <c r="CQ112" i="47"/>
  <c r="CR112" i="47"/>
  <c r="GF108" i="47"/>
  <c r="GD108" i="47"/>
  <c r="GE108" i="47"/>
  <c r="GQ113" i="47"/>
  <c r="GR113" i="47"/>
  <c r="GS113" i="47"/>
  <c r="BS109" i="47"/>
  <c r="BQ109" i="47"/>
  <c r="BR109" i="47"/>
  <c r="IF110" i="47"/>
  <c r="ID110" i="47"/>
  <c r="IE110" i="47"/>
  <c r="S113" i="47"/>
  <c r="Q113" i="47"/>
  <c r="R113" i="47"/>
  <c r="KS113" i="47"/>
  <c r="KQ113" i="47"/>
  <c r="KR113" i="47"/>
  <c r="MD111" i="47"/>
  <c r="ME111" i="47"/>
  <c r="MF111" i="47"/>
  <c r="FS113" i="47"/>
  <c r="FQ113" i="47"/>
  <c r="FR113" i="47"/>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c r="IQ109" i="47"/>
  <c r="IR109" i="47"/>
  <c r="IS109" i="47"/>
  <c r="CF110" i="47"/>
  <c r="CD110" i="47"/>
  <c r="CE110"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c r="ES107" i="47"/>
  <c r="EQ107" i="47"/>
  <c r="EP128" i="47"/>
  <c r="EP129" i="47"/>
  <c r="CQ108" i="47"/>
  <c r="CR108" i="47"/>
  <c r="CS108" i="47"/>
  <c r="S109" i="47"/>
  <c r="Q109" i="47"/>
  <c r="R109" i="47"/>
  <c r="ES112" i="47"/>
  <c r="EQ112" i="47"/>
  <c r="ER112" i="47"/>
  <c r="JS112" i="47"/>
  <c r="JQ112" i="47"/>
  <c r="JR112" i="47"/>
  <c r="BD113" i="47"/>
  <c r="BE113" i="47"/>
  <c r="BF113" i="47"/>
  <c r="JF121" i="47"/>
  <c r="JD121" i="47"/>
  <c r="JE121" i="47"/>
  <c r="KQ122" i="47"/>
  <c r="KR122" i="47"/>
  <c r="KS122" i="47"/>
  <c r="JQ121" i="47"/>
  <c r="JR121" i="47"/>
  <c r="JS121" i="47"/>
  <c r="FQ122" i="47"/>
  <c r="FR122" i="47"/>
  <c r="FS122" i="47"/>
  <c r="BD121" i="47"/>
  <c r="BE121" i="47"/>
  <c r="BF121" i="47"/>
  <c r="FQ121" i="47"/>
  <c r="FR121" i="47"/>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c r="AS114" i="47"/>
  <c r="CF108" i="47"/>
  <c r="CD108" i="47"/>
  <c r="CE108" i="47"/>
  <c r="AF112" i="47"/>
  <c r="AD112" i="47"/>
  <c r="AE112" i="47"/>
  <c r="Q111" i="47"/>
  <c r="R111" i="47"/>
  <c r="S111" i="47"/>
  <c r="HD107" i="47"/>
  <c r="HF107" i="47"/>
  <c r="HC128" i="47"/>
  <c r="HC129" i="47"/>
  <c r="BQ110" i="47"/>
  <c r="BR110" i="47"/>
  <c r="BS110" i="47"/>
  <c r="JQ114" i="47"/>
  <c r="JR114" i="47"/>
  <c r="JS114" i="47"/>
  <c r="V23" i="72"/>
  <c r="AA23" i="72"/>
  <c r="U23" i="72"/>
  <c r="AA29" i="72"/>
  <c r="CQ109" i="47"/>
  <c r="CR109" i="47"/>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c r="GQ109" i="47"/>
  <c r="GR109" i="47"/>
  <c r="GS109" i="47"/>
  <c r="LD113" i="47"/>
  <c r="LE113" i="47"/>
  <c r="LF113" i="47"/>
  <c r="IS110" i="47"/>
  <c r="IQ110" i="47"/>
  <c r="IR110" i="47"/>
  <c r="AQ110" i="47"/>
  <c r="AR110" i="47"/>
  <c r="AS110" i="47"/>
  <c r="AQ113" i="47"/>
  <c r="AR113" i="47"/>
  <c r="AS113" i="47"/>
  <c r="AQ108" i="47"/>
  <c r="AR108" i="47"/>
  <c r="AS108" i="47"/>
  <c r="KS109" i="47"/>
  <c r="KQ109" i="47"/>
  <c r="KR109" i="47"/>
  <c r="FD108" i="47"/>
  <c r="FE108" i="47"/>
  <c r="FF108" i="47"/>
  <c r="Q108" i="47"/>
  <c r="R108" i="47"/>
  <c r="S108" i="47"/>
  <c r="BS114" i="47"/>
  <c r="BQ114" i="47"/>
  <c r="BR114" i="47"/>
  <c r="GQ110" i="47"/>
  <c r="GR110" i="47"/>
  <c r="GS110" i="47"/>
  <c r="DS111" i="47"/>
  <c r="DQ111" i="47"/>
  <c r="DR111" i="47"/>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c r="EF111" i="47"/>
  <c r="ED111" i="47"/>
  <c r="EE111" i="47"/>
  <c r="EF109" i="47"/>
  <c r="ED109" i="47"/>
  <c r="EE109" i="47"/>
  <c r="EF121" i="47"/>
  <c r="ED121" i="47"/>
  <c r="EE121" i="47"/>
  <c r="DF122" i="47"/>
  <c r="DD122" i="47"/>
  <c r="DE122" i="47"/>
  <c r="LQ122" i="47"/>
  <c r="LR122" i="47"/>
  <c r="LS122" i="47"/>
  <c r="KF122" i="47"/>
  <c r="KD122" i="47"/>
  <c r="KE122" i="47"/>
  <c r="DF121" i="47"/>
  <c r="DD121" i="47"/>
  <c r="DE121" i="47"/>
  <c r="AF122" i="47"/>
  <c r="AD122" i="47"/>
  <c r="AE122" i="47"/>
  <c r="ES121" i="47"/>
  <c r="EQ121" i="47"/>
  <c r="ER121" i="47"/>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c r="S107" i="47"/>
  <c r="Q107" i="47"/>
  <c r="P128" i="47"/>
  <c r="P129" i="47"/>
  <c r="HS108" i="47"/>
  <c r="HQ108" i="47"/>
  <c r="HR108" i="47"/>
  <c r="LQ113" i="47"/>
  <c r="LR113" i="47"/>
  <c r="LS113" i="47"/>
  <c r="DS109" i="47"/>
  <c r="DQ109" i="47"/>
  <c r="DR109" i="47"/>
  <c r="MD110" i="47"/>
  <c r="ME110" i="47"/>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c r="DF112" i="47"/>
  <c r="FF109" i="47"/>
  <c r="FD109" i="47"/>
  <c r="FE109" i="47"/>
  <c r="KS111" i="47"/>
  <c r="KQ111" i="47"/>
  <c r="KR111" i="47"/>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c r="BF112" i="47"/>
  <c r="MF112" i="47"/>
  <c r="MD112" i="47"/>
  <c r="ME112" i="47"/>
  <c r="HS109" i="47"/>
  <c r="HQ109" i="47"/>
  <c r="HR109" i="47"/>
  <c r="IS108" i="47"/>
  <c r="IQ108" i="47"/>
  <c r="IR108" i="47"/>
  <c r="BF108" i="47"/>
  <c r="BD108" i="47"/>
  <c r="BE108" i="47"/>
  <c r="BF111" i="47"/>
  <c r="BD111" i="47"/>
  <c r="BE111" i="47"/>
  <c r="AA25" i="68"/>
  <c r="V25" i="68"/>
  <c r="U25" i="68"/>
  <c r="AA31" i="68"/>
  <c r="IF109" i="47"/>
  <c r="ID109" i="47"/>
  <c r="IE109" i="47"/>
  <c r="IS114" i="47"/>
  <c r="IQ114" i="47"/>
  <c r="IR114" i="47"/>
  <c r="FS107" i="47"/>
  <c r="FQ107" i="47"/>
  <c r="FP128" i="47"/>
  <c r="FP129" i="47"/>
  <c r="CF112" i="47"/>
  <c r="CD112" i="47"/>
  <c r="CE112" i="47"/>
  <c r="HF109" i="47"/>
  <c r="HD109" i="47"/>
  <c r="HE109" i="47"/>
  <c r="FS112" i="47"/>
  <c r="FQ112" i="47"/>
  <c r="FR112" i="47"/>
  <c r="AS112" i="47"/>
  <c r="AQ112" i="47"/>
  <c r="AR112" i="47"/>
  <c r="JS107" i="47"/>
  <c r="JQ107" i="47"/>
  <c r="JP128" i="47"/>
  <c r="JP129" i="47"/>
  <c r="BS108" i="47"/>
  <c r="BQ108" i="47"/>
  <c r="BR108" i="47"/>
  <c r="DQ107" i="47"/>
  <c r="DS107" i="47"/>
  <c r="DP128" i="47"/>
  <c r="DP129" i="47"/>
  <c r="GD122" i="47"/>
  <c r="GE122" i="47"/>
  <c r="GF122" i="47"/>
  <c r="ID122" i="47"/>
  <c r="IE122" i="47"/>
  <c r="IF122" i="47"/>
  <c r="LQ121" i="47"/>
  <c r="LR121" i="47"/>
  <c r="LS121" i="47"/>
  <c r="IS122" i="47"/>
  <c r="IQ122" i="47"/>
  <c r="IR122" i="47"/>
  <c r="AD121" i="47"/>
  <c r="AE121" i="47"/>
  <c r="AF121" i="47"/>
  <c r="HF121" i="47"/>
  <c r="HD121" i="47"/>
  <c r="HE121" i="47"/>
  <c r="GS121" i="47"/>
  <c r="GQ121" i="47"/>
  <c r="GR121" i="47"/>
  <c r="GF107" i="47"/>
  <c r="GD107" i="47"/>
  <c r="GC128" i="47"/>
  <c r="GC129" i="47"/>
  <c r="HS110" i="47"/>
  <c r="HQ110" i="47"/>
  <c r="HR110" i="47"/>
  <c r="JF108" i="47"/>
  <c r="JD108" i="47"/>
  <c r="JE108" i="47"/>
  <c r="FF112" i="47"/>
  <c r="FD112" i="47"/>
  <c r="FE112" i="47"/>
  <c r="HF111" i="47"/>
  <c r="HD111" i="47"/>
  <c r="HE111" i="47"/>
  <c r="ED114" i="47"/>
  <c r="EE114" i="47"/>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c r="HF108" i="47"/>
  <c r="HF112" i="47"/>
  <c r="HD112" i="47"/>
  <c r="HE112" i="47"/>
  <c r="CQ107" i="47"/>
  <c r="CS107" i="47"/>
  <c r="CP128" i="47"/>
  <c r="CP129" i="47"/>
  <c r="ID114" i="47"/>
  <c r="IE114" i="47"/>
  <c r="IF114" i="47"/>
  <c r="LQ111" i="47"/>
  <c r="LR111" i="47"/>
  <c r="LS111" i="47"/>
  <c r="IF107" i="47"/>
  <c r="ID107" i="47"/>
  <c r="IC128" i="47"/>
  <c r="IC129" i="47"/>
  <c r="CD111" i="47"/>
  <c r="CE111" i="47"/>
  <c r="CF111" i="47"/>
  <c r="KF108" i="47"/>
  <c r="KD108" i="47"/>
  <c r="KE108" i="47"/>
  <c r="GQ111" i="47"/>
  <c r="GR111" i="47"/>
  <c r="GS111" i="47"/>
  <c r="LQ114" i="47"/>
  <c r="LR114" i="47"/>
  <c r="LS114" i="47"/>
  <c r="JD107" i="47"/>
  <c r="JF107" i="47"/>
  <c r="JC128" i="47"/>
  <c r="JC129" i="47"/>
  <c r="AF109" i="47"/>
  <c r="AD109" i="47"/>
  <c r="AE109" i="47"/>
  <c r="HF114" i="47"/>
  <c r="HD114" i="47"/>
  <c r="HE114"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c r="DS114" i="47"/>
  <c r="AF110" i="47"/>
  <c r="AD110" i="47"/>
  <c r="AE110" i="47"/>
  <c r="GD113" i="47"/>
  <c r="GE113" i="47"/>
  <c r="GF113" i="47"/>
  <c r="CD121" i="47"/>
  <c r="CE121" i="47"/>
  <c r="CF121" i="47"/>
  <c r="JQ122" i="47"/>
  <c r="JR122" i="47"/>
  <c r="JS122" i="47"/>
  <c r="FD121" i="47"/>
  <c r="FE121" i="47"/>
  <c r="FF121" i="47"/>
  <c r="JD122" i="47"/>
  <c r="JE122" i="47"/>
  <c r="JF122" i="47"/>
  <c r="AS122" i="47"/>
  <c r="AQ122" i="47"/>
  <c r="AR122" i="47"/>
  <c r="LD122" i="47"/>
  <c r="LE122" i="47"/>
  <c r="LF122" i="47"/>
  <c r="IS121" i="47"/>
  <c r="IQ121" i="47"/>
  <c r="IR121" i="47"/>
  <c r="KF112" i="47"/>
  <c r="KD112" i="47"/>
  <c r="KE112" i="47"/>
  <c r="GQ114" i="47"/>
  <c r="GR114" i="47"/>
  <c r="GS114" i="47"/>
  <c r="JS108" i="47"/>
  <c r="JQ108" i="47"/>
  <c r="JR108" i="47"/>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c r="GF114" i="47"/>
  <c r="HQ114" i="47"/>
  <c r="HR114" i="47"/>
  <c r="HS114" i="47"/>
  <c r="BD107" i="47"/>
  <c r="BF107" i="47"/>
  <c r="BC128" i="47"/>
  <c r="BC129" i="47"/>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c r="DQ108" i="47"/>
  <c r="DR108" i="47"/>
  <c r="DS108" i="47"/>
  <c r="ES110" i="47"/>
  <c r="EQ110" i="47"/>
  <c r="ER110" i="47"/>
  <c r="LQ110" i="47"/>
  <c r="LR110" i="47"/>
  <c r="LS110" i="47"/>
  <c r="FD107" i="47"/>
  <c r="FF107" i="47"/>
  <c r="FC128" i="47"/>
  <c r="FC129" i="47"/>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c r="JF110" i="47"/>
  <c r="JD110" i="47"/>
  <c r="JE110" i="47"/>
  <c r="BQ111" i="47"/>
  <c r="BR111" i="47"/>
  <c r="BS111" i="47"/>
  <c r="KD111" i="47"/>
  <c r="KE111" i="47"/>
  <c r="KF111" i="47"/>
  <c r="JQ109" i="47"/>
  <c r="JR109" i="47"/>
  <c r="JS109" i="47"/>
  <c r="IQ107" i="47"/>
  <c r="IS107" i="47"/>
  <c r="IP128" i="47"/>
  <c r="IP129" i="47"/>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c r="JF109" i="47"/>
  <c r="DF108" i="47"/>
  <c r="DD108" i="47"/>
  <c r="DE108" i="47"/>
  <c r="KD107" i="47"/>
  <c r="KF107" i="47"/>
  <c r="KC128" i="47"/>
  <c r="KC129" i="47"/>
  <c r="ED107" i="47"/>
  <c r="EF107" i="47"/>
  <c r="EC128" i="47"/>
  <c r="EC129" i="47"/>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c r="FF113" i="47"/>
  <c r="FD113" i="47"/>
  <c r="FE113" i="47"/>
  <c r="LF109" i="47"/>
  <c r="LD109" i="47"/>
  <c r="LE109" i="47"/>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c r="LQ109" i="47"/>
  <c r="LR109" i="47"/>
  <c r="LS109" i="47"/>
  <c r="BS112" i="47"/>
  <c r="BQ112" i="47"/>
  <c r="BR112" i="47"/>
  <c r="CQ110" i="47"/>
  <c r="CR110" i="47"/>
  <c r="CS110" i="47"/>
  <c r="DQ122" i="47"/>
  <c r="DR122" i="47"/>
  <c r="DS122" i="47"/>
  <c r="GQ122" i="47"/>
  <c r="GR122" i="47"/>
  <c r="GS122" i="47"/>
  <c r="HS121" i="47"/>
  <c r="HQ121" i="47"/>
  <c r="HR121" i="47"/>
  <c r="BQ122" i="47"/>
  <c r="BR122" i="47"/>
  <c r="BS122" i="47"/>
  <c r="GF121" i="47"/>
  <c r="GD121" i="47"/>
  <c r="GE121" i="47"/>
  <c r="HF122" i="47"/>
  <c r="HD122" i="47"/>
  <c r="HE122" i="47"/>
  <c r="KQ121" i="47"/>
  <c r="KR121" i="47"/>
  <c r="KS121" i="47"/>
  <c r="S110" i="47"/>
  <c r="Q110" i="47"/>
  <c r="R110" i="47"/>
  <c r="DF110" i="47"/>
  <c r="DD110" i="47"/>
  <c r="DE110" i="47"/>
  <c r="FS111" i="47"/>
  <c r="FQ111" i="47"/>
  <c r="FR111"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c r="AF111" i="47"/>
  <c r="LD114" i="47"/>
  <c r="LE114" i="47"/>
  <c r="LF114" i="47"/>
  <c r="FQ108" i="47"/>
  <c r="FR108" i="47"/>
  <c r="FS108" i="47"/>
  <c r="KS112" i="47"/>
  <c r="KQ112" i="47"/>
  <c r="KR112"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c r="AQ107" i="47"/>
  <c r="AS107" i="47"/>
  <c r="AP128" i="47"/>
  <c r="AP129" i="47"/>
  <c r="MF108" i="47"/>
  <c r="MD108" i="47"/>
  <c r="ME108" i="47"/>
  <c r="CQ113" i="47"/>
  <c r="CR113" i="47"/>
  <c r="CS113" i="47"/>
  <c r="HF113" i="47"/>
  <c r="HD113" i="47"/>
  <c r="HE113" i="47"/>
  <c r="AS111" i="47"/>
  <c r="AQ111" i="47"/>
  <c r="AR111" i="47"/>
  <c r="ES114" i="47"/>
  <c r="EQ114" i="47"/>
  <c r="ER114" i="47"/>
  <c r="S112" i="47"/>
  <c r="Q112" i="47"/>
  <c r="R112"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c r="ED113" i="47"/>
  <c r="EE113" i="47"/>
  <c r="EF113" i="47"/>
  <c r="DF111" i="47"/>
  <c r="DD111" i="47"/>
  <c r="DE111"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c r="GD111" i="47"/>
  <c r="GE111" i="47"/>
  <c r="GF111" i="47"/>
  <c r="LF110" i="47"/>
  <c r="LD110" i="47"/>
  <c r="LE110"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c r="LF107" i="47"/>
  <c r="LD107" i="47"/>
  <c r="LC128" i="47"/>
  <c r="LC129" i="47"/>
  <c r="GF112" i="47"/>
  <c r="GD112" i="47"/>
  <c r="GE112" i="47"/>
  <c r="FF122" i="47"/>
  <c r="FD122" i="47"/>
  <c r="FE122" i="47"/>
  <c r="MF122" i="47"/>
  <c r="MD122" i="47"/>
  <c r="ME122" i="47"/>
  <c r="KF121" i="47"/>
  <c r="KD121" i="47"/>
  <c r="KE121" i="47"/>
  <c r="LF121" i="47"/>
  <c r="LD121" i="47"/>
  <c r="LE121" i="47"/>
  <c r="AQ121" i="47"/>
  <c r="AR121" i="47"/>
  <c r="AS121" i="47"/>
  <c r="CQ122" i="47"/>
  <c r="CR122" i="47"/>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c r="HQ113" i="47"/>
  <c r="HR113" i="47"/>
  <c r="HS113" i="47"/>
  <c r="BF109" i="47"/>
  <c r="BD109" i="47"/>
  <c r="BE109" i="47"/>
  <c r="ES113" i="47"/>
  <c r="EQ113" i="47"/>
  <c r="ER113" i="47"/>
  <c r="EQ108" i="47"/>
  <c r="ER108" i="47"/>
  <c r="ES108" i="47"/>
  <c r="AD107" i="47"/>
  <c r="AF107" i="47"/>
  <c r="AC128" i="47"/>
  <c r="AC129" i="47"/>
  <c r="ES109" i="47"/>
  <c r="EQ109" i="47"/>
  <c r="ER109" i="47"/>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c r="BF110" i="47"/>
  <c r="U27" i="63"/>
  <c r="V27" i="63"/>
  <c r="AA33" i="63"/>
  <c r="AA27" i="63"/>
  <c r="JF112" i="47"/>
  <c r="JD112" i="47"/>
  <c r="JE112" i="47"/>
  <c r="DF109" i="47"/>
  <c r="DD109" i="47"/>
  <c r="DE109" i="47"/>
  <c r="U27" i="66"/>
  <c r="V27" i="66"/>
  <c r="AA33" i="66"/>
  <c r="AA27" i="66"/>
  <c r="IF111" i="47"/>
  <c r="ID111" i="47"/>
  <c r="IE111" i="47"/>
  <c r="FQ114" i="47"/>
  <c r="FR114" i="47"/>
  <c r="FS114" i="47"/>
  <c r="CF107" i="47"/>
  <c r="CD107" i="47"/>
  <c r="CC128" i="47"/>
  <c r="CC129" i="47"/>
  <c r="JS113" i="47"/>
  <c r="JQ113" i="47"/>
  <c r="JR113" i="47"/>
  <c r="IF108" i="47"/>
  <c r="ID108" i="47"/>
  <c r="IE108" i="47"/>
  <c r="MF109" i="47"/>
  <c r="MD109" i="47"/>
  <c r="ME109" i="47"/>
  <c r="HD110" i="47"/>
  <c r="HE110" i="47"/>
  <c r="HF110" i="47"/>
  <c r="JF111" i="47"/>
  <c r="JD111" i="47"/>
  <c r="JE111" i="47"/>
  <c r="KQ107" i="47"/>
  <c r="KS107" i="47"/>
  <c r="KP128" i="47"/>
  <c r="KP129" i="47"/>
  <c r="GQ107" i="47"/>
  <c r="GS107" i="47"/>
  <c r="GP128" i="47"/>
  <c r="GP129" i="47"/>
  <c r="ID113" i="47"/>
  <c r="IE113" i="47"/>
  <c r="IF113" i="47"/>
  <c r="CF114" i="47"/>
  <c r="CD114" i="47"/>
  <c r="CE114" i="47"/>
  <c r="EF110" i="47"/>
  <c r="ED110" i="47"/>
  <c r="EE110" i="47"/>
  <c r="GD109" i="47"/>
  <c r="GE109" i="47"/>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c r="KF110" i="47"/>
  <c r="KD110" i="47"/>
  <c r="KE110" i="47"/>
  <c r="CF113" i="47"/>
  <c r="CD113" i="47"/>
  <c r="CE113" i="47"/>
  <c r="ED122" i="47"/>
  <c r="EE122" i="47"/>
  <c r="EF122" i="47"/>
  <c r="CS121" i="47"/>
  <c r="CQ121" i="47"/>
  <c r="CR121" i="47"/>
  <c r="HQ122" i="47"/>
  <c r="HR122" i="47"/>
  <c r="HS122" i="47"/>
  <c r="DQ121" i="47"/>
  <c r="DR121" i="47"/>
  <c r="DS121" i="47"/>
  <c r="BS121" i="47"/>
  <c r="BQ121" i="47"/>
  <c r="BR121" i="47"/>
  <c r="ES122" i="47"/>
  <c r="EQ122" i="47"/>
  <c r="ER122" i="47"/>
  <c r="B29" i="47"/>
  <c r="KW29" i="47"/>
  <c r="GW29" i="47"/>
  <c r="EW29" i="47"/>
  <c r="EJ29" i="47"/>
  <c r="BW29" i="47"/>
  <c r="BJ29" i="47"/>
  <c r="JF113" i="47"/>
  <c r="JD113" i="47"/>
  <c r="JE113" i="47"/>
  <c r="CQ114" i="47"/>
  <c r="CR114" i="47"/>
  <c r="CS114" i="47"/>
  <c r="GS112" i="47"/>
  <c r="GQ112" i="47"/>
  <c r="GR112" i="47"/>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c r="FQ110" i="47"/>
  <c r="FR110" i="47"/>
  <c r="FS110" i="47"/>
  <c r="EQ111" i="47"/>
  <c r="ER111" i="47"/>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c r="O5" i="68"/>
  <c r="I5" i="68"/>
  <c r="O6" i="68"/>
  <c r="H7" i="68"/>
  <c r="I6" i="68"/>
  <c r="O7" i="68"/>
  <c r="N6" i="68"/>
  <c r="M7" i="68"/>
  <c r="N7" i="68"/>
  <c r="O8" i="68"/>
  <c r="N5" i="68"/>
  <c r="L5" i="68"/>
  <c r="N8" i="68"/>
  <c r="KD128" i="47"/>
  <c r="ID128" i="47"/>
  <c r="CQ128" i="47"/>
  <c r="EQ128" i="47"/>
  <c r="EQ129" i="47"/>
  <c r="DD128" i="47"/>
  <c r="GS128" i="47"/>
  <c r="CD128" i="47"/>
  <c r="CD129" i="47"/>
  <c r="AF128" i="47"/>
  <c r="LF128" i="47"/>
  <c r="AS128" i="47"/>
  <c r="IS128" i="47"/>
  <c r="FF128" i="47"/>
  <c r="FF129" i="47"/>
  <c r="IF128" i="47"/>
  <c r="JQ128" i="47"/>
  <c r="ES128" i="47"/>
  <c r="ES129" i="47"/>
  <c r="LQ128" i="47"/>
  <c r="IQ128" i="47"/>
  <c r="FD128" i="47"/>
  <c r="JS128" i="47"/>
  <c r="Q128" i="47"/>
  <c r="Q129" i="47"/>
  <c r="LS128" i="47"/>
  <c r="AD128" i="47"/>
  <c r="LD128" i="47"/>
  <c r="LD129" i="47"/>
  <c r="GD128" i="47"/>
  <c r="S128" i="47"/>
  <c r="Z28" i="68"/>
  <c r="T22" i="68"/>
  <c r="Z22" i="68"/>
  <c r="C76" i="28"/>
  <c r="C76" i="47"/>
  <c r="C78" i="28"/>
  <c r="Z24" i="68"/>
  <c r="Z30" i="68"/>
  <c r="T24" i="68"/>
  <c r="C78" i="47"/>
  <c r="EF128" i="47"/>
  <c r="GF128" i="47"/>
  <c r="DS128" i="47"/>
  <c r="HF128" i="47"/>
  <c r="HF129" i="47"/>
  <c r="MD128" i="47"/>
  <c r="JD128" i="47"/>
  <c r="KQ128" i="47"/>
  <c r="ED128" i="47"/>
  <c r="JF128" i="47"/>
  <c r="JF129" i="47"/>
  <c r="DQ128" i="47"/>
  <c r="HD128" i="47"/>
  <c r="BQ128" i="47"/>
  <c r="BQ129" i="47"/>
  <c r="MF128" i="47"/>
  <c r="KS128" i="47"/>
  <c r="BS128" i="47"/>
  <c r="HQ128" i="47"/>
  <c r="KF128" i="47"/>
  <c r="KF129" i="47"/>
  <c r="BF128" i="47"/>
  <c r="CS128" i="47"/>
  <c r="HS128" i="47"/>
  <c r="HS129" i="47"/>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c r="D7" i="47"/>
  <c r="GX7" i="47"/>
  <c r="L7" i="47"/>
  <c r="I5" i="61"/>
  <c r="O8" i="61"/>
  <c r="I8" i="61"/>
  <c r="FY45" i="47"/>
  <c r="AA31" i="70"/>
  <c r="V22" i="64"/>
  <c r="U26" i="63"/>
  <c r="AA22" i="64"/>
  <c r="CY45" i="47"/>
  <c r="U22" i="64"/>
  <c r="U25" i="70"/>
  <c r="LL45" i="47"/>
  <c r="AA26" i="63"/>
  <c r="AA25" i="70"/>
  <c r="AA30" i="63"/>
  <c r="AA24" i="63"/>
  <c r="K5" i="70"/>
  <c r="E22" i="26"/>
  <c r="FL45" i="47"/>
  <c r="EL45" i="47"/>
  <c r="KL45" i="47"/>
  <c r="L45" i="47"/>
  <c r="BL45" i="47"/>
  <c r="GL45" i="47"/>
  <c r="D45" i="47"/>
  <c r="KK45" i="47"/>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c r="IJ60" i="28"/>
  <c r="IJ46" i="28"/>
  <c r="IW46" i="28"/>
  <c r="W30" i="28"/>
  <c r="AJ30" i="28"/>
  <c r="IW30" i="28"/>
  <c r="LJ30" i="28"/>
  <c r="D60" i="28"/>
  <c r="JK60" i="28"/>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c r="DY60" i="28"/>
  <c r="EL60" i="28"/>
  <c r="GY60" i="28"/>
  <c r="J30" i="28"/>
  <c r="FJ30" i="28"/>
  <c r="GW30" i="28"/>
  <c r="KJ30" i="28"/>
  <c r="EY60" i="28"/>
  <c r="KL60" i="28"/>
  <c r="JY60" i="28"/>
  <c r="CJ30" i="28"/>
  <c r="BW30" i="28"/>
  <c r="IJ30" i="28"/>
  <c r="FL60" i="28"/>
  <c r="IL60" i="28"/>
  <c r="CJ46" i="28"/>
  <c r="KJ46" i="28"/>
  <c r="K6" i="70"/>
  <c r="E23" i="26"/>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c r="L5" i="70"/>
  <c r="K7" i="70"/>
  <c r="E24" i="26"/>
  <c r="FJ46" i="47"/>
  <c r="LJ46" i="47"/>
  <c r="EJ46" i="47"/>
  <c r="AA30" i="70"/>
  <c r="J46" i="47"/>
  <c r="DW46" i="47"/>
  <c r="HJ46" i="47"/>
  <c r="GW46" i="47"/>
  <c r="AA24" i="70"/>
  <c r="KJ46" i="47"/>
  <c r="CJ46" i="47"/>
  <c r="W46" i="47"/>
  <c r="LW46" i="47"/>
  <c r="U24" i="70"/>
  <c r="HW46" i="47"/>
  <c r="FW46" i="47"/>
  <c r="AW46" i="47"/>
  <c r="B46" i="47"/>
  <c r="LV46" i="47"/>
  <c r="CW46" i="47"/>
  <c r="GJ46" i="47"/>
  <c r="BW46" i="47"/>
  <c r="AJ46" i="47"/>
  <c r="JJ46" i="47"/>
  <c r="DJ46" i="47"/>
  <c r="K5" i="71"/>
  <c r="IW46" i="47"/>
  <c r="IJ46" i="47"/>
  <c r="BJ46" i="28"/>
  <c r="FJ46" i="28"/>
  <c r="LW46" i="28"/>
  <c r="CW24" i="47"/>
  <c r="EW46" i="28"/>
  <c r="GW46" i="28"/>
  <c r="LJ46" i="28"/>
  <c r="DW24" i="47"/>
  <c r="AJ46" i="28"/>
  <c r="DW46" i="28"/>
  <c r="EJ46" i="28"/>
  <c r="B46" i="28"/>
  <c r="EV46" i="28"/>
  <c r="IW24" i="47"/>
  <c r="W46" i="28"/>
  <c r="BW46" i="28"/>
  <c r="CW46" i="28"/>
  <c r="JW46" i="28"/>
  <c r="B24" i="47"/>
  <c r="HV24" i="47"/>
  <c r="JJ46" i="28"/>
  <c r="HJ46" i="28"/>
  <c r="GJ46" i="28"/>
  <c r="KW46" i="28"/>
  <c r="AW46" i="28"/>
  <c r="HW46" i="28"/>
  <c r="J8" i="63"/>
  <c r="B23" i="47"/>
  <c r="I23" i="47"/>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c r="J6" i="66"/>
  <c r="K8" i="70"/>
  <c r="E25" i="26"/>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c r="V25" i="63"/>
  <c r="CW60" i="28"/>
  <c r="HJ60" i="28"/>
  <c r="KJ60" i="28"/>
  <c r="J23" i="47"/>
  <c r="FJ23" i="47"/>
  <c r="FW23" i="47"/>
  <c r="AJ41" i="47"/>
  <c r="KJ41" i="47"/>
  <c r="DJ41" i="47"/>
  <c r="J8" i="70"/>
  <c r="L7" i="70"/>
  <c r="AA27" i="72"/>
  <c r="J60" i="28"/>
  <c r="BJ60" i="28"/>
  <c r="JW60" i="28"/>
  <c r="B60" i="28"/>
  <c r="II60" i="28"/>
  <c r="CJ23" i="47"/>
  <c r="BJ23" i="47"/>
  <c r="JJ23" i="47"/>
  <c r="HJ41" i="47"/>
  <c r="AW41" i="47"/>
  <c r="HW41" i="47"/>
  <c r="BW60" i="28"/>
  <c r="W60" i="28"/>
  <c r="LJ60" i="28"/>
  <c r="W23" i="47"/>
  <c r="DJ23" i="47"/>
  <c r="IW41" i="47"/>
  <c r="CW41" i="47"/>
  <c r="K8" i="63"/>
  <c r="U26" i="71"/>
  <c r="V26" i="71"/>
  <c r="IY11" i="28"/>
  <c r="AA26" i="71"/>
  <c r="K5" i="63"/>
  <c r="E17" i="26"/>
  <c r="J5" i="70"/>
  <c r="L8" i="70"/>
  <c r="KL11" i="28"/>
  <c r="FY11" i="28"/>
  <c r="Y45" i="28"/>
  <c r="BY45" i="28"/>
  <c r="IY45" i="28"/>
  <c r="KY45" i="28"/>
  <c r="DY45" i="28"/>
  <c r="AL45" i="28"/>
  <c r="JL45" i="28"/>
  <c r="D45" i="28"/>
  <c r="GK45" i="28"/>
  <c r="BL45" i="28"/>
  <c r="EL45" i="28"/>
  <c r="LL45" i="28"/>
  <c r="CL45" i="28"/>
  <c r="CY45" i="28"/>
  <c r="GY45" i="28"/>
  <c r="FL45" i="28"/>
  <c r="FY45" i="28"/>
  <c r="GL45" i="28"/>
  <c r="J5" i="67"/>
  <c r="J5" i="63"/>
  <c r="J7" i="70"/>
  <c r="AY45" i="28"/>
  <c r="HY45" i="28"/>
  <c r="HL45" i="28"/>
  <c r="EY45" i="28"/>
  <c r="JY45" i="28"/>
  <c r="K6" i="63"/>
  <c r="E18" i="26"/>
  <c r="L7" i="63"/>
  <c r="AW72" i="47"/>
  <c r="FW72" i="47"/>
  <c r="L5" i="63"/>
  <c r="JJ72" i="47"/>
  <c r="GL88" i="28"/>
  <c r="AA31" i="66"/>
  <c r="KY88" i="28"/>
  <c r="EL88" i="28"/>
  <c r="IY88" i="28"/>
  <c r="LL88" i="28"/>
  <c r="D88" i="28"/>
  <c r="CK88" i="28"/>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c r="AY11" i="28"/>
  <c r="HY11" i="28"/>
  <c r="AA33" i="67"/>
  <c r="AA29" i="68"/>
  <c r="U23" i="68"/>
  <c r="V23" i="68"/>
  <c r="V27" i="67"/>
  <c r="U27" i="67"/>
  <c r="U24" i="64"/>
  <c r="K6" i="66"/>
  <c r="E53" i="26"/>
  <c r="L6" i="67"/>
  <c r="L5" i="72"/>
  <c r="W72" i="47"/>
  <c r="EW72" i="47"/>
  <c r="IJ72" i="47"/>
  <c r="BW72" i="47"/>
  <c r="GW72" i="47"/>
  <c r="IW72" i="47"/>
  <c r="CW72" i="47"/>
  <c r="HW72" i="47"/>
  <c r="JW72" i="47"/>
  <c r="GJ72" i="47"/>
  <c r="AJ72" i="47"/>
  <c r="EJ72" i="47"/>
  <c r="HJ72" i="47"/>
  <c r="B72" i="47"/>
  <c r="II72" i="47"/>
  <c r="DJ72" i="47"/>
  <c r="BJ72" i="47"/>
  <c r="FJ72" i="47"/>
  <c r="KJ72" i="47"/>
  <c r="LW72" i="47"/>
  <c r="J72" i="47"/>
  <c r="KW72" i="47"/>
  <c r="CJ72" i="47"/>
  <c r="DW72" i="47"/>
  <c r="GW72" i="28"/>
  <c r="DW72" i="28"/>
  <c r="FW72" i="28"/>
  <c r="FJ72" i="28"/>
  <c r="HJ72" i="28"/>
  <c r="K6" i="67"/>
  <c r="E63" i="26"/>
  <c r="AW72" i="28"/>
  <c r="KJ72" i="28"/>
  <c r="J72" i="28"/>
  <c r="LJ72" i="28"/>
  <c r="W72" i="28"/>
  <c r="BJ72" i="28"/>
  <c r="IJ72" i="28"/>
  <c r="BW72" i="28"/>
  <c r="CJ72" i="28"/>
  <c r="KW72" i="28"/>
  <c r="HW72" i="28"/>
  <c r="DJ72" i="28"/>
  <c r="JW72" i="28"/>
  <c r="IW72" i="28"/>
  <c r="EJ72" i="28"/>
  <c r="JJ72" i="28"/>
  <c r="K7" i="67"/>
  <c r="E64" i="26"/>
  <c r="AJ72" i="28"/>
  <c r="CW72" i="28"/>
  <c r="GJ72" i="28"/>
  <c r="J8" i="68"/>
  <c r="J5" i="72"/>
  <c r="K5" i="67"/>
  <c r="E62" i="26"/>
  <c r="J6" i="67"/>
  <c r="L8" i="69"/>
  <c r="K5" i="66"/>
  <c r="E52" i="26"/>
  <c r="L8" i="67"/>
  <c r="V24" i="72"/>
  <c r="K8" i="69"/>
  <c r="E50" i="26"/>
  <c r="K8" i="72"/>
  <c r="E30" i="26"/>
  <c r="J5" i="66"/>
  <c r="J8" i="69"/>
  <c r="K7" i="69"/>
  <c r="E49" i="26"/>
  <c r="J7" i="69"/>
  <c r="L5" i="66"/>
  <c r="O7" i="62"/>
  <c r="K8" i="67"/>
  <c r="I7" i="62"/>
  <c r="N8" i="62"/>
  <c r="J8" i="72"/>
  <c r="L5" i="67"/>
  <c r="L6" i="72"/>
  <c r="J7" i="67"/>
  <c r="K6" i="72"/>
  <c r="K6" i="69"/>
  <c r="E48" i="26"/>
  <c r="J8" i="64"/>
  <c r="O6" i="62"/>
  <c r="L7" i="67"/>
  <c r="K8" i="65"/>
  <c r="E45" i="26"/>
  <c r="L8" i="72"/>
  <c r="AA23" i="71"/>
  <c r="V23" i="71"/>
  <c r="U23" i="71"/>
  <c r="K8" i="64"/>
  <c r="E40" i="26"/>
  <c r="J5" i="65"/>
  <c r="K5" i="72"/>
  <c r="E27" i="26"/>
  <c r="I5" i="62"/>
  <c r="O8" i="62"/>
  <c r="N5" i="62"/>
  <c r="N6" i="62"/>
  <c r="I6" i="62"/>
  <c r="K6" i="71"/>
  <c r="E33" i="26"/>
  <c r="L7" i="71"/>
  <c r="K6" i="65"/>
  <c r="E43" i="26"/>
  <c r="L7" i="72"/>
  <c r="J7" i="72"/>
  <c r="J8" i="65"/>
  <c r="J7" i="71"/>
  <c r="H6" i="62"/>
  <c r="J6" i="62"/>
  <c r="H7" i="62"/>
  <c r="N7" i="62"/>
  <c r="M5" i="62"/>
  <c r="O5" i="62"/>
  <c r="L8" i="65"/>
  <c r="H5" i="62"/>
  <c r="M7" i="62"/>
  <c r="K5" i="69"/>
  <c r="E47" i="26"/>
  <c r="H8" i="62"/>
  <c r="K7" i="72"/>
  <c r="E29" i="26"/>
  <c r="U24" i="72"/>
  <c r="L6" i="65"/>
  <c r="AA30" i="72"/>
  <c r="E15" i="47"/>
  <c r="E15" i="28"/>
  <c r="Z30" i="62"/>
  <c r="T24" i="62"/>
  <c r="Z24" i="62"/>
  <c r="L5" i="71"/>
  <c r="L6" i="66"/>
  <c r="C18" i="28"/>
  <c r="I8" i="62"/>
  <c r="C18" i="47"/>
  <c r="Z27" i="62"/>
  <c r="Z33" i="62"/>
  <c r="M8" i="62"/>
  <c r="T27" i="62"/>
  <c r="K7" i="71"/>
  <c r="M6" i="62"/>
  <c r="L6" i="64"/>
  <c r="J5" i="68"/>
  <c r="L6" i="71"/>
  <c r="K7" i="66"/>
  <c r="E54" i="26"/>
  <c r="J5" i="71"/>
  <c r="E13" i="47"/>
  <c r="E13" i="28"/>
  <c r="Z28" i="62"/>
  <c r="T22" i="62"/>
  <c r="Z22" i="62"/>
  <c r="V25" i="65"/>
  <c r="JB132" i="28"/>
  <c r="IV2" i="28"/>
  <c r="J8" i="71"/>
  <c r="K8" i="71"/>
  <c r="E35" i="26"/>
  <c r="K8" i="68"/>
  <c r="E60" i="26"/>
  <c r="L6" i="69"/>
  <c r="J8" i="66"/>
  <c r="J6" i="71"/>
  <c r="AA25" i="65"/>
  <c r="GB132" i="28"/>
  <c r="FV2" i="28"/>
  <c r="K6" i="64"/>
  <c r="E38" i="26"/>
  <c r="J5" i="64"/>
  <c r="J7" i="64"/>
  <c r="L5" i="65"/>
  <c r="K7" i="65"/>
  <c r="J7" i="66"/>
  <c r="J6" i="69"/>
  <c r="K8" i="66"/>
  <c r="AA31" i="65"/>
  <c r="K7" i="64"/>
  <c r="E39" i="26"/>
  <c r="L7" i="66"/>
  <c r="L7" i="64"/>
  <c r="L8" i="68"/>
  <c r="L7" i="69"/>
  <c r="J7" i="65"/>
  <c r="U23" i="69"/>
  <c r="AA24" i="64"/>
  <c r="V24" i="64"/>
  <c r="L7" i="65"/>
  <c r="L8" i="71"/>
  <c r="L8" i="66"/>
  <c r="AA32" i="62"/>
  <c r="V23" i="69"/>
  <c r="V26" i="62"/>
  <c r="AA23" i="69"/>
  <c r="U26" i="62"/>
  <c r="L8" i="64"/>
  <c r="J6" i="64"/>
  <c r="L5" i="69"/>
  <c r="L5" i="64"/>
  <c r="K5" i="68"/>
  <c r="K5" i="65"/>
  <c r="E42" i="26"/>
  <c r="K5" i="64"/>
  <c r="E37" i="26"/>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c r="EB132" i="28"/>
  <c r="DV2" i="28"/>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c r="JO132" i="28"/>
  <c r="JI2" i="28"/>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c r="I5" i="29"/>
  <c r="IO132" i="28"/>
  <c r="II2"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c r="CO132" i="28"/>
  <c r="CI2" i="28"/>
  <c r="DO132" i="28"/>
  <c r="DI2" i="28"/>
  <c r="HB132" i="28"/>
  <c r="GV2" i="28"/>
  <c r="BB132" i="28"/>
  <c r="AV2" i="28"/>
  <c r="CB132" i="28"/>
  <c r="BV2" i="28"/>
  <c r="LB132" i="28"/>
  <c r="KV2" i="28"/>
  <c r="GO132" i="28"/>
  <c r="GI2" i="28"/>
  <c r="DB132" i="28"/>
  <c r="CV2" i="28"/>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c r="I4" i="29"/>
  <c r="KB132" i="28"/>
  <c r="JV2" i="28"/>
  <c r="EO132" i="28"/>
  <c r="EI2" i="28"/>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c r="DK7" i="47"/>
  <c r="DX7" i="47"/>
  <c r="CK7" i="47"/>
  <c r="BK7" i="47"/>
  <c r="HK7" i="47"/>
  <c r="EK7" i="47"/>
  <c r="CX7" i="47"/>
  <c r="HX7" i="47"/>
  <c r="BX7" i="47"/>
  <c r="MB132" i="28"/>
  <c r="LV2" i="28"/>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c r="HO132" i="28"/>
  <c r="HI2" i="28"/>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KS129"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KD129" i="47"/>
  <c r="IR107" i="47"/>
  <c r="IQ129" i="47"/>
  <c r="GF129"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D129"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BF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9"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DQ129"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LQ129" i="47"/>
  <c r="HR107" i="47"/>
  <c r="HQ129"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LS129"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6" i="68"/>
  <c r="K6" i="61"/>
  <c r="L5" i="61"/>
  <c r="L6" i="68"/>
  <c r="JX7" i="47"/>
  <c r="LX7" i="47"/>
  <c r="JK7" i="47"/>
  <c r="K6" i="68"/>
  <c r="E58" i="26"/>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c r="IB130" i="47"/>
  <c r="HV2" i="47"/>
  <c r="KR128" i="47"/>
  <c r="KR129" i="47"/>
  <c r="KO130" i="47"/>
  <c r="KI2" i="47"/>
  <c r="DE128" i="47"/>
  <c r="DE129" i="47"/>
  <c r="DB130" i="47"/>
  <c r="CV2" i="47"/>
  <c r="ER128" i="47"/>
  <c r="ER129" i="47"/>
  <c r="EO130" i="47"/>
  <c r="EI2" i="47"/>
  <c r="FR128" i="47"/>
  <c r="FR129" i="47"/>
  <c r="FO130" i="47"/>
  <c r="FI2" i="47"/>
  <c r="EE128" i="47"/>
  <c r="EE129" i="47"/>
  <c r="EB130" i="47"/>
  <c r="DV2" i="47"/>
  <c r="ME128" i="47"/>
  <c r="ME129" i="47"/>
  <c r="MB130" i="47"/>
  <c r="LV2" i="47"/>
  <c r="JR128" i="47"/>
  <c r="JR129" i="47"/>
  <c r="JO130" i="47"/>
  <c r="JI2" i="47"/>
  <c r="BR128" i="47"/>
  <c r="BR129" i="47"/>
  <c r="BO130" i="47"/>
  <c r="BI2" i="47"/>
  <c r="AE128" i="47"/>
  <c r="AE129" i="47"/>
  <c r="AB130" i="47"/>
  <c r="V2" i="47"/>
  <c r="I5" i="32"/>
  <c r="LE128" i="47"/>
  <c r="LE129" i="47"/>
  <c r="LB130" i="47"/>
  <c r="KV2" i="47"/>
  <c r="JE128" i="47"/>
  <c r="JE129" i="47"/>
  <c r="JB130" i="47"/>
  <c r="IV2" i="47"/>
  <c r="HR128" i="47"/>
  <c r="HR129" i="47"/>
  <c r="HO130" i="47"/>
  <c r="HI2" i="47"/>
  <c r="DR128" i="47"/>
  <c r="DR129" i="47"/>
  <c r="DO130" i="47"/>
  <c r="DI2" i="47"/>
  <c r="BE128" i="47"/>
  <c r="BE129" i="47"/>
  <c r="BB130" i="47"/>
  <c r="AV2" i="47"/>
  <c r="CE128" i="47"/>
  <c r="CE129" i="47"/>
  <c r="CB130" i="47"/>
  <c r="BV2" i="47"/>
  <c r="HE128" i="47"/>
  <c r="HE129" i="47"/>
  <c r="HB130" i="47"/>
  <c r="GV2" i="47"/>
  <c r="IR128" i="47"/>
  <c r="IR129" i="47"/>
  <c r="IO130" i="47"/>
  <c r="II2" i="47"/>
  <c r="GE128" i="47"/>
  <c r="GE129" i="47"/>
  <c r="GB130" i="47"/>
  <c r="FV2" i="47"/>
  <c r="LR128" i="47"/>
  <c r="LR129" i="47"/>
  <c r="LO130" i="47"/>
  <c r="LI2" i="47"/>
  <c r="CR128" i="47"/>
  <c r="CR129" i="47"/>
  <c r="CO130" i="47"/>
  <c r="CI2" i="47"/>
  <c r="FE128" i="47"/>
  <c r="FE129" i="47"/>
  <c r="FB130" i="47"/>
  <c r="EV2" i="47"/>
  <c r="GR128" i="47"/>
  <c r="GR129" i="47"/>
  <c r="GO130" i="47"/>
  <c r="GI2" i="47"/>
  <c r="AR128" i="47"/>
  <c r="AR129" i="47"/>
  <c r="AO130" i="47"/>
  <c r="AI2" i="47"/>
  <c r="R128" i="47"/>
  <c r="R129" i="47"/>
  <c r="O130" i="47"/>
  <c r="I2" i="47"/>
  <c r="I4" i="32"/>
  <c r="KE128" i="47"/>
  <c r="KE129" i="47"/>
  <c r="KB130" i="47"/>
  <c r="JV2" i="47"/>
  <c r="J8" i="61"/>
  <c r="K5" i="61"/>
  <c r="E7" i="26"/>
  <c r="KL7" i="28"/>
  <c r="L7" i="28"/>
  <c r="DL7" i="28"/>
  <c r="J7" i="61"/>
  <c r="FY7" i="28"/>
  <c r="L6" i="61"/>
  <c r="GY7" i="28"/>
  <c r="D7" i="28"/>
  <c r="GK7" i="28"/>
  <c r="LY7" i="28"/>
  <c r="KY7" i="28"/>
  <c r="LL7" i="28"/>
  <c r="CL7" i="28"/>
  <c r="HL7" i="28"/>
  <c r="CY7" i="28"/>
  <c r="EL7" i="28"/>
  <c r="L7" i="61"/>
  <c r="K8" i="61"/>
  <c r="E10" i="26"/>
  <c r="I46" i="47"/>
  <c r="FI46" i="47"/>
  <c r="LI46" i="47"/>
  <c r="BV46" i="47"/>
  <c r="AY7" i="28"/>
  <c r="EY7" i="28"/>
  <c r="GV46" i="47"/>
  <c r="II46" i="47"/>
  <c r="AV46" i="47"/>
  <c r="K7" i="61"/>
  <c r="E9" i="26"/>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c r="AI72" i="47"/>
  <c r="HV72" i="47"/>
  <c r="JV72" i="47"/>
  <c r="I14" i="66"/>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c r="L9" i="67"/>
  <c r="R7" i="67"/>
  <c r="J5" i="62"/>
  <c r="I15" i="72"/>
  <c r="I14" i="67"/>
  <c r="I17" i="72"/>
  <c r="I14" i="72"/>
  <c r="E65" i="26"/>
  <c r="I16" i="72"/>
  <c r="I17" i="67"/>
  <c r="I16" i="67"/>
  <c r="E28" i="26"/>
  <c r="J4" i="29"/>
  <c r="I17" i="69"/>
  <c r="K6" i="62"/>
  <c r="E13" i="26"/>
  <c r="J8" i="62"/>
  <c r="I14" i="71"/>
  <c r="K7" i="62"/>
  <c r="E14" i="26"/>
  <c r="L9" i="72"/>
  <c r="R5" i="72"/>
  <c r="I14" i="69"/>
  <c r="L9" i="64"/>
  <c r="R5" i="64"/>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c r="I17" i="64"/>
  <c r="I16" i="64"/>
  <c r="I15" i="64"/>
  <c r="I14" i="64"/>
  <c r="I17" i="68"/>
  <c r="E57" i="26"/>
  <c r="E59" i="26"/>
  <c r="L9" i="68"/>
  <c r="R6" i="68"/>
  <c r="L9" i="66"/>
  <c r="R5" i="66"/>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c r="I16" i="61"/>
  <c r="I15" i="61"/>
  <c r="I14" i="61"/>
  <c r="I17" i="61"/>
  <c r="R6" i="70"/>
  <c r="R5" i="70"/>
  <c r="R8" i="70"/>
  <c r="O15" i="70" a="1"/>
  <c r="O15" i="70"/>
  <c r="K15" i="70" a="1"/>
  <c r="K15" i="70"/>
  <c r="O14" i="70" a="1"/>
  <c r="O14" i="70"/>
  <c r="AX22" i="70" a="1"/>
  <c r="AX22" i="70"/>
  <c r="AY23" i="70"/>
  <c r="O16" i="70" a="1"/>
  <c r="O16" i="70"/>
  <c r="K17" i="70" a="1"/>
  <c r="K17" i="70"/>
  <c r="S16" i="70" a="1"/>
  <c r="S16" i="70"/>
  <c r="K14" i="70" a="1"/>
  <c r="K14" i="70"/>
  <c r="S15" i="70" a="1"/>
  <c r="S15" i="70"/>
  <c r="S14" i="70" a="1"/>
  <c r="S14" i="70"/>
  <c r="AX14" i="70" a="1"/>
  <c r="AX14" i="70"/>
  <c r="O17" i="70" a="1"/>
  <c r="O17" i="70"/>
  <c r="S17" i="70" a="1"/>
  <c r="S17" i="70"/>
  <c r="K16" i="70" a="1"/>
  <c r="K16" i="70"/>
  <c r="O14" i="63" a="1"/>
  <c r="O14" i="63"/>
  <c r="K16" i="63" a="1"/>
  <c r="K16" i="63"/>
  <c r="O17" i="63" a="1"/>
  <c r="O17" i="63"/>
  <c r="K17" i="63" a="1"/>
  <c r="K17" i="63"/>
  <c r="K15" i="63" a="1"/>
  <c r="K15" i="63"/>
  <c r="K14" i="63" a="1"/>
  <c r="K14" i="63"/>
  <c r="AX14" i="63" a="1"/>
  <c r="AX14" i="63"/>
  <c r="S17" i="63" a="1"/>
  <c r="S17" i="63"/>
  <c r="S14" i="63" a="1"/>
  <c r="S14" i="63"/>
  <c r="O15" i="63" a="1"/>
  <c r="O15" i="63"/>
  <c r="O16" i="63" a="1"/>
  <c r="O16" i="63"/>
  <c r="S16" i="63" a="1"/>
  <c r="S16" i="63"/>
  <c r="S15" i="63" a="1"/>
  <c r="S15" i="63"/>
  <c r="AX22" i="63" a="1"/>
  <c r="AX22" i="63"/>
  <c r="L16" i="63"/>
  <c r="M16" i="63"/>
  <c r="L14" i="63"/>
  <c r="M14" i="63"/>
  <c r="L15" i="63"/>
  <c r="M15" i="63"/>
  <c r="P16" i="63"/>
  <c r="Q16" i="63"/>
  <c r="P14" i="63"/>
  <c r="Q14" i="63"/>
  <c r="P15" i="63"/>
  <c r="Q15" i="63"/>
  <c r="L17" i="63"/>
  <c r="M17" i="63"/>
  <c r="P17" i="63"/>
  <c r="Q17" i="63"/>
  <c r="T16" i="63"/>
  <c r="U16" i="63"/>
  <c r="T14" i="63"/>
  <c r="U14" i="63"/>
  <c r="T15" i="63"/>
  <c r="U15" i="63"/>
  <c r="T17" i="63"/>
  <c r="U17" i="63"/>
  <c r="W16" i="63" a="1"/>
  <c r="W16" i="63"/>
  <c r="W14" i="63" a="1"/>
  <c r="W14" i="63"/>
  <c r="W15" i="63" a="1"/>
  <c r="W17" i="63" a="1"/>
  <c r="W15" i="63"/>
  <c r="W17" i="63"/>
  <c r="X16" i="63"/>
  <c r="Y16" i="63"/>
  <c r="AA16" i="63" a="1"/>
  <c r="AA16" i="63"/>
  <c r="AA14" i="63" a="1"/>
  <c r="AA14" i="63"/>
  <c r="AA15" i="63" a="1"/>
  <c r="AA17" i="63" a="1"/>
  <c r="X14" i="63"/>
  <c r="Y14" i="63"/>
  <c r="X15" i="63"/>
  <c r="Y15" i="63"/>
  <c r="X17" i="63"/>
  <c r="Y17" i="63"/>
  <c r="AA15" i="63"/>
  <c r="AA17" i="63"/>
  <c r="AB16" i="63"/>
  <c r="AC16" i="63"/>
  <c r="AE16" i="63" a="1"/>
  <c r="AE16" i="63"/>
  <c r="AE14" i="63" a="1"/>
  <c r="AE14" i="63"/>
  <c r="AE15" i="63" a="1"/>
  <c r="AE17" i="63" a="1"/>
  <c r="AB14" i="63"/>
  <c r="AC14" i="63"/>
  <c r="AB15" i="63"/>
  <c r="AC15" i="63"/>
  <c r="AB17" i="63"/>
  <c r="AC17" i="63"/>
  <c r="AE15" i="63"/>
  <c r="AE17" i="63"/>
  <c r="AF16" i="63"/>
  <c r="AG16" i="63"/>
  <c r="AF14" i="63"/>
  <c r="AG14" i="63"/>
  <c r="AF17" i="63"/>
  <c r="AG17" i="63"/>
  <c r="AF15" i="63"/>
  <c r="AG15" i="63"/>
  <c r="AI16" i="63"/>
  <c r="AJ16" i="63"/>
  <c r="AI14" i="63"/>
  <c r="AJ14" i="63"/>
  <c r="AI17" i="63"/>
  <c r="AJ17" i="63"/>
  <c r="AI15" i="63"/>
  <c r="AJ15" i="63"/>
  <c r="AL16" i="63"/>
  <c r="AM16" i="63"/>
  <c r="AO16" i="63"/>
  <c r="AP16" i="63"/>
  <c r="R5" i="63"/>
  <c r="AL14" i="63"/>
  <c r="AM14" i="63"/>
  <c r="AO14" i="63"/>
  <c r="AP14" i="63"/>
  <c r="R6" i="63"/>
  <c r="AL15" i="63"/>
  <c r="AM15" i="63"/>
  <c r="AO15" i="63"/>
  <c r="AP15" i="63"/>
  <c r="R8" i="63"/>
  <c r="AL17" i="63"/>
  <c r="AM17" i="63"/>
  <c r="AO17" i="63"/>
  <c r="AP17" i="63"/>
  <c r="AR16" i="63"/>
  <c r="AS16" i="63"/>
  <c r="G16" i="63"/>
  <c r="F16" i="63"/>
  <c r="AR14" i="63"/>
  <c r="AS14" i="63"/>
  <c r="G14" i="63"/>
  <c r="F14" i="63"/>
  <c r="AR15" i="63"/>
  <c r="AS15" i="63"/>
  <c r="G15" i="63"/>
  <c r="F15" i="63"/>
  <c r="AR17" i="63"/>
  <c r="AS17" i="63"/>
  <c r="G17" i="63"/>
  <c r="F17" i="63"/>
  <c r="E16" i="63"/>
  <c r="AY24" i="63"/>
  <c r="R5" i="61"/>
  <c r="R6" i="61"/>
  <c r="R8" i="68"/>
  <c r="S17" i="66" a="1"/>
  <c r="S17" i="66"/>
  <c r="O15" i="67" a="1"/>
  <c r="O15" i="67"/>
  <c r="R5" i="67"/>
  <c r="K16" i="66" a="1"/>
  <c r="K16" i="66"/>
  <c r="K15" i="67" a="1"/>
  <c r="K15" i="67"/>
  <c r="R8" i="67"/>
  <c r="R6" i="67"/>
  <c r="K16" i="67" a="1"/>
  <c r="K16" i="67"/>
  <c r="K17" i="66" a="1"/>
  <c r="K17" i="66"/>
  <c r="K17" i="67" a="1"/>
  <c r="K17" i="67"/>
  <c r="AX22" i="66" a="1"/>
  <c r="AX22" i="66"/>
  <c r="K14" i="66" a="1"/>
  <c r="K14" i="66"/>
  <c r="K15" i="66" a="1"/>
  <c r="K15" i="66"/>
  <c r="L17" i="66"/>
  <c r="M17" i="66"/>
  <c r="O17" i="66" a="1"/>
  <c r="O17" i="66"/>
  <c r="O14" i="66" a="1"/>
  <c r="O14" i="66"/>
  <c r="O15" i="66" a="1"/>
  <c r="O16" i="66" a="1"/>
  <c r="L14" i="66"/>
  <c r="M14" i="66"/>
  <c r="L15" i="66"/>
  <c r="M15" i="66"/>
  <c r="L16" i="66"/>
  <c r="M16" i="66"/>
  <c r="O15" i="66"/>
  <c r="O16" i="66"/>
  <c r="P17" i="66"/>
  <c r="Q17" i="66"/>
  <c r="S14" i="66" a="1"/>
  <c r="S14" i="66"/>
  <c r="S15" i="66" a="1"/>
  <c r="S15" i="66"/>
  <c r="S16" i="66" a="1"/>
  <c r="P14" i="66"/>
  <c r="Q14" i="66"/>
  <c r="P15" i="66"/>
  <c r="Q15" i="66"/>
  <c r="P16" i="66"/>
  <c r="Q16" i="66"/>
  <c r="S16" i="66"/>
  <c r="T17" i="66"/>
  <c r="U17" i="66"/>
  <c r="T14" i="66"/>
  <c r="U14" i="66"/>
  <c r="T15" i="66"/>
  <c r="U15" i="66"/>
  <c r="T16" i="66"/>
  <c r="U16" i="66"/>
  <c r="W17" i="66" a="1"/>
  <c r="W17" i="66"/>
  <c r="W14" i="66" a="1"/>
  <c r="W14" i="66"/>
  <c r="W15" i="66" a="1"/>
  <c r="W16" i="66" a="1"/>
  <c r="W15" i="66"/>
  <c r="W16" i="66"/>
  <c r="X17" i="66"/>
  <c r="Y17" i="66"/>
  <c r="AA17" i="66" a="1"/>
  <c r="AA17" i="66"/>
  <c r="AA14" i="66" a="1"/>
  <c r="AA14" i="66"/>
  <c r="AA15" i="66" a="1"/>
  <c r="AA16" i="66" a="1"/>
  <c r="X14" i="66"/>
  <c r="Y14" i="66"/>
  <c r="X15" i="66"/>
  <c r="Y15" i="66"/>
  <c r="X16" i="66"/>
  <c r="Y16" i="66"/>
  <c r="AA15" i="66"/>
  <c r="AA16" i="66"/>
  <c r="AB17" i="66"/>
  <c r="AC17" i="66"/>
  <c r="AE17" i="66" a="1"/>
  <c r="AE17" i="66"/>
  <c r="AE14" i="66" a="1"/>
  <c r="AE14" i="66"/>
  <c r="AE15" i="66" a="1"/>
  <c r="AE16" i="66" a="1"/>
  <c r="AB14" i="66"/>
  <c r="AC14" i="66"/>
  <c r="AB15" i="66"/>
  <c r="AC15" i="66"/>
  <c r="AB16" i="66"/>
  <c r="AC16" i="66"/>
  <c r="AE15" i="66"/>
  <c r="AE16" i="66"/>
  <c r="AF17" i="66"/>
  <c r="AG17" i="66"/>
  <c r="AF14" i="66"/>
  <c r="AG14" i="66"/>
  <c r="AF16" i="66"/>
  <c r="AG16" i="66"/>
  <c r="AF15" i="66"/>
  <c r="AG15" i="66"/>
  <c r="AI17" i="66"/>
  <c r="AJ17" i="66"/>
  <c r="AI14" i="66"/>
  <c r="AJ14" i="66"/>
  <c r="AI16" i="66"/>
  <c r="AJ16" i="66"/>
  <c r="AI15" i="66"/>
  <c r="AJ15" i="66"/>
  <c r="AL17" i="66"/>
  <c r="AM17" i="66"/>
  <c r="AO17" i="66"/>
  <c r="AP17" i="66"/>
  <c r="R8" i="66"/>
  <c r="AL14" i="66"/>
  <c r="AM14" i="66"/>
  <c r="AO14" i="66"/>
  <c r="AP14" i="66"/>
  <c r="R6" i="66"/>
  <c r="AL15" i="66"/>
  <c r="AM15" i="66"/>
  <c r="AO15" i="66"/>
  <c r="AP15" i="66"/>
  <c r="R7" i="66"/>
  <c r="AL16" i="66"/>
  <c r="AM16" i="66"/>
  <c r="AO16" i="66"/>
  <c r="AP16" i="66"/>
  <c r="AR17" i="66"/>
  <c r="AS17" i="66"/>
  <c r="G17" i="66"/>
  <c r="F17" i="66"/>
  <c r="AR14" i="66"/>
  <c r="AS14" i="66"/>
  <c r="G14" i="66"/>
  <c r="F14" i="66"/>
  <c r="AR15" i="66"/>
  <c r="AS15" i="66"/>
  <c r="G15" i="66"/>
  <c r="F15" i="66"/>
  <c r="AR16" i="66"/>
  <c r="AS16" i="66"/>
  <c r="G16" i="66"/>
  <c r="F16" i="66"/>
  <c r="E17" i="66"/>
  <c r="AY25" i="66"/>
  <c r="S16" i="67" a="1"/>
  <c r="S16" i="67"/>
  <c r="AX14" i="67" a="1"/>
  <c r="AX14" i="67"/>
  <c r="S15" i="67" a="1"/>
  <c r="S15" i="67"/>
  <c r="K14" i="67" a="1"/>
  <c r="K14" i="67"/>
  <c r="S14" i="67" a="1"/>
  <c r="S14" i="67"/>
  <c r="O16" i="67" a="1"/>
  <c r="O16" i="67"/>
  <c r="AX14" i="66" a="1"/>
  <c r="AX14" i="66"/>
  <c r="O17" i="67" a="1"/>
  <c r="O17" i="67"/>
  <c r="AX22" i="67" a="1"/>
  <c r="AX22" i="67"/>
  <c r="L15" i="67"/>
  <c r="M15" i="67"/>
  <c r="O14" i="67" a="1"/>
  <c r="O14" i="67"/>
  <c r="P15" i="67"/>
  <c r="Q15" i="67"/>
  <c r="S17" i="67" a="1"/>
  <c r="S17" i="67"/>
  <c r="T15" i="67"/>
  <c r="U15" i="67"/>
  <c r="L14" i="67"/>
  <c r="M14" i="67"/>
  <c r="P14" i="67"/>
  <c r="Q14" i="67"/>
  <c r="T14" i="67"/>
  <c r="U14" i="67"/>
  <c r="L16" i="67"/>
  <c r="M16" i="67"/>
  <c r="P16" i="67"/>
  <c r="Q16" i="67"/>
  <c r="T16" i="67"/>
  <c r="U16" i="67"/>
  <c r="L17" i="67"/>
  <c r="M17" i="67"/>
  <c r="P17" i="67"/>
  <c r="Q17" i="67"/>
  <c r="T17" i="67"/>
  <c r="U17" i="67"/>
  <c r="W15" i="67" a="1"/>
  <c r="W15" i="67"/>
  <c r="W14" i="67" a="1"/>
  <c r="W14" i="67"/>
  <c r="W16" i="67" a="1"/>
  <c r="W17" i="67" a="1"/>
  <c r="W16" i="67"/>
  <c r="W17" i="67"/>
  <c r="X15" i="67"/>
  <c r="Y15" i="67"/>
  <c r="AA15" i="67" a="1"/>
  <c r="AA15" i="67"/>
  <c r="AA14" i="67" a="1"/>
  <c r="AA14" i="67"/>
  <c r="AA16" i="67" a="1"/>
  <c r="AA17" i="67" a="1"/>
  <c r="X14" i="67"/>
  <c r="Y14" i="67"/>
  <c r="X16" i="67"/>
  <c r="Y16" i="67"/>
  <c r="X17" i="67"/>
  <c r="Y17" i="67"/>
  <c r="AA16" i="67"/>
  <c r="AA17" i="67"/>
  <c r="AB15" i="67"/>
  <c r="AC15" i="67"/>
  <c r="AE15" i="67" a="1"/>
  <c r="AE15" i="67"/>
  <c r="AE14" i="67" a="1"/>
  <c r="AE14" i="67"/>
  <c r="AE16" i="67" a="1"/>
  <c r="AE17" i="67" a="1"/>
  <c r="AB14" i="67"/>
  <c r="AC14" i="67"/>
  <c r="AB16" i="67"/>
  <c r="AC16" i="67"/>
  <c r="AB17" i="67"/>
  <c r="AC17" i="67"/>
  <c r="AE16" i="67"/>
  <c r="AE17" i="67"/>
  <c r="AF15" i="67"/>
  <c r="AG15" i="67"/>
  <c r="AF14" i="67"/>
  <c r="AG14" i="67"/>
  <c r="AF16" i="67"/>
  <c r="AG16" i="67"/>
  <c r="AI15" i="67"/>
  <c r="AJ15" i="67"/>
  <c r="AI14" i="67"/>
  <c r="AJ14" i="67"/>
  <c r="AI16" i="67"/>
  <c r="AJ16" i="67"/>
  <c r="AL15" i="67"/>
  <c r="AM15" i="67"/>
  <c r="AO15" i="67"/>
  <c r="AP15" i="67"/>
  <c r="AL14" i="67"/>
  <c r="AM14" i="67"/>
  <c r="AO14" i="67"/>
  <c r="AP14" i="67"/>
  <c r="AR15" i="67"/>
  <c r="AS15" i="67"/>
  <c r="G15" i="67"/>
  <c r="F15" i="67"/>
  <c r="AR14" i="67"/>
  <c r="AS14" i="67"/>
  <c r="G14" i="67"/>
  <c r="F14" i="67"/>
  <c r="AL16" i="67"/>
  <c r="AM16" i="67"/>
  <c r="AO16" i="67"/>
  <c r="AP16" i="67"/>
  <c r="AF17" i="67"/>
  <c r="AG17" i="67"/>
  <c r="AI17" i="67"/>
  <c r="AJ17" i="67"/>
  <c r="AL17" i="67"/>
  <c r="AM17" i="67"/>
  <c r="AO17" i="67"/>
  <c r="AP17" i="67"/>
  <c r="AR16" i="67"/>
  <c r="AS16" i="67"/>
  <c r="G16" i="67"/>
  <c r="F16" i="67"/>
  <c r="AR17" i="67"/>
  <c r="AS17" i="67"/>
  <c r="G17" i="67"/>
  <c r="F17" i="67"/>
  <c r="E15" i="67"/>
  <c r="AY23" i="67"/>
  <c r="O15" i="69" a="1"/>
  <c r="O15" i="69"/>
  <c r="S16" i="72" a="1"/>
  <c r="S16" i="72"/>
  <c r="O17" i="72" a="1"/>
  <c r="O17" i="72"/>
  <c r="K16" i="72" a="1"/>
  <c r="K16" i="72"/>
  <c r="S14" i="72" a="1"/>
  <c r="S14" i="72"/>
  <c r="S15" i="72" a="1"/>
  <c r="S15" i="72"/>
  <c r="O14" i="72" a="1"/>
  <c r="O14" i="72"/>
  <c r="K15" i="72" a="1"/>
  <c r="K15" i="72"/>
  <c r="O16" i="72" a="1"/>
  <c r="O16" i="72"/>
  <c r="O15" i="72" a="1"/>
  <c r="O15" i="72"/>
  <c r="AX22" i="69" a="1"/>
  <c r="AX22" i="69"/>
  <c r="AY22" i="69"/>
  <c r="K14" i="72" a="1"/>
  <c r="K14" i="72"/>
  <c r="S17" i="72" a="1"/>
  <c r="S17" i="72"/>
  <c r="AX14" i="72" a="1"/>
  <c r="AX14" i="72"/>
  <c r="K17" i="72" a="1"/>
  <c r="K17" i="72"/>
  <c r="AX22" i="72" a="1"/>
  <c r="AX22" i="72"/>
  <c r="J4" i="32"/>
  <c r="S14" i="69" a="1"/>
  <c r="S14" i="69"/>
  <c r="O17" i="68" a="1"/>
  <c r="O17" i="68"/>
  <c r="O16" i="71" a="1"/>
  <c r="O16" i="71"/>
  <c r="AX22" i="71" a="1"/>
  <c r="AX22" i="71"/>
  <c r="S16" i="71" a="1"/>
  <c r="S16" i="71"/>
  <c r="K17" i="68" a="1"/>
  <c r="K17" i="68"/>
  <c r="O17" i="71" a="1"/>
  <c r="O17" i="71"/>
  <c r="R8" i="72"/>
  <c r="S16" i="68" a="1"/>
  <c r="S16" i="68"/>
  <c r="K16" i="71" a="1"/>
  <c r="K16" i="71"/>
  <c r="R6" i="72"/>
  <c r="S17" i="71" a="1"/>
  <c r="S17" i="71"/>
  <c r="S14" i="71" a="1"/>
  <c r="S14" i="71"/>
  <c r="R7" i="72"/>
  <c r="K17" i="71" a="1"/>
  <c r="K17" i="71"/>
  <c r="K16" i="68" a="1"/>
  <c r="K16" i="68"/>
  <c r="AX22" i="68" a="1"/>
  <c r="AX22" i="68"/>
  <c r="K15" i="68" a="1"/>
  <c r="K15" i="68"/>
  <c r="K14" i="68" a="1"/>
  <c r="K14" i="68"/>
  <c r="L15" i="68"/>
  <c r="M15" i="68"/>
  <c r="O15" i="68" a="1"/>
  <c r="O15" i="68"/>
  <c r="O14" i="68" a="1"/>
  <c r="O14" i="68"/>
  <c r="O16" i="68" a="1"/>
  <c r="L14" i="68"/>
  <c r="M14" i="68"/>
  <c r="L16" i="68"/>
  <c r="M16" i="68"/>
  <c r="L17" i="68"/>
  <c r="M17" i="68"/>
  <c r="O16" i="68"/>
  <c r="P15" i="68"/>
  <c r="Q15" i="68"/>
  <c r="S15" i="68" a="1"/>
  <c r="S15" i="68"/>
  <c r="S14" i="68" a="1"/>
  <c r="S14" i="68"/>
  <c r="S17" i="68" a="1"/>
  <c r="P14" i="68"/>
  <c r="Q14" i="68"/>
  <c r="P16" i="68"/>
  <c r="Q16" i="68"/>
  <c r="P17" i="68"/>
  <c r="Q17" i="68"/>
  <c r="S17" i="68"/>
  <c r="T15" i="68"/>
  <c r="U15" i="68"/>
  <c r="T14" i="68"/>
  <c r="U14" i="68"/>
  <c r="T16" i="68"/>
  <c r="U16" i="68"/>
  <c r="T17" i="68"/>
  <c r="U17" i="68"/>
  <c r="W15" i="68" a="1"/>
  <c r="W15" i="68"/>
  <c r="W14" i="68" a="1"/>
  <c r="W14" i="68"/>
  <c r="W16" i="68" a="1"/>
  <c r="W17" i="68" a="1"/>
  <c r="W16" i="68"/>
  <c r="W17" i="68"/>
  <c r="X15" i="68"/>
  <c r="Y15" i="68"/>
  <c r="AA15" i="68" a="1"/>
  <c r="AA15" i="68"/>
  <c r="AA14" i="68" a="1"/>
  <c r="AA14" i="68"/>
  <c r="AA16" i="68" a="1"/>
  <c r="AA17" i="68" a="1"/>
  <c r="X14" i="68"/>
  <c r="Y14" i="68"/>
  <c r="X16" i="68"/>
  <c r="Y16" i="68"/>
  <c r="X17" i="68"/>
  <c r="Y17" i="68"/>
  <c r="AA16" i="68"/>
  <c r="AA17" i="68"/>
  <c r="AB15" i="68"/>
  <c r="AC15" i="68"/>
  <c r="AE15" i="68" a="1"/>
  <c r="AE15" i="68"/>
  <c r="AE14" i="68" a="1"/>
  <c r="AE14" i="68"/>
  <c r="AE16" i="68" a="1"/>
  <c r="AE17" i="68" a="1"/>
  <c r="AB14" i="68"/>
  <c r="AC14" i="68"/>
  <c r="AB16" i="68"/>
  <c r="AC16" i="68"/>
  <c r="AB17" i="68"/>
  <c r="AC17" i="68"/>
  <c r="AE16" i="68"/>
  <c r="AE17" i="68"/>
  <c r="AF15" i="68"/>
  <c r="AG15" i="68"/>
  <c r="AF14" i="68"/>
  <c r="AG14" i="68"/>
  <c r="AF16" i="68"/>
  <c r="AG16" i="68"/>
  <c r="AF17" i="68"/>
  <c r="AG17" i="68"/>
  <c r="AI15" i="68"/>
  <c r="AJ15" i="68"/>
  <c r="AI14" i="68"/>
  <c r="AJ14" i="68"/>
  <c r="AI17" i="68"/>
  <c r="AJ17" i="68"/>
  <c r="AL15" i="68"/>
  <c r="AM15" i="68"/>
  <c r="AO15" i="68"/>
  <c r="AP15" i="68"/>
  <c r="R5" i="68"/>
  <c r="AL14" i="68"/>
  <c r="AM14" i="68"/>
  <c r="AO14" i="68"/>
  <c r="AP14" i="68"/>
  <c r="R7" i="68"/>
  <c r="AL17" i="68"/>
  <c r="AM17" i="68"/>
  <c r="AO17" i="68"/>
  <c r="AP17" i="68"/>
  <c r="AR15" i="68"/>
  <c r="AS15" i="68"/>
  <c r="G15" i="68"/>
  <c r="F15" i="68"/>
  <c r="AR14" i="68"/>
  <c r="AS14" i="68"/>
  <c r="G14" i="68"/>
  <c r="F14" i="68"/>
  <c r="AI16" i="68"/>
  <c r="AJ16" i="68"/>
  <c r="AL16" i="68"/>
  <c r="AM16" i="68"/>
  <c r="AO16" i="68"/>
  <c r="AP16" i="68"/>
  <c r="AR16" i="68"/>
  <c r="AS16" i="68"/>
  <c r="G16" i="68"/>
  <c r="F16" i="68"/>
  <c r="AR17" i="68"/>
  <c r="AS17" i="68"/>
  <c r="G17" i="68"/>
  <c r="F17" i="68"/>
  <c r="E15" i="68"/>
  <c r="AY23" i="68"/>
  <c r="AX14" i="68" a="1"/>
  <c r="AX14" i="68"/>
  <c r="AX22" i="65" a="1"/>
  <c r="AX22" i="65"/>
  <c r="K17" i="69" a="1"/>
  <c r="K17" i="69"/>
  <c r="K14" i="65" a="1"/>
  <c r="K14" i="65"/>
  <c r="S15" i="65" a="1"/>
  <c r="S15" i="65"/>
  <c r="S15" i="69" a="1"/>
  <c r="S15" i="69"/>
  <c r="AX14" i="64" a="1"/>
  <c r="AX14" i="64"/>
  <c r="O16" i="65" a="1"/>
  <c r="O16" i="65"/>
  <c r="AX14" i="69" a="1"/>
  <c r="AX14" i="69"/>
  <c r="S16" i="69" a="1"/>
  <c r="S16" i="69"/>
  <c r="O14" i="69" a="1"/>
  <c r="O14" i="69"/>
  <c r="S17" i="65" a="1"/>
  <c r="S17" i="65"/>
  <c r="K16" i="69" a="1"/>
  <c r="K16" i="69"/>
  <c r="K17" i="65" a="1"/>
  <c r="K17" i="65"/>
  <c r="K15" i="65" a="1"/>
  <c r="K15" i="65"/>
  <c r="K14" i="69" a="1"/>
  <c r="K14" i="69"/>
  <c r="O17" i="69" a="1"/>
  <c r="O17" i="69"/>
  <c r="AX14" i="65" a="1"/>
  <c r="AX14" i="65"/>
  <c r="K15" i="69" a="1"/>
  <c r="K15" i="69"/>
  <c r="S17" i="69" a="1"/>
  <c r="S17" i="69"/>
  <c r="O14" i="65" a="1"/>
  <c r="O14" i="65"/>
  <c r="S16" i="65" a="1"/>
  <c r="S16" i="65"/>
  <c r="O16" i="69" a="1"/>
  <c r="O16" i="69"/>
  <c r="R8" i="64"/>
  <c r="O14" i="64" a="1"/>
  <c r="O14" i="64"/>
  <c r="R6" i="64"/>
  <c r="R7" i="64"/>
  <c r="O17" i="64" a="1"/>
  <c r="O17" i="64"/>
  <c r="AX14" i="71" a="1"/>
  <c r="AX14" i="71"/>
  <c r="O14" i="71" a="1"/>
  <c r="O14" i="71"/>
  <c r="R6" i="71"/>
  <c r="K14" i="71" a="1"/>
  <c r="K14" i="71"/>
  <c r="R8" i="71"/>
  <c r="S14" i="65" a="1"/>
  <c r="S14" i="65"/>
  <c r="K16" i="65" a="1"/>
  <c r="K16" i="65"/>
  <c r="O15" i="71" a="1"/>
  <c r="O15" i="71"/>
  <c r="R7" i="71"/>
  <c r="S15" i="71" a="1"/>
  <c r="S15" i="71"/>
  <c r="O17" i="65" a="1"/>
  <c r="O17" i="65"/>
  <c r="O15" i="65" a="1"/>
  <c r="O15" i="65"/>
  <c r="K15" i="71" a="1"/>
  <c r="K15" i="7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c r="S15" i="64" a="1"/>
  <c r="S15" i="64"/>
  <c r="S14" i="64" a="1"/>
  <c r="S14" i="64"/>
  <c r="K16" i="64" a="1"/>
  <c r="K16" i="64"/>
  <c r="K15" i="64" a="1"/>
  <c r="K15" i="64"/>
  <c r="AX22" i="64" a="1"/>
  <c r="AX22" i="64"/>
  <c r="O15" i="64" a="1"/>
  <c r="O15" i="64"/>
  <c r="K14" i="64" a="1"/>
  <c r="K14" i="64"/>
  <c r="R8" i="65"/>
  <c r="R7" i="65"/>
  <c r="R6" i="65"/>
  <c r="R5" i="65"/>
  <c r="S17" i="64" a="1"/>
  <c r="S17" i="64"/>
  <c r="K17" i="64" a="1"/>
  <c r="K17" i="64"/>
  <c r="O16" i="64" a="1"/>
  <c r="O16" i="64"/>
  <c r="G4" i="29"/>
  <c r="G5" i="29"/>
  <c r="J5" i="32"/>
  <c r="L16" i="70"/>
  <c r="M16" i="70"/>
  <c r="P16" i="70"/>
  <c r="Q16" i="70"/>
  <c r="L14" i="70"/>
  <c r="M14" i="70"/>
  <c r="P14" i="70"/>
  <c r="Q14" i="70"/>
  <c r="L15" i="70"/>
  <c r="M15" i="70"/>
  <c r="P15" i="70"/>
  <c r="Q15" i="70"/>
  <c r="T16" i="70"/>
  <c r="U16" i="70"/>
  <c r="T14" i="70"/>
  <c r="U14" i="70"/>
  <c r="T15" i="70"/>
  <c r="U15" i="70"/>
  <c r="L17" i="70"/>
  <c r="M17" i="70"/>
  <c r="P17" i="70"/>
  <c r="Q17" i="70"/>
  <c r="T17" i="70"/>
  <c r="U17" i="70"/>
  <c r="W16" i="70" a="1"/>
  <c r="W16" i="70"/>
  <c r="W14" i="70" a="1"/>
  <c r="W14" i="70"/>
  <c r="W15" i="70" a="1"/>
  <c r="W17" i="70" a="1"/>
  <c r="W15" i="70"/>
  <c r="W17" i="70"/>
  <c r="X16" i="70"/>
  <c r="Y16" i="70"/>
  <c r="AA16" i="70" a="1"/>
  <c r="AA16" i="70"/>
  <c r="AA14" i="70" a="1"/>
  <c r="AA14" i="70"/>
  <c r="AA15" i="70" a="1"/>
  <c r="AA17" i="70" a="1"/>
  <c r="X14" i="70"/>
  <c r="Y14" i="70"/>
  <c r="X15" i="70"/>
  <c r="Y15" i="70"/>
  <c r="X17" i="70"/>
  <c r="Y17" i="70"/>
  <c r="AA15" i="70"/>
  <c r="AA17" i="70"/>
  <c r="AB16" i="70"/>
  <c r="AC16" i="70"/>
  <c r="AE16" i="70" a="1"/>
  <c r="AE16" i="70"/>
  <c r="AE14" i="70" a="1"/>
  <c r="AE14" i="70"/>
  <c r="AE15" i="70" a="1"/>
  <c r="AE17" i="70" a="1"/>
  <c r="AB14" i="70"/>
  <c r="AC14" i="70"/>
  <c r="AB15" i="70"/>
  <c r="AC15" i="70"/>
  <c r="AB17" i="70"/>
  <c r="AC17" i="70"/>
  <c r="AE15" i="70"/>
  <c r="AE17" i="70"/>
  <c r="AF16" i="70"/>
  <c r="AG16" i="70"/>
  <c r="AF14" i="70"/>
  <c r="AG14" i="70"/>
  <c r="AF15" i="70"/>
  <c r="AG15" i="70"/>
  <c r="AF17" i="70"/>
  <c r="AG17" i="70"/>
  <c r="AI16" i="70"/>
  <c r="AJ16" i="70"/>
  <c r="AI14" i="70"/>
  <c r="AJ14" i="70"/>
  <c r="AI15" i="70"/>
  <c r="AJ15" i="70"/>
  <c r="AI17" i="70"/>
  <c r="AJ17" i="70"/>
  <c r="AL16" i="70"/>
  <c r="AM16" i="70"/>
  <c r="AO16" i="70"/>
  <c r="AP16" i="70"/>
  <c r="AL14" i="70"/>
  <c r="AM14" i="70"/>
  <c r="AO14" i="70"/>
  <c r="AP14" i="70"/>
  <c r="AL17" i="70"/>
  <c r="AM17" i="70"/>
  <c r="AO17" i="70"/>
  <c r="AP17" i="70"/>
  <c r="AR16" i="70"/>
  <c r="AS16" i="70"/>
  <c r="G16" i="70"/>
  <c r="F16" i="70"/>
  <c r="AR14" i="70"/>
  <c r="AS14" i="70"/>
  <c r="G14" i="70"/>
  <c r="F14" i="70"/>
  <c r="AL15" i="70"/>
  <c r="AM15" i="70"/>
  <c r="AO15" i="70"/>
  <c r="AP15" i="70"/>
  <c r="AR15" i="70"/>
  <c r="AS15" i="70"/>
  <c r="G15" i="70"/>
  <c r="F15" i="70"/>
  <c r="AR17" i="70"/>
  <c r="AS17" i="70"/>
  <c r="G17" i="70"/>
  <c r="F17" i="70"/>
  <c r="E16" i="70"/>
  <c r="AY24" i="70"/>
  <c r="AX14" i="61" a="1"/>
  <c r="AX14" i="61"/>
  <c r="R8" i="61"/>
  <c r="O15" i="61" a="1"/>
  <c r="O15" i="61"/>
  <c r="S14" i="61" a="1"/>
  <c r="S14" i="61"/>
  <c r="O17" i="61" a="1"/>
  <c r="O17" i="61"/>
  <c r="AX22" i="61" a="1"/>
  <c r="AX22" i="61"/>
  <c r="K14" i="61" a="1"/>
  <c r="K14" i="61"/>
  <c r="K17" i="61" a="1"/>
  <c r="K17" i="61"/>
  <c r="S17" i="61" a="1"/>
  <c r="S17" i="61"/>
  <c r="O16" i="61" a="1"/>
  <c r="O16" i="61"/>
  <c r="S16" i="61" a="1"/>
  <c r="S16" i="61"/>
  <c r="S15" i="61" a="1"/>
  <c r="S15" i="61"/>
  <c r="K16" i="61" a="1"/>
  <c r="K16" i="61"/>
  <c r="O14" i="61" a="1"/>
  <c r="O14" i="61"/>
  <c r="K15" i="61" a="1"/>
  <c r="K15" i="61"/>
  <c r="E15" i="66"/>
  <c r="AY23" i="66"/>
  <c r="AY22" i="66"/>
  <c r="AY24" i="66"/>
  <c r="L16" i="72"/>
  <c r="M16" i="72"/>
  <c r="P16" i="72"/>
  <c r="Q16" i="72"/>
  <c r="L14" i="72"/>
  <c r="M14" i="72"/>
  <c r="P14" i="72"/>
  <c r="Q14" i="72"/>
  <c r="AY24" i="67"/>
  <c r="G5" i="32"/>
  <c r="L15" i="72"/>
  <c r="M15" i="72"/>
  <c r="P15" i="72"/>
  <c r="AY25" i="69"/>
  <c r="L16" i="69"/>
  <c r="M16" i="69"/>
  <c r="P16" i="69"/>
  <c r="Q16" i="69"/>
  <c r="T16" i="69"/>
  <c r="U16" i="69"/>
  <c r="L14" i="69"/>
  <c r="M14" i="69"/>
  <c r="P14" i="69"/>
  <c r="Q14" i="69"/>
  <c r="T14" i="69"/>
  <c r="U14" i="69"/>
  <c r="L15" i="69"/>
  <c r="M15" i="69"/>
  <c r="P15" i="69"/>
  <c r="Q15" i="69"/>
  <c r="T15" i="69"/>
  <c r="U15" i="69"/>
  <c r="L17" i="69"/>
  <c r="M17" i="69"/>
  <c r="P17" i="69"/>
  <c r="Q17" i="69"/>
  <c r="T17" i="69"/>
  <c r="U17" i="69"/>
  <c r="W16" i="69" a="1"/>
  <c r="W16" i="69"/>
  <c r="W14" i="69" a="1"/>
  <c r="W14" i="69"/>
  <c r="W15" i="69" a="1"/>
  <c r="W17" i="69" a="1"/>
  <c r="W15" i="69"/>
  <c r="W17" i="69"/>
  <c r="X16" i="69"/>
  <c r="Y16" i="69"/>
  <c r="AA16" i="69" a="1"/>
  <c r="AA16" i="69"/>
  <c r="AA14" i="69" a="1"/>
  <c r="AA14" i="69"/>
  <c r="AA15" i="69" a="1"/>
  <c r="AA17" i="69" a="1"/>
  <c r="X14" i="69"/>
  <c r="Y14" i="69"/>
  <c r="X15" i="69"/>
  <c r="Y15" i="69"/>
  <c r="X17" i="69"/>
  <c r="Y17" i="69"/>
  <c r="AA15" i="69"/>
  <c r="AA17" i="69"/>
  <c r="AB16" i="69"/>
  <c r="AC16" i="69"/>
  <c r="AE16" i="69" a="1"/>
  <c r="AE16" i="69"/>
  <c r="AE14" i="69" a="1"/>
  <c r="AE14" i="69"/>
  <c r="AE15" i="69" a="1"/>
  <c r="AE17" i="69" a="1"/>
  <c r="AB14" i="69"/>
  <c r="AC14" i="69"/>
  <c r="AB15" i="69"/>
  <c r="AC15" i="69"/>
  <c r="AB17" i="69"/>
  <c r="AC17" i="69"/>
  <c r="AE15" i="69"/>
  <c r="AE17" i="69"/>
  <c r="AF16" i="69"/>
  <c r="AG16" i="69"/>
  <c r="AF14" i="69"/>
  <c r="AG14" i="69"/>
  <c r="AF17" i="69"/>
  <c r="AG17" i="69"/>
  <c r="AF15" i="69"/>
  <c r="AG15" i="69"/>
  <c r="AI16" i="69"/>
  <c r="AJ16" i="69"/>
  <c r="AI14" i="69"/>
  <c r="AJ14" i="69"/>
  <c r="AI17" i="69"/>
  <c r="AJ17" i="69"/>
  <c r="AL16" i="69"/>
  <c r="AM16" i="69"/>
  <c r="AO16" i="69"/>
  <c r="AP16" i="69"/>
  <c r="AL14" i="69"/>
  <c r="AM14" i="69"/>
  <c r="AO14" i="69"/>
  <c r="AP14" i="69"/>
  <c r="AI15" i="69"/>
  <c r="AJ15" i="69"/>
  <c r="AL15" i="69"/>
  <c r="AM15" i="69"/>
  <c r="AO15" i="69"/>
  <c r="AP15" i="69"/>
  <c r="AL17" i="69"/>
  <c r="AM17" i="69"/>
  <c r="AO17" i="69"/>
  <c r="AP17" i="69"/>
  <c r="AR16" i="69"/>
  <c r="AS16" i="69"/>
  <c r="G16" i="69"/>
  <c r="F16" i="69"/>
  <c r="AR14" i="69"/>
  <c r="AS14" i="69"/>
  <c r="G14" i="69"/>
  <c r="F14" i="69"/>
  <c r="AR15" i="69"/>
  <c r="AS15" i="69"/>
  <c r="G15" i="69"/>
  <c r="F15" i="69"/>
  <c r="AR17" i="69"/>
  <c r="AS17" i="69"/>
  <c r="G17" i="69"/>
  <c r="F17" i="69"/>
  <c r="E16" i="69"/>
  <c r="AY24" i="69"/>
  <c r="E15" i="69"/>
  <c r="AY23" i="69"/>
  <c r="L17" i="72"/>
  <c r="M17" i="72"/>
  <c r="AY22" i="65"/>
  <c r="L17" i="65"/>
  <c r="M17" i="65"/>
  <c r="L16" i="65"/>
  <c r="M16" i="65"/>
  <c r="P16" i="65"/>
  <c r="Q16" i="65"/>
  <c r="T16" i="65"/>
  <c r="U16" i="65"/>
  <c r="L14" i="65"/>
  <c r="M14" i="65"/>
  <c r="P14" i="65"/>
  <c r="Q14" i="65"/>
  <c r="T14" i="65"/>
  <c r="U14" i="65"/>
  <c r="L15" i="65"/>
  <c r="M15" i="65"/>
  <c r="P15" i="65"/>
  <c r="Q15" i="65"/>
  <c r="T15" i="65"/>
  <c r="U15" i="65"/>
  <c r="P17" i="65"/>
  <c r="Q17" i="65"/>
  <c r="T17" i="65"/>
  <c r="U17" i="65"/>
  <c r="W16" i="65" a="1"/>
  <c r="W16" i="65"/>
  <c r="W14" i="65" a="1"/>
  <c r="W14" i="65"/>
  <c r="W15" i="65" a="1"/>
  <c r="W17" i="65" a="1"/>
  <c r="W15" i="65"/>
  <c r="W17" i="65"/>
  <c r="X16" i="65"/>
  <c r="Y16" i="65"/>
  <c r="AA16" i="65" a="1"/>
  <c r="AA16" i="65"/>
  <c r="AA14" i="65" a="1"/>
  <c r="AA14" i="65"/>
  <c r="AA15" i="65" a="1"/>
  <c r="AA17" i="65" a="1"/>
  <c r="X14" i="65"/>
  <c r="Y14" i="65"/>
  <c r="X15" i="65"/>
  <c r="Y15" i="65"/>
  <c r="X17" i="65"/>
  <c r="Y17" i="65"/>
  <c r="AA15" i="65"/>
  <c r="AA17" i="65"/>
  <c r="AB16" i="65"/>
  <c r="AC16" i="65"/>
  <c r="AE16" i="65" a="1"/>
  <c r="AE16" i="65"/>
  <c r="AE14" i="65" a="1"/>
  <c r="AE14" i="65"/>
  <c r="AE15" i="65" a="1"/>
  <c r="AE17" i="65" a="1"/>
  <c r="AB14" i="65"/>
  <c r="AC14" i="65"/>
  <c r="AB15" i="65"/>
  <c r="AC15" i="65"/>
  <c r="AB17" i="65"/>
  <c r="AC17" i="65"/>
  <c r="AE15" i="65"/>
  <c r="AE17" i="65"/>
  <c r="AF16" i="65"/>
  <c r="AG16" i="65"/>
  <c r="AF14" i="65"/>
  <c r="AG14" i="65"/>
  <c r="AF17" i="65"/>
  <c r="AG17" i="65"/>
  <c r="AI16" i="65"/>
  <c r="AJ16" i="65"/>
  <c r="AI14" i="65"/>
  <c r="AJ14" i="65"/>
  <c r="AI17" i="65"/>
  <c r="AJ17" i="65"/>
  <c r="AL16" i="65"/>
  <c r="AM16" i="65"/>
  <c r="AO16" i="65"/>
  <c r="AP16" i="65"/>
  <c r="AL14" i="65"/>
  <c r="AM14" i="65"/>
  <c r="AO14" i="65"/>
  <c r="AP14" i="65"/>
  <c r="AL17" i="65"/>
  <c r="AM17" i="65"/>
  <c r="AO17" i="65"/>
  <c r="AP17" i="65"/>
  <c r="AR16" i="65"/>
  <c r="AS16" i="65"/>
  <c r="G16" i="65"/>
  <c r="F16" i="65"/>
  <c r="AR14" i="65"/>
  <c r="AS14" i="65"/>
  <c r="G14" i="65"/>
  <c r="F14" i="65"/>
  <c r="AF15" i="65"/>
  <c r="AG15" i="65"/>
  <c r="AI15" i="65"/>
  <c r="AJ15" i="65"/>
  <c r="AL15" i="65"/>
  <c r="AM15" i="65"/>
  <c r="AO15" i="65"/>
  <c r="AP15" i="65"/>
  <c r="AR15" i="65"/>
  <c r="AS15" i="65"/>
  <c r="G15" i="65"/>
  <c r="F15" i="65"/>
  <c r="AR17" i="65"/>
  <c r="AS17" i="65"/>
  <c r="G17" i="65"/>
  <c r="F17" i="65"/>
  <c r="E16" i="65"/>
  <c r="AY24" i="65"/>
  <c r="L16" i="71"/>
  <c r="M16" i="71"/>
  <c r="L14" i="71"/>
  <c r="M14" i="71"/>
  <c r="L15" i="71"/>
  <c r="M15" i="71"/>
  <c r="L17" i="71"/>
  <c r="M17" i="71"/>
  <c r="P16" i="71"/>
  <c r="Q16" i="71"/>
  <c r="P15" i="71"/>
  <c r="Q15" i="71"/>
  <c r="P17" i="71"/>
  <c r="Q17" i="71"/>
  <c r="P14" i="71"/>
  <c r="Q14" i="71"/>
  <c r="L17" i="64"/>
  <c r="M17" i="64"/>
  <c r="L16" i="64"/>
  <c r="M16" i="64"/>
  <c r="K17" i="62" a="1"/>
  <c r="K17" i="62"/>
  <c r="AX14" i="62" a="1"/>
  <c r="AX14" i="62"/>
  <c r="O14" i="62" a="1"/>
  <c r="O14" i="62"/>
  <c r="S16" i="62" a="1"/>
  <c r="S16" i="62"/>
  <c r="K15" i="62" a="1"/>
  <c r="K15" i="62"/>
  <c r="S17" i="62" a="1"/>
  <c r="S17" i="62"/>
  <c r="AX22" i="62" a="1"/>
  <c r="AX22" i="62"/>
  <c r="O17" i="62" a="1"/>
  <c r="O17" i="62"/>
  <c r="O15" i="62" a="1"/>
  <c r="O15" i="62"/>
  <c r="K14" i="62" a="1"/>
  <c r="K14" i="62"/>
  <c r="O16" i="62" a="1"/>
  <c r="O16" i="62"/>
  <c r="S14" i="62" a="1"/>
  <c r="S14" i="62"/>
  <c r="S15" i="62" a="1"/>
  <c r="S15" i="62"/>
  <c r="K16" i="62" a="1"/>
  <c r="K16" i="62"/>
  <c r="R5" i="62"/>
  <c r="G17" i="16"/>
  <c r="R7" i="62"/>
  <c r="R8" i="62"/>
  <c r="R6" i="62"/>
  <c r="L14" i="64"/>
  <c r="M14" i="64"/>
  <c r="P14" i="64"/>
  <c r="Q14" i="64"/>
  <c r="L15" i="64"/>
  <c r="M15" i="64"/>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4" i="61"/>
  <c r="M14" i="61"/>
  <c r="P14" i="61"/>
  <c r="Q14" i="61"/>
  <c r="L15" i="61"/>
  <c r="M15" i="61"/>
  <c r="P15" i="61"/>
  <c r="Q15" i="61"/>
  <c r="L16" i="61"/>
  <c r="M16" i="61"/>
  <c r="P16" i="61"/>
  <c r="Q16" i="61"/>
  <c r="L17" i="61"/>
  <c r="M17" i="61"/>
  <c r="P17" i="61"/>
  <c r="Q17" i="61"/>
  <c r="BB6" i="66"/>
  <c r="BB5" i="66"/>
  <c r="BB8" i="66"/>
  <c r="BB7" i="66"/>
  <c r="P17" i="72"/>
  <c r="Q17" i="72"/>
  <c r="T17" i="72"/>
  <c r="U17" i="72"/>
  <c r="P16" i="64"/>
  <c r="Q16" i="64"/>
  <c r="P15" i="64"/>
  <c r="Q15" i="64"/>
  <c r="T15" i="64"/>
  <c r="U15" i="64"/>
  <c r="P17" i="64"/>
  <c r="Q17" i="64"/>
  <c r="T17" i="64"/>
  <c r="U17" i="64"/>
  <c r="Q15" i="72"/>
  <c r="T15" i="72"/>
  <c r="U15" i="72"/>
  <c r="BB5" i="69"/>
  <c r="BB7" i="69"/>
  <c r="BB8" i="69"/>
  <c r="BB6" i="69"/>
  <c r="L16" i="62"/>
  <c r="M16" i="62"/>
  <c r="L15" i="62"/>
  <c r="M15" i="62"/>
  <c r="P16" i="62"/>
  <c r="Q16" i="62"/>
  <c r="L14" i="62"/>
  <c r="M14" i="62"/>
  <c r="L17" i="62"/>
  <c r="M17" i="62"/>
  <c r="P14" i="62"/>
  <c r="Q14" i="62"/>
  <c r="P15" i="62"/>
  <c r="Q15" i="62"/>
  <c r="T16" i="62"/>
  <c r="U16" i="62"/>
  <c r="P17" i="62"/>
  <c r="Q17" i="62"/>
  <c r="T15" i="62"/>
  <c r="U15" i="62"/>
  <c r="T14" i="64"/>
  <c r="U14" i="64"/>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c r="T14" i="71"/>
  <c r="U14" i="71"/>
  <c r="T17" i="71"/>
  <c r="U17" i="71"/>
  <c r="T15" i="71"/>
  <c r="U15" i="71"/>
  <c r="T17" i="61"/>
  <c r="U17" i="61"/>
  <c r="T14" i="61"/>
  <c r="U14" i="61"/>
  <c r="T16" i="61"/>
  <c r="U16" i="61"/>
  <c r="T15" i="61"/>
  <c r="U15" i="61"/>
  <c r="T16" i="72"/>
  <c r="U16" i="72"/>
  <c r="T14" i="72"/>
  <c r="U14" i="72"/>
  <c r="BA22" i="66" a="1"/>
  <c r="BB22" i="66" a="1"/>
  <c r="AZ22" i="66" a="1"/>
  <c r="BC22" i="66" a="1"/>
  <c r="T16" i="64"/>
  <c r="U16" i="64"/>
  <c r="BK14" i="64" a="1"/>
  <c r="AZ22" i="69" a="1"/>
  <c r="AZ24" i="69"/>
  <c r="BA22" i="69" a="1"/>
  <c r="BC22" i="69" a="1"/>
  <c r="BB22" i="69" a="1"/>
  <c r="T14" i="62"/>
  <c r="U14" i="62"/>
  <c r="T17" i="62"/>
  <c r="U17" i="62"/>
  <c r="BK14" i="65" a="1"/>
  <c r="BK16" i="65"/>
  <c r="AE15" i="71" a="1"/>
  <c r="AE15" i="71"/>
  <c r="W14" i="71" a="1"/>
  <c r="W14" i="71"/>
  <c r="AA16" i="71" a="1"/>
  <c r="AA16" i="71"/>
  <c r="W15" i="71" a="1"/>
  <c r="W15" i="71"/>
  <c r="AE14" i="71" a="1"/>
  <c r="AE14" i="71"/>
  <c r="AE16" i="71" a="1"/>
  <c r="AE16" i="71"/>
  <c r="W16" i="71" a="1"/>
  <c r="W16" i="71"/>
  <c r="AA17" i="71" a="1"/>
  <c r="AA17" i="71"/>
  <c r="BK14" i="71" a="1"/>
  <c r="AE17" i="71" a="1"/>
  <c r="AE17" i="71"/>
  <c r="AA14" i="71" a="1"/>
  <c r="AA14" i="71"/>
  <c r="AA15" i="71" a="1"/>
  <c r="AA15" i="71"/>
  <c r="W17" i="71" a="1"/>
  <c r="W17" i="71"/>
  <c r="AE17" i="61" a="1"/>
  <c r="AE17" i="61"/>
  <c r="W17" i="61" a="1"/>
  <c r="W17" i="61"/>
  <c r="W14" i="61" a="1"/>
  <c r="W14" i="61"/>
  <c r="AA16" i="61" a="1"/>
  <c r="AA16" i="61"/>
  <c r="W15" i="61" a="1"/>
  <c r="W15" i="61"/>
  <c r="AE16" i="61" a="1"/>
  <c r="AE16" i="61"/>
  <c r="AA14" i="61" a="1"/>
  <c r="AA14" i="61"/>
  <c r="BK14" i="61" a="1"/>
  <c r="AE14" i="61" a="1"/>
  <c r="AE14" i="61"/>
  <c r="W16" i="61" a="1"/>
  <c r="W16" i="61"/>
  <c r="AA15" i="61" a="1"/>
  <c r="AA15" i="61"/>
  <c r="AA17" i="61" a="1"/>
  <c r="AA17" i="61"/>
  <c r="AE15" i="61" a="1"/>
  <c r="AE15" i="61"/>
  <c r="BK14" i="68" a="1"/>
  <c r="BK14" i="63" a="1"/>
  <c r="AA16" i="72" a="1"/>
  <c r="AA16" i="72"/>
  <c r="AE16" i="72" a="1"/>
  <c r="AE16" i="72"/>
  <c r="AA14" i="72" a="1"/>
  <c r="AA14" i="72"/>
  <c r="AE14" i="72" a="1"/>
  <c r="AE14" i="72"/>
  <c r="AA15" i="72" a="1"/>
  <c r="AA15" i="72"/>
  <c r="AE15" i="72" a="1"/>
  <c r="AE15" i="72"/>
  <c r="W15" i="72" a="1"/>
  <c r="W15" i="72"/>
  <c r="W14" i="72" a="1"/>
  <c r="W14" i="72"/>
  <c r="W16" i="72" a="1"/>
  <c r="W16" i="72"/>
  <c r="W17" i="72" a="1"/>
  <c r="W17" i="72"/>
  <c r="AA17" i="72" a="1"/>
  <c r="AA17" i="72"/>
  <c r="AE17" i="72" a="1"/>
  <c r="AE17" i="72"/>
  <c r="BK14" i="72" a="1"/>
  <c r="BB22" i="66"/>
  <c r="BB23" i="66"/>
  <c r="BB24" i="66"/>
  <c r="BB25" i="66"/>
  <c r="AZ22" i="66"/>
  <c r="AZ23" i="66"/>
  <c r="AZ24" i="66"/>
  <c r="AZ25" i="66"/>
  <c r="BC22" i="66"/>
  <c r="BC23" i="66"/>
  <c r="BC24" i="66"/>
  <c r="BC25" i="66"/>
  <c r="BK14" i="70" a="1"/>
  <c r="BA23" i="66"/>
  <c r="BA24" i="66"/>
  <c r="BA25" i="66"/>
  <c r="BA22" i="66"/>
  <c r="BK14" i="66" a="1"/>
  <c r="AE14" i="64" a="1"/>
  <c r="AE14" i="64"/>
  <c r="AA17" i="64" a="1"/>
  <c r="AA17" i="64"/>
  <c r="BK15" i="65"/>
  <c r="AE15" i="64" a="1"/>
  <c r="AE15" i="64"/>
  <c r="AA14" i="64" a="1"/>
  <c r="AA14" i="64"/>
  <c r="BK14" i="67" a="1"/>
  <c r="BK16" i="67"/>
  <c r="BK14" i="69" a="1"/>
  <c r="BK15" i="69"/>
  <c r="W16" i="64" a="1"/>
  <c r="W16" i="64"/>
  <c r="BK17" i="65"/>
  <c r="BK14" i="65"/>
  <c r="W15" i="64" a="1"/>
  <c r="W15" i="64"/>
  <c r="AE16" i="64" a="1"/>
  <c r="AE16" i="64"/>
  <c r="AA15" i="64" a="1"/>
  <c r="AA15" i="64"/>
  <c r="AE17" i="64" a="1"/>
  <c r="AE17" i="64"/>
  <c r="AA16" i="64" a="1"/>
  <c r="AA16" i="64"/>
  <c r="W17" i="64" a="1"/>
  <c r="W17" i="64"/>
  <c r="W14" i="64" a="1"/>
  <c r="W14" i="64"/>
  <c r="BK15" i="64"/>
  <c r="BK16" i="64"/>
  <c r="BK17" i="64"/>
  <c r="BK14" i="64"/>
  <c r="AA17" i="62" a="1"/>
  <c r="AA17" i="62"/>
  <c r="AZ22" i="69"/>
  <c r="AZ23" i="69"/>
  <c r="W17" i="62" a="1"/>
  <c r="W17" i="62"/>
  <c r="AZ25" i="69"/>
  <c r="AA15" i="62" a="1"/>
  <c r="AA15" i="62"/>
  <c r="BK14" i="62" a="1"/>
  <c r="AE15" i="62" a="1"/>
  <c r="AE15" i="62"/>
  <c r="AA16" i="62" a="1"/>
  <c r="AA16" i="62"/>
  <c r="AA14" i="62" a="1"/>
  <c r="AA14" i="62"/>
  <c r="AE16" i="62" a="1"/>
  <c r="AE16" i="62"/>
  <c r="W14" i="62" a="1"/>
  <c r="W14" i="62"/>
  <c r="W15" i="62" a="1"/>
  <c r="W15" i="62"/>
  <c r="W16" i="62" a="1"/>
  <c r="W16" i="62"/>
  <c r="AE17" i="62" a="1"/>
  <c r="AE17" i="62"/>
  <c r="BC22" i="69"/>
  <c r="BC25" i="69"/>
  <c r="BC24" i="69"/>
  <c r="BC23" i="69"/>
  <c r="BK14" i="67"/>
  <c r="AE14" i="62" a="1"/>
  <c r="AE14" i="62"/>
  <c r="BA22" i="69"/>
  <c r="BA24" i="69"/>
  <c r="BA25" i="69"/>
  <c r="BA23" i="69"/>
  <c r="BB22" i="69"/>
  <c r="BB23" i="69"/>
  <c r="BB24" i="69"/>
  <c r="BB25" i="69"/>
  <c r="X17" i="71"/>
  <c r="Y17" i="71"/>
  <c r="X16" i="71"/>
  <c r="Y16" i="71"/>
  <c r="X15" i="71"/>
  <c r="Y15" i="71"/>
  <c r="X14" i="71"/>
  <c r="Y14" i="71"/>
  <c r="BK17" i="71"/>
  <c r="BK15" i="71"/>
  <c r="BK16" i="71"/>
  <c r="BK14" i="71"/>
  <c r="X14" i="61"/>
  <c r="Y14" i="61"/>
  <c r="X16" i="61"/>
  <c r="Y16" i="61"/>
  <c r="X17" i="61"/>
  <c r="Y17" i="61"/>
  <c r="BK14" i="61"/>
  <c r="BK15" i="61"/>
  <c r="BK16" i="61"/>
  <c r="BK17" i="61"/>
  <c r="X15" i="72"/>
  <c r="Y15" i="72"/>
  <c r="AB15" i="72"/>
  <c r="AC15" i="72"/>
  <c r="X15" i="61"/>
  <c r="Y15" i="61"/>
  <c r="X16" i="72"/>
  <c r="Y16" i="72"/>
  <c r="BK15" i="68"/>
  <c r="BK16" i="68"/>
  <c r="BK17" i="68"/>
  <c r="BK14" i="68"/>
  <c r="X14" i="72"/>
  <c r="Y14" i="72"/>
  <c r="BK17" i="70"/>
  <c r="BK14" i="70"/>
  <c r="BK15" i="70"/>
  <c r="BK16" i="70"/>
  <c r="BE21" i="66" a="1"/>
  <c r="BK14" i="72"/>
  <c r="BK15" i="72"/>
  <c r="BK17" i="72"/>
  <c r="BK16" i="72"/>
  <c r="BK14" i="63"/>
  <c r="BK15" i="63"/>
  <c r="BK16" i="63"/>
  <c r="BK17" i="63"/>
  <c r="BK14" i="66"/>
  <c r="BK16" i="66"/>
  <c r="BK17" i="66"/>
  <c r="BK15" i="66"/>
  <c r="X17" i="72"/>
  <c r="Y17" i="72"/>
  <c r="BX14" i="65" a="1"/>
  <c r="BX14" i="65"/>
  <c r="BZ7" i="65"/>
  <c r="BK17" i="67"/>
  <c r="BK15" i="67"/>
  <c r="BL15" i="65" a="1"/>
  <c r="BL15" i="65"/>
  <c r="BJ14" i="65"/>
  <c r="BL14" i="65"/>
  <c r="BN5" i="65"/>
  <c r="BK14" i="69"/>
  <c r="BK16" i="69"/>
  <c r="X14" i="64"/>
  <c r="Y14" i="64"/>
  <c r="AB14" i="64"/>
  <c r="AC14" i="64"/>
  <c r="BK17" i="69"/>
  <c r="X16" i="64"/>
  <c r="Y16" i="64"/>
  <c r="AB16" i="64"/>
  <c r="AC16" i="64"/>
  <c r="BX14" i="64" a="1"/>
  <c r="BX14" i="64"/>
  <c r="BZ6" i="64"/>
  <c r="BL15" i="64" a="1"/>
  <c r="BL15" i="64"/>
  <c r="BJ14" i="64"/>
  <c r="BL14" i="64"/>
  <c r="BN7" i="64"/>
  <c r="X15" i="64"/>
  <c r="Y15" i="64"/>
  <c r="AB15" i="64"/>
  <c r="AC15" i="64"/>
  <c r="AF15" i="64"/>
  <c r="AG15" i="64"/>
  <c r="X17" i="64"/>
  <c r="Y17" i="64"/>
  <c r="AB17" i="64"/>
  <c r="AC17" i="64"/>
  <c r="X16" i="62"/>
  <c r="Y16" i="62"/>
  <c r="AB16" i="62"/>
  <c r="AC16" i="62"/>
  <c r="AF16" i="62"/>
  <c r="AG16" i="62"/>
  <c r="BE21" i="69" a="1"/>
  <c r="X15" i="62"/>
  <c r="Y15" i="62"/>
  <c r="AB15" i="62"/>
  <c r="AC15" i="62"/>
  <c r="AF15" i="62"/>
  <c r="AG15" i="62"/>
  <c r="BK15" i="62"/>
  <c r="BK14" i="62"/>
  <c r="BK16" i="62"/>
  <c r="BK17" i="62"/>
  <c r="X14" i="62"/>
  <c r="Y14" i="62"/>
  <c r="AB14" i="62"/>
  <c r="AC14" i="62"/>
  <c r="X17" i="62"/>
  <c r="Y17" i="62"/>
  <c r="AB17" i="62"/>
  <c r="AC17" i="62"/>
  <c r="AB15" i="71"/>
  <c r="AC15" i="71"/>
  <c r="AB14" i="61"/>
  <c r="AC14" i="61"/>
  <c r="AB14" i="71"/>
  <c r="AC14" i="71"/>
  <c r="AB16" i="71"/>
  <c r="AC16" i="71"/>
  <c r="BL15" i="71" a="1"/>
  <c r="BL15" i="71"/>
  <c r="BJ14" i="71"/>
  <c r="BL14" i="71"/>
  <c r="BX14" i="71" a="1"/>
  <c r="BX14" i="71"/>
  <c r="AB16" i="72"/>
  <c r="AC16" i="72"/>
  <c r="AB17" i="71"/>
  <c r="AC17" i="71"/>
  <c r="AB17" i="61"/>
  <c r="AC17" i="61"/>
  <c r="BL15" i="61" a="1"/>
  <c r="BL15" i="61"/>
  <c r="BJ14" i="61"/>
  <c r="BL14" i="61"/>
  <c r="BX14" i="61" a="1"/>
  <c r="BX14" i="61"/>
  <c r="AB16" i="61"/>
  <c r="AC16" i="61"/>
  <c r="AB15" i="61"/>
  <c r="AC15" i="61"/>
  <c r="BL15" i="70" a="1"/>
  <c r="BL15" i="70"/>
  <c r="BJ14" i="70"/>
  <c r="BL14" i="70"/>
  <c r="BX14" i="70" a="1"/>
  <c r="BX14" i="70"/>
  <c r="BL15" i="63" a="1"/>
  <c r="BL15" i="63"/>
  <c r="BJ14" i="63"/>
  <c r="BL14" i="63"/>
  <c r="BX14" i="63" a="1"/>
  <c r="BX14" i="63"/>
  <c r="BE21" i="66"/>
  <c r="BF21" i="66"/>
  <c r="BG21" i="66"/>
  <c r="BH21" i="66"/>
  <c r="BX14" i="66" a="1"/>
  <c r="BX14" i="66"/>
  <c r="BL15" i="66" a="1"/>
  <c r="BL15" i="66"/>
  <c r="BJ14" i="66"/>
  <c r="BL14" i="66"/>
  <c r="AB17" i="72"/>
  <c r="AC17" i="72"/>
  <c r="AF15" i="72"/>
  <c r="AG15" i="72"/>
  <c r="AB14" i="72"/>
  <c r="AC14" i="72"/>
  <c r="BX14" i="72" a="1"/>
  <c r="BX14" i="72"/>
  <c r="BL15" i="72" a="1"/>
  <c r="BL15" i="72"/>
  <c r="BJ14" i="72"/>
  <c r="BL14" i="72"/>
  <c r="BL15" i="68" a="1"/>
  <c r="BL15" i="68"/>
  <c r="BJ14" i="68"/>
  <c r="BL14" i="68"/>
  <c r="BX14" i="68" a="1"/>
  <c r="BX14" i="68"/>
  <c r="BN8" i="65"/>
  <c r="BZ5" i="65"/>
  <c r="BZ6" i="65"/>
  <c r="BZ8" i="65"/>
  <c r="BN6" i="65"/>
  <c r="BN7" i="65"/>
  <c r="BL15" i="67" a="1"/>
  <c r="BL15" i="67"/>
  <c r="BJ14" i="67"/>
  <c r="BL14" i="67"/>
  <c r="BN8" i="67"/>
  <c r="BX14" i="67" a="1"/>
  <c r="BX14" i="67"/>
  <c r="BZ8" i="67"/>
  <c r="BZ7" i="64"/>
  <c r="BX14" i="69" a="1"/>
  <c r="BX14" i="69"/>
  <c r="BL15" i="69" a="1"/>
  <c r="BL15" i="69"/>
  <c r="BJ14" i="69"/>
  <c r="BL14" i="69"/>
  <c r="BZ8" i="64"/>
  <c r="BZ5" i="64"/>
  <c r="BN8" i="64"/>
  <c r="BN5" i="64"/>
  <c r="BN6" i="64"/>
  <c r="AF17" i="64"/>
  <c r="AG17" i="64"/>
  <c r="AF17" i="62"/>
  <c r="AG17" i="62"/>
  <c r="AI17" i="62"/>
  <c r="AJ17" i="62"/>
  <c r="AF14" i="62"/>
  <c r="AG14" i="62"/>
  <c r="AI14" i="62"/>
  <c r="AJ14" i="62"/>
  <c r="AF16" i="64"/>
  <c r="AG16" i="64"/>
  <c r="AF14" i="64"/>
  <c r="AG14" i="64"/>
  <c r="AI14" i="64"/>
  <c r="AJ14" i="64"/>
  <c r="BE21" i="69"/>
  <c r="BF21" i="69"/>
  <c r="BG21" i="69"/>
  <c r="BH21" i="69"/>
  <c r="BX14" i="62" a="1"/>
  <c r="BX14" i="62"/>
  <c r="BL15" i="62" a="1"/>
  <c r="BL15" i="62"/>
  <c r="BJ14" i="62"/>
  <c r="BL14" i="62"/>
  <c r="AF17" i="71"/>
  <c r="AG17" i="71"/>
  <c r="AF15" i="71"/>
  <c r="AG15" i="71"/>
  <c r="BZ6" i="71"/>
  <c r="BZ7" i="71"/>
  <c r="BZ8" i="71"/>
  <c r="BZ5" i="71"/>
  <c r="AF16" i="71"/>
  <c r="AG16" i="71"/>
  <c r="AF14" i="71"/>
  <c r="AG14" i="71"/>
  <c r="AI14" i="71"/>
  <c r="AJ14" i="71"/>
  <c r="BN5" i="71"/>
  <c r="BN8" i="71"/>
  <c r="BN7" i="71"/>
  <c r="BN6" i="71"/>
  <c r="AF15" i="61"/>
  <c r="AG15" i="61"/>
  <c r="AF14" i="61"/>
  <c r="AG14" i="61"/>
  <c r="AF16" i="61"/>
  <c r="AG16" i="61"/>
  <c r="AF17" i="61"/>
  <c r="AG17" i="61"/>
  <c r="AI15" i="61"/>
  <c r="AJ15" i="61"/>
  <c r="BZ6" i="61"/>
  <c r="BZ8" i="61"/>
  <c r="BZ5" i="61"/>
  <c r="BZ7" i="61"/>
  <c r="BN8" i="61"/>
  <c r="BN7" i="61"/>
  <c r="BN6" i="61"/>
  <c r="BN5" i="61"/>
  <c r="AF14" i="72"/>
  <c r="AG14" i="72"/>
  <c r="AF17" i="72"/>
  <c r="AG17" i="72"/>
  <c r="AI15" i="62"/>
  <c r="AJ15" i="62"/>
  <c r="AI16" i="62"/>
  <c r="AJ16" i="62"/>
  <c r="BZ7" i="68"/>
  <c r="BZ6" i="68"/>
  <c r="BZ5" i="68"/>
  <c r="BZ8" i="68"/>
  <c r="BN7" i="66"/>
  <c r="BN6" i="66"/>
  <c r="BN8" i="66"/>
  <c r="BN5" i="66"/>
  <c r="BN6" i="68"/>
  <c r="BN7" i="68"/>
  <c r="BN5" i="68"/>
  <c r="BN8" i="68"/>
  <c r="BZ7" i="66"/>
  <c r="BZ6" i="66"/>
  <c r="BZ8" i="66"/>
  <c r="BZ5" i="66"/>
  <c r="BZ6" i="63"/>
  <c r="BZ5" i="63"/>
  <c r="BZ8" i="63"/>
  <c r="BZ7" i="63"/>
  <c r="AF16" i="72"/>
  <c r="AG16" i="72"/>
  <c r="AI15" i="72"/>
  <c r="AJ15" i="72"/>
  <c r="BN6" i="63"/>
  <c r="BN7" i="63"/>
  <c r="BN8" i="63"/>
  <c r="BN5" i="63"/>
  <c r="BE22" i="66" a="1"/>
  <c r="BN8" i="72"/>
  <c r="BN7" i="72"/>
  <c r="BN5" i="72"/>
  <c r="BN6" i="72"/>
  <c r="AI16" i="64"/>
  <c r="AJ16" i="64"/>
  <c r="BZ8" i="70"/>
  <c r="BZ6" i="70"/>
  <c r="BZ7" i="70"/>
  <c r="BZ5" i="70"/>
  <c r="BZ8" i="72"/>
  <c r="BZ7" i="72"/>
  <c r="BZ5" i="72"/>
  <c r="BZ6" i="72"/>
  <c r="BN5" i="70"/>
  <c r="BN6" i="70"/>
  <c r="BN8" i="70"/>
  <c r="BN7" i="70"/>
  <c r="BN5" i="67"/>
  <c r="BN6" i="67"/>
  <c r="BN7" i="67"/>
  <c r="BZ7" i="67"/>
  <c r="BZ6" i="67"/>
  <c r="BZ5" i="67"/>
  <c r="BN8" i="69"/>
  <c r="BN5" i="69"/>
  <c r="BN7" i="69"/>
  <c r="BN6" i="69"/>
  <c r="BZ5" i="69"/>
  <c r="BZ6" i="69"/>
  <c r="BZ8" i="69"/>
  <c r="BZ7" i="69"/>
  <c r="AI14" i="61"/>
  <c r="AJ14" i="61"/>
  <c r="AI17" i="61"/>
  <c r="AJ17" i="61"/>
  <c r="AL14" i="61"/>
  <c r="AM14" i="61"/>
  <c r="AI16" i="71"/>
  <c r="AJ16" i="71"/>
  <c r="AI15" i="64"/>
  <c r="AJ15" i="64"/>
  <c r="AL15" i="64"/>
  <c r="AM15" i="64"/>
  <c r="AI17" i="64"/>
  <c r="AJ17" i="64"/>
  <c r="AL17" i="64"/>
  <c r="AM17" i="64"/>
  <c r="AI15" i="71"/>
  <c r="AJ15" i="71"/>
  <c r="AL15" i="71"/>
  <c r="AM15" i="71"/>
  <c r="AO15" i="71"/>
  <c r="AP15" i="71"/>
  <c r="AI16" i="61"/>
  <c r="AJ16" i="61"/>
  <c r="AI17" i="71"/>
  <c r="AJ17" i="71"/>
  <c r="AL17" i="71"/>
  <c r="AM17" i="71"/>
  <c r="AO17" i="71"/>
  <c r="AP17" i="71"/>
  <c r="BE22" i="69" a="1"/>
  <c r="BN7" i="62"/>
  <c r="BN6" i="62"/>
  <c r="BN8" i="62"/>
  <c r="BN5" i="62"/>
  <c r="BZ6" i="62"/>
  <c r="BZ7" i="62"/>
  <c r="BZ5" i="62"/>
  <c r="BZ8" i="62"/>
  <c r="AL15" i="61"/>
  <c r="AM15" i="61"/>
  <c r="AO15" i="61"/>
  <c r="AP15" i="61"/>
  <c r="AL15" i="62"/>
  <c r="AM15" i="62"/>
  <c r="AL17" i="62"/>
  <c r="AM17" i="62"/>
  <c r="AI17" i="72"/>
  <c r="AJ17" i="72"/>
  <c r="AL16" i="62"/>
  <c r="AM16" i="62"/>
  <c r="AL16" i="64"/>
  <c r="AM16" i="64"/>
  <c r="AL14" i="64"/>
  <c r="AM14" i="64"/>
  <c r="AI14" i="72"/>
  <c r="AJ14" i="72"/>
  <c r="AI16" i="72"/>
  <c r="AJ16" i="72"/>
  <c r="AL15" i="72"/>
  <c r="AM15" i="72"/>
  <c r="BG22" i="66"/>
  <c r="BG24" i="66"/>
  <c r="BH22" i="66"/>
  <c r="BH24" i="66"/>
  <c r="BE23" i="66"/>
  <c r="BE25" i="66"/>
  <c r="BF23" i="66"/>
  <c r="BF25" i="66"/>
  <c r="BG23" i="66"/>
  <c r="BG25" i="66"/>
  <c r="BH23" i="66"/>
  <c r="BH25" i="66"/>
  <c r="BE22" i="66"/>
  <c r="BE24" i="66"/>
  <c r="BF22" i="66"/>
  <c r="BF24" i="66"/>
  <c r="AL14" i="62"/>
  <c r="AM14" i="62"/>
  <c r="AL16" i="61"/>
  <c r="AM16" i="61"/>
  <c r="AO16" i="61"/>
  <c r="AP16" i="61"/>
  <c r="AL16" i="71"/>
  <c r="AM16" i="71"/>
  <c r="AO16" i="71"/>
  <c r="AP16" i="71"/>
  <c r="AL14" i="71"/>
  <c r="AM14" i="71"/>
  <c r="BE25" i="69"/>
  <c r="BF23" i="69"/>
  <c r="BF22" i="69"/>
  <c r="BF25" i="69"/>
  <c r="BF24" i="69"/>
  <c r="BG22" i="69"/>
  <c r="BG23" i="69"/>
  <c r="BG25" i="69"/>
  <c r="BG24" i="69"/>
  <c r="BH22" i="69"/>
  <c r="BH23" i="69"/>
  <c r="BH24" i="69"/>
  <c r="BH25" i="69"/>
  <c r="BE23" i="69"/>
  <c r="BE22" i="69"/>
  <c r="BE24" i="69"/>
  <c r="AL17" i="61"/>
  <c r="AM17" i="61"/>
  <c r="AO14" i="61"/>
  <c r="AP14" i="61"/>
  <c r="AO15" i="64"/>
  <c r="AP15" i="64"/>
  <c r="AO14" i="62"/>
  <c r="AP14" i="62"/>
  <c r="AU14" i="62" a="1"/>
  <c r="AU14" i="62"/>
  <c r="AU14" i="69" a="1"/>
  <c r="AU14" i="69"/>
  <c r="AO15" i="62"/>
  <c r="AP15" i="62"/>
  <c r="AL16" i="72"/>
  <c r="AM16" i="72"/>
  <c r="AO14" i="64"/>
  <c r="AP14" i="64"/>
  <c r="AU14" i="64" a="1"/>
  <c r="AU14" i="64"/>
  <c r="AO17" i="62"/>
  <c r="AP17" i="62"/>
  <c r="AL14" i="72"/>
  <c r="AM14" i="72"/>
  <c r="AU14" i="65" a="1"/>
  <c r="AU14" i="65"/>
  <c r="AO16" i="62"/>
  <c r="AP16" i="62"/>
  <c r="AO17" i="64"/>
  <c r="AP17" i="64"/>
  <c r="AO15" i="72"/>
  <c r="AP15" i="72"/>
  <c r="AO16" i="64"/>
  <c r="AP16" i="64"/>
  <c r="AL17" i="72"/>
  <c r="AM17" i="72"/>
  <c r="AU14" i="61" a="1"/>
  <c r="AU14" i="61"/>
  <c r="C4" i="16"/>
  <c r="E4" i="16"/>
  <c r="AU14" i="67" a="1"/>
  <c r="AU14" i="67"/>
  <c r="C15" i="16"/>
  <c r="E15" i="16"/>
  <c r="AO14" i="71"/>
  <c r="AP14" i="71"/>
  <c r="AU14" i="71" a="1"/>
  <c r="AU14" i="71"/>
  <c r="AO17" i="61"/>
  <c r="AP17" i="61"/>
  <c r="AR14" i="61"/>
  <c r="AS14" i="61"/>
  <c r="G14" i="61"/>
  <c r="F14" i="61"/>
  <c r="AR14" i="62"/>
  <c r="AS14" i="62"/>
  <c r="G14" i="62"/>
  <c r="F14" i="62"/>
  <c r="AR15" i="62"/>
  <c r="AS15" i="62"/>
  <c r="G15" i="62"/>
  <c r="F15" i="62"/>
  <c r="AO17" i="72"/>
  <c r="AP17" i="72"/>
  <c r="AU14" i="63" a="1"/>
  <c r="AU14" i="63"/>
  <c r="AO14" i="72"/>
  <c r="AP14" i="72"/>
  <c r="AU14" i="72" a="1"/>
  <c r="AU14" i="72"/>
  <c r="AU14" i="68" a="1"/>
  <c r="AU14" i="68"/>
  <c r="AR15" i="64"/>
  <c r="AS15" i="64"/>
  <c r="G15" i="64"/>
  <c r="F15" i="64"/>
  <c r="AR16" i="64"/>
  <c r="AS16" i="64"/>
  <c r="G16" i="64"/>
  <c r="F16" i="64"/>
  <c r="AR17" i="64"/>
  <c r="AS17" i="64"/>
  <c r="G17" i="64"/>
  <c r="F17" i="64"/>
  <c r="AR14" i="64"/>
  <c r="AS14" i="64"/>
  <c r="G14" i="64"/>
  <c r="F14" i="64"/>
  <c r="E8" i="33"/>
  <c r="C5" i="16"/>
  <c r="AU14" i="70" a="1"/>
  <c r="AU14" i="70"/>
  <c r="C10" i="16"/>
  <c r="E10" i="16"/>
  <c r="T8" i="33"/>
  <c r="C12" i="16"/>
  <c r="E12" i="16"/>
  <c r="Z8" i="33"/>
  <c r="W8" i="33"/>
  <c r="C11" i="16"/>
  <c r="E11" i="16"/>
  <c r="AR16" i="62"/>
  <c r="AS16" i="62"/>
  <c r="G16" i="62"/>
  <c r="F16" i="62"/>
  <c r="AU14" i="66" a="1"/>
  <c r="AU14" i="66"/>
  <c r="AR17" i="62"/>
  <c r="AS17" i="62"/>
  <c r="G17" i="62"/>
  <c r="F17" i="62"/>
  <c r="AO16" i="72"/>
  <c r="AP16" i="72"/>
  <c r="B8" i="33"/>
  <c r="AI8" i="33"/>
  <c r="AR14" i="71"/>
  <c r="AS14" i="71"/>
  <c r="G14" i="71"/>
  <c r="F14" i="71"/>
  <c r="AR15" i="71"/>
  <c r="AS15" i="71"/>
  <c r="G15" i="71"/>
  <c r="F15" i="71"/>
  <c r="AR17" i="71"/>
  <c r="AS17" i="71"/>
  <c r="G17" i="71"/>
  <c r="F17" i="71"/>
  <c r="AR16" i="71"/>
  <c r="AS16" i="71"/>
  <c r="G16" i="71"/>
  <c r="F16" i="71"/>
  <c r="Q8" i="33"/>
  <c r="C9" i="16"/>
  <c r="E9" i="16"/>
  <c r="F9" i="16"/>
  <c r="E15" i="71"/>
  <c r="AY23" i="71"/>
  <c r="E17" i="62"/>
  <c r="AY16" i="69"/>
  <c r="E14" i="62"/>
  <c r="AY22" i="62"/>
  <c r="E16" i="62"/>
  <c r="E15" i="62"/>
  <c r="E14" i="69"/>
  <c r="AY15" i="69"/>
  <c r="E17" i="69"/>
  <c r="AY17" i="69"/>
  <c r="E16" i="67"/>
  <c r="AY16" i="67"/>
  <c r="E15" i="65"/>
  <c r="AY15" i="67"/>
  <c r="E14" i="67"/>
  <c r="E16" i="64"/>
  <c r="F4" i="16"/>
  <c r="E17" i="67"/>
  <c r="F15" i="16"/>
  <c r="AR17" i="61"/>
  <c r="AS17" i="61"/>
  <c r="G17" i="61"/>
  <c r="F17" i="61"/>
  <c r="AR16" i="61"/>
  <c r="AS16" i="61"/>
  <c r="G16" i="61"/>
  <c r="F16" i="61"/>
  <c r="AR15" i="61"/>
  <c r="AS15" i="61"/>
  <c r="G15" i="61"/>
  <c r="F15" i="61"/>
  <c r="AR17" i="72"/>
  <c r="AS17" i="72"/>
  <c r="G17" i="72"/>
  <c r="F17" i="72"/>
  <c r="AR14" i="72"/>
  <c r="AS14" i="72"/>
  <c r="G14" i="72"/>
  <c r="F14" i="72"/>
  <c r="AR15" i="72"/>
  <c r="AS15" i="72"/>
  <c r="G15" i="72"/>
  <c r="F15" i="72"/>
  <c r="E14" i="65"/>
  <c r="AY16" i="65"/>
  <c r="C14" i="16"/>
  <c r="E14" i="16"/>
  <c r="AF8" i="33"/>
  <c r="E14" i="64"/>
  <c r="AY22" i="64"/>
  <c r="H11" i="16"/>
  <c r="F11" i="16"/>
  <c r="H10" i="16"/>
  <c r="F10" i="16"/>
  <c r="C7" i="16"/>
  <c r="E7" i="16"/>
  <c r="K8" i="33"/>
  <c r="E5" i="16"/>
  <c r="E17" i="64"/>
  <c r="H8" i="33"/>
  <c r="C6" i="16"/>
  <c r="E6" i="16"/>
  <c r="E17" i="65"/>
  <c r="F12" i="16"/>
  <c r="C13" i="16"/>
  <c r="E13" i="16"/>
  <c r="AC8" i="33"/>
  <c r="AR16" i="72"/>
  <c r="AS16" i="72"/>
  <c r="G16" i="72"/>
  <c r="F16" i="72"/>
  <c r="E15" i="64"/>
  <c r="N8" i="33"/>
  <c r="C8" i="16"/>
  <c r="E8" i="16"/>
  <c r="E16" i="71"/>
  <c r="AY16" i="71"/>
  <c r="AY17" i="67"/>
  <c r="AY25" i="67"/>
  <c r="AY14" i="67"/>
  <c r="BO6" i="67"/>
  <c r="AY22" i="67"/>
  <c r="AY17" i="62"/>
  <c r="AY25" i="62"/>
  <c r="AY17" i="64"/>
  <c r="AY25" i="64"/>
  <c r="AY16" i="64"/>
  <c r="AY24" i="64"/>
  <c r="AY24" i="71"/>
  <c r="AY17" i="65"/>
  <c r="AY25" i="65"/>
  <c r="AY15" i="65"/>
  <c r="AY23" i="65"/>
  <c r="E17" i="71"/>
  <c r="AY15" i="71"/>
  <c r="E14" i="71"/>
  <c r="AY23" i="62"/>
  <c r="AY15" i="62"/>
  <c r="AY24" i="62"/>
  <c r="AY16" i="62"/>
  <c r="AY15" i="64"/>
  <c r="AY23" i="64"/>
  <c r="AY16" i="70"/>
  <c r="E15" i="61"/>
  <c r="E16" i="61"/>
  <c r="E17" i="61"/>
  <c r="E14" i="61"/>
  <c r="AY22" i="61"/>
  <c r="E14" i="70"/>
  <c r="AY22" i="70"/>
  <c r="E15" i="70"/>
  <c r="AY15" i="70"/>
  <c r="E17" i="70"/>
  <c r="E16" i="68"/>
  <c r="D23" i="62"/>
  <c r="D25" i="62"/>
  <c r="D24" i="62"/>
  <c r="AY14" i="62"/>
  <c r="D22" i="62"/>
  <c r="D23" i="69"/>
  <c r="D24" i="69"/>
  <c r="D25" i="69"/>
  <c r="D22" i="69"/>
  <c r="AY14" i="69"/>
  <c r="E14" i="68"/>
  <c r="AY22" i="68"/>
  <c r="AY15" i="68"/>
  <c r="E17" i="68"/>
  <c r="E16" i="72"/>
  <c r="E16" i="66"/>
  <c r="AY16" i="66"/>
  <c r="G4" i="16"/>
  <c r="D25" i="67"/>
  <c r="D24" i="67"/>
  <c r="D22" i="67"/>
  <c r="D23" i="67"/>
  <c r="E17" i="63"/>
  <c r="E14" i="66"/>
  <c r="AY14" i="66"/>
  <c r="E14" i="72"/>
  <c r="AY22" i="72"/>
  <c r="AY16" i="63"/>
  <c r="E17" i="72"/>
  <c r="E15" i="72"/>
  <c r="F13" i="16"/>
  <c r="AY17" i="66"/>
  <c r="F5" i="16"/>
  <c r="F7" i="16"/>
  <c r="AY15" i="66"/>
  <c r="E15" i="63"/>
  <c r="D24" i="64"/>
  <c r="D23" i="64"/>
  <c r="D25" i="64"/>
  <c r="D22" i="64"/>
  <c r="AY14" i="64"/>
  <c r="F14" i="16"/>
  <c r="E14" i="63"/>
  <c r="AY22" i="63"/>
  <c r="D4" i="16"/>
  <c r="H8" i="16"/>
  <c r="F8" i="16"/>
  <c r="D24" i="65"/>
  <c r="D22" i="65"/>
  <c r="D25" i="65"/>
  <c r="D23" i="65"/>
  <c r="AY14" i="65"/>
  <c r="F6" i="16"/>
  <c r="BO7" i="67"/>
  <c r="CA6" i="67"/>
  <c r="BA7" i="67"/>
  <c r="CA5" i="67"/>
  <c r="BO5" i="67"/>
  <c r="CA7" i="67"/>
  <c r="BO8" i="67"/>
  <c r="BA5" i="67"/>
  <c r="BA6" i="67"/>
  <c r="BA8" i="67"/>
  <c r="BB5" i="64"/>
  <c r="CA8" i="67"/>
  <c r="BB8" i="64"/>
  <c r="AY17" i="68"/>
  <c r="AY25" i="68"/>
  <c r="BB7" i="62"/>
  <c r="BB7" i="67"/>
  <c r="BB5" i="67"/>
  <c r="BB6" i="67"/>
  <c r="BB8" i="67"/>
  <c r="AY17" i="70"/>
  <c r="AY25" i="70"/>
  <c r="BB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c r="G6" i="16"/>
  <c r="G14" i="16"/>
  <c r="G7" i="16"/>
  <c r="G8" i="16"/>
  <c r="G5" i="16"/>
  <c r="G13" i="16"/>
  <c r="D23" i="61"/>
  <c r="D24" i="61"/>
  <c r="D25" i="61"/>
  <c r="D22" i="61"/>
  <c r="AY14" i="61"/>
  <c r="D22" i="70"/>
  <c r="D24" i="70"/>
  <c r="D23" i="70"/>
  <c r="D25" i="70"/>
  <c r="AY14" i="70"/>
  <c r="F22" i="62"/>
  <c r="H21" i="62" a="1"/>
  <c r="G22" i="62"/>
  <c r="E3" i="33"/>
  <c r="N22" i="62"/>
  <c r="E22" i="62"/>
  <c r="CA6" i="62"/>
  <c r="BA6" i="62"/>
  <c r="BA8" i="62"/>
  <c r="BO8" i="62"/>
  <c r="CA8" i="62"/>
  <c r="BA7" i="62"/>
  <c r="BO6" i="62"/>
  <c r="BO5" i="62"/>
  <c r="BA5" i="62"/>
  <c r="CA5" i="62"/>
  <c r="BO7" i="62"/>
  <c r="CA7" i="62"/>
  <c r="F24" i="62"/>
  <c r="G24" i="62"/>
  <c r="C5" i="45"/>
  <c r="E5" i="33"/>
  <c r="E24" i="62"/>
  <c r="N24" i="62"/>
  <c r="E6" i="33"/>
  <c r="G25" i="62"/>
  <c r="E25" i="62"/>
  <c r="F25" i="62"/>
  <c r="N25" i="62"/>
  <c r="N23" i="62"/>
  <c r="F23" i="62"/>
  <c r="E23" i="62"/>
  <c r="G23" i="62"/>
  <c r="E4" i="33"/>
  <c r="BO8" i="69"/>
  <c r="CA6" i="69"/>
  <c r="BO6" i="69"/>
  <c r="BA5" i="69"/>
  <c r="BO7" i="69"/>
  <c r="CA7" i="69"/>
  <c r="CA5" i="69"/>
  <c r="BO5" i="69"/>
  <c r="BA6" i="69"/>
  <c r="BA7" i="69"/>
  <c r="CA8" i="69"/>
  <c r="BA8" i="69"/>
  <c r="G22" i="69"/>
  <c r="N22" i="69"/>
  <c r="E22" i="69"/>
  <c r="Z3" i="33"/>
  <c r="H21" i="69" a="1"/>
  <c r="F22" i="69"/>
  <c r="G25" i="69"/>
  <c r="E25" i="69"/>
  <c r="Z6" i="33"/>
  <c r="F25" i="69"/>
  <c r="N25" i="69"/>
  <c r="G24" i="69"/>
  <c r="N24" i="69"/>
  <c r="Z5" i="33"/>
  <c r="C12" i="45"/>
  <c r="E24" i="69"/>
  <c r="F24" i="69"/>
  <c r="G23" i="69"/>
  <c r="F23" i="69"/>
  <c r="Z4" i="33"/>
  <c r="N23" i="69"/>
  <c r="E23" i="69"/>
  <c r="D25" i="68"/>
  <c r="D23" i="68"/>
  <c r="D24" i="68"/>
  <c r="D22" i="68"/>
  <c r="AY14" i="68"/>
  <c r="H13" i="16"/>
  <c r="N23" i="67"/>
  <c r="F23" i="67"/>
  <c r="E23" i="67"/>
  <c r="G23" i="67"/>
  <c r="AI4" i="33"/>
  <c r="E24" i="67"/>
  <c r="N24" i="67"/>
  <c r="F24" i="67"/>
  <c r="G24" i="67"/>
  <c r="AI5" i="33"/>
  <c r="C15" i="45"/>
  <c r="AI6" i="33"/>
  <c r="G25" i="67"/>
  <c r="N25" i="67"/>
  <c r="E25" i="67"/>
  <c r="F25" i="67"/>
  <c r="F22" i="67"/>
  <c r="E22" i="67"/>
  <c r="AI3" i="33"/>
  <c r="G22" i="67"/>
  <c r="N22" i="67"/>
  <c r="H21" i="67" a="1"/>
  <c r="BA6" i="65"/>
  <c r="CA5" i="65"/>
  <c r="BA5" i="65"/>
  <c r="BA8" i="65"/>
  <c r="BA7" i="65"/>
  <c r="BO8" i="65"/>
  <c r="BO5" i="65"/>
  <c r="CA7" i="65"/>
  <c r="BO6" i="65"/>
  <c r="CA8" i="65"/>
  <c r="BO7" i="65"/>
  <c r="CA6" i="65"/>
  <c r="G23" i="65"/>
  <c r="N23" i="65"/>
  <c r="E23" i="65"/>
  <c r="W4" i="33"/>
  <c r="F23" i="65"/>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E22" i="65"/>
  <c r="W3" i="33"/>
  <c r="H21" i="65" a="1"/>
  <c r="N22" i="65"/>
  <c r="F25" i="64"/>
  <c r="N25" i="64"/>
  <c r="E25" i="64"/>
  <c r="T6" i="33"/>
  <c r="G25" i="64"/>
  <c r="G22" i="64"/>
  <c r="E22" i="64"/>
  <c r="T3" i="33"/>
  <c r="H21" i="64" a="1"/>
  <c r="F22" i="64"/>
  <c r="N22" i="64"/>
  <c r="T4" i="33"/>
  <c r="G23" i="64"/>
  <c r="N23" i="64"/>
  <c r="F23" i="64"/>
  <c r="E23" i="64"/>
  <c r="W6" i="33"/>
  <c r="N25" i="65"/>
  <c r="E25" i="65"/>
  <c r="G25" i="65"/>
  <c r="F25" i="65"/>
  <c r="C11" i="45"/>
  <c r="F24" i="65"/>
  <c r="G24" i="65"/>
  <c r="E24" i="65"/>
  <c r="N24" i="65"/>
  <c r="W5" i="33"/>
  <c r="N24" i="64"/>
  <c r="C10" i="45"/>
  <c r="E24" i="64"/>
  <c r="T5" i="33"/>
  <c r="F24" i="64"/>
  <c r="G24" i="64"/>
  <c r="D22" i="72"/>
  <c r="D24" i="72"/>
  <c r="D23" i="72"/>
  <c r="D25" i="72"/>
  <c r="AY14" i="72"/>
  <c r="D24" i="63"/>
  <c r="D22" i="63"/>
  <c r="D25" i="63"/>
  <c r="D23" i="63"/>
  <c r="AY14" i="63"/>
  <c r="D24" i="66"/>
  <c r="D25" i="66"/>
  <c r="D22" i="66"/>
  <c r="D23" i="66"/>
  <c r="CC14" i="67" a="1"/>
  <c r="BZ14" i="67" a="1"/>
  <c r="CA14" i="67" a="1"/>
  <c r="CB14" i="67" a="1"/>
  <c r="BP14" i="67" a="1"/>
  <c r="BP15" i="67"/>
  <c r="BQ14" i="67" a="1"/>
  <c r="BN14" i="67" a="1"/>
  <c r="BN16" i="67"/>
  <c r="BO14" i="67" a="1"/>
  <c r="BO17" i="67"/>
  <c r="BB14" i="67" a="1"/>
  <c r="BB16" i="67"/>
  <c r="AZ14" i="67" a="1"/>
  <c r="AZ17" i="67"/>
  <c r="BC14" i="67" a="1"/>
  <c r="BC14" i="67"/>
  <c r="BA14" i="67" a="1"/>
  <c r="BA17" i="67"/>
  <c r="BB5" i="68"/>
  <c r="BB8" i="61"/>
  <c r="BB5" i="72"/>
  <c r="BB8" i="68"/>
  <c r="BB6" i="68"/>
  <c r="BB8" i="63"/>
  <c r="BC22" i="64" a="1"/>
  <c r="BC25" i="64"/>
  <c r="BA22" i="62" a="1"/>
  <c r="BA24" i="62"/>
  <c r="BB7" i="70"/>
  <c r="BB8" i="70"/>
  <c r="AZ22" i="62" a="1"/>
  <c r="AZ22" i="62"/>
  <c r="BB6" i="70"/>
  <c r="BC22" i="67" a="1"/>
  <c r="BB22" i="67" a="1"/>
  <c r="AZ22" i="67" a="1"/>
  <c r="BA22" i="67" a="1"/>
  <c r="AZ22" i="65" a="1"/>
  <c r="BA22" i="65" a="1"/>
  <c r="BC22" i="65" a="1"/>
  <c r="BB22" i="65" a="1"/>
  <c r="BB7" i="68"/>
  <c r="BB5" i="61"/>
  <c r="F22" i="71"/>
  <c r="E22" i="71"/>
  <c r="H21" i="71" a="1"/>
  <c r="G22" i="71"/>
  <c r="N22" i="71"/>
  <c r="Q3" i="33"/>
  <c r="F23" i="71"/>
  <c r="Q4" i="33"/>
  <c r="E23" i="71"/>
  <c r="G23" i="71"/>
  <c r="N23" i="71"/>
  <c r="C9" i="45"/>
  <c r="F24" i="71"/>
  <c r="N24" i="71"/>
  <c r="E24" i="71"/>
  <c r="G24" i="71"/>
  <c r="Q5" i="33"/>
  <c r="BB22" i="64" a="1"/>
  <c r="BB23" i="64"/>
  <c r="BB7" i="71"/>
  <c r="BB6" i="71"/>
  <c r="BB5" i="71"/>
  <c r="BB8" i="71"/>
  <c r="BB22" i="62" a="1"/>
  <c r="BB24" i="62"/>
  <c r="BB7" i="63"/>
  <c r="BC22" i="62" a="1"/>
  <c r="BC23" i="62"/>
  <c r="CA6" i="71"/>
  <c r="BA8" i="71"/>
  <c r="BO7" i="71"/>
  <c r="BA5" i="71"/>
  <c r="BA7" i="71"/>
  <c r="CA5" i="71"/>
  <c r="BO5" i="71"/>
  <c r="CA8" i="71"/>
  <c r="BA6" i="71"/>
  <c r="BO6" i="71"/>
  <c r="BO8" i="71"/>
  <c r="CA7" i="71"/>
  <c r="G25" i="71"/>
  <c r="Q6" i="33"/>
  <c r="F25" i="71"/>
  <c r="N25" i="71"/>
  <c r="E25" i="71"/>
  <c r="BB7" i="72"/>
  <c r="BB6" i="72"/>
  <c r="H5" i="16"/>
  <c r="BB8" i="72"/>
  <c r="H4" i="16"/>
  <c r="H15" i="16"/>
  <c r="BA22" i="64" a="1"/>
  <c r="BA25" i="64"/>
  <c r="BB6" i="61"/>
  <c r="H6" i="16"/>
  <c r="BB7" i="61"/>
  <c r="BB5" i="63"/>
  <c r="BB6" i="63"/>
  <c r="AZ22" i="64" a="1"/>
  <c r="H14" i="16"/>
  <c r="H7" i="16"/>
  <c r="H9" i="16"/>
  <c r="CA6" i="61"/>
  <c r="BA5" i="61"/>
  <c r="BO8" i="61"/>
  <c r="CA5" i="61"/>
  <c r="BO7" i="61"/>
  <c r="BA6" i="61"/>
  <c r="BO5" i="61"/>
  <c r="BA8" i="61"/>
  <c r="CA7" i="61"/>
  <c r="CA8" i="61"/>
  <c r="BA7" i="61"/>
  <c r="BO6" i="61"/>
  <c r="E22" i="61"/>
  <c r="G22" i="61"/>
  <c r="F22" i="61"/>
  <c r="B3" i="33"/>
  <c r="N22" i="61"/>
  <c r="H21" i="61" a="1"/>
  <c r="E25" i="61"/>
  <c r="B6" i="33"/>
  <c r="F25" i="61"/>
  <c r="N25" i="61"/>
  <c r="G25" i="61"/>
  <c r="F24" i="61"/>
  <c r="E24" i="61"/>
  <c r="B5" i="33"/>
  <c r="N24" i="61"/>
  <c r="G24" i="61"/>
  <c r="C4" i="45"/>
  <c r="G23" i="61"/>
  <c r="B4" i="33"/>
  <c r="E23" i="61"/>
  <c r="N23" i="61"/>
  <c r="F23" i="61"/>
  <c r="BA8" i="70"/>
  <c r="CA7" i="70"/>
  <c r="BA6" i="70"/>
  <c r="BO8" i="70"/>
  <c r="CA5" i="70"/>
  <c r="CA8" i="70"/>
  <c r="BO6" i="70"/>
  <c r="BO7" i="70"/>
  <c r="BA5" i="70"/>
  <c r="BO5" i="70"/>
  <c r="BA7" i="70"/>
  <c r="CA6" i="70"/>
  <c r="N25" i="70"/>
  <c r="F25" i="70"/>
  <c r="G25" i="70"/>
  <c r="K6" i="33"/>
  <c r="E25" i="70"/>
  <c r="E23" i="70"/>
  <c r="G23" i="70"/>
  <c r="N23" i="70"/>
  <c r="K4" i="33"/>
  <c r="F23" i="70"/>
  <c r="E24" i="70"/>
  <c r="N24" i="70"/>
  <c r="K5" i="33"/>
  <c r="F24" i="70"/>
  <c r="G24" i="70"/>
  <c r="C7" i="45"/>
  <c r="N22" i="70"/>
  <c r="F22" i="70"/>
  <c r="K3" i="33"/>
  <c r="H21" i="70" a="1"/>
  <c r="E22" i="70"/>
  <c r="G22" i="70"/>
  <c r="G5" i="45"/>
  <c r="L22" i="62"/>
  <c r="F3" i="33"/>
  <c r="F5" i="45"/>
  <c r="L23" i="62"/>
  <c r="F4" i="33"/>
  <c r="L24" i="62"/>
  <c r="F5" i="33"/>
  <c r="D5" i="45"/>
  <c r="BZ14" i="62" a="1"/>
  <c r="CB14" i="62" a="1"/>
  <c r="CA14" i="62" a="1"/>
  <c r="CC14" i="62" a="1"/>
  <c r="K21" i="62"/>
  <c r="J21" i="62"/>
  <c r="H21" i="62"/>
  <c r="I21" i="62"/>
  <c r="BB14" i="62" a="1"/>
  <c r="AZ14" i="62" a="1"/>
  <c r="BA14" i="62" a="1"/>
  <c r="BC14" i="62" a="1"/>
  <c r="K5" i="45"/>
  <c r="L5" i="45"/>
  <c r="BN14" i="62" a="1"/>
  <c r="BQ14" i="62" a="1"/>
  <c r="BP14" i="62" a="1"/>
  <c r="BO14" i="62" a="1"/>
  <c r="F6" i="33"/>
  <c r="L25" i="62"/>
  <c r="AA3" i="33"/>
  <c r="L22" i="69"/>
  <c r="BP14" i="69" a="1"/>
  <c r="BO14" i="69" a="1"/>
  <c r="BN14" i="69" a="1"/>
  <c r="BQ14" i="69" a="1"/>
  <c r="BZ14" i="69" a="1"/>
  <c r="CB14" i="69" a="1"/>
  <c r="CA14" i="69" a="1"/>
  <c r="CC14" i="69" a="1"/>
  <c r="G12" i="45"/>
  <c r="BB14" i="69" a="1"/>
  <c r="AZ14" i="69" a="1"/>
  <c r="BA14" i="69" a="1"/>
  <c r="BC14" i="69" a="1"/>
  <c r="F12" i="45"/>
  <c r="D12" i="45"/>
  <c r="L24" i="69"/>
  <c r="AA5" i="33"/>
  <c r="H21" i="69"/>
  <c r="I21" i="69"/>
  <c r="J21" i="69"/>
  <c r="K21" i="69"/>
  <c r="AA4" i="33"/>
  <c r="L23" i="69"/>
  <c r="K12" i="45"/>
  <c r="L12" i="45"/>
  <c r="AA6" i="33"/>
  <c r="L25" i="69"/>
  <c r="CA6" i="68"/>
  <c r="BO8" i="68"/>
  <c r="BA6" i="68"/>
  <c r="BO6" i="68"/>
  <c r="CA5" i="68"/>
  <c r="CA7" i="68"/>
  <c r="BO5" i="68"/>
  <c r="BA5" i="68"/>
  <c r="BA8" i="68"/>
  <c r="BO7" i="68"/>
  <c r="BA7" i="68"/>
  <c r="CA8" i="68"/>
  <c r="H21" i="68" a="1"/>
  <c r="G22" i="68"/>
  <c r="N22" i="68"/>
  <c r="E22" i="68"/>
  <c r="AF3" i="33"/>
  <c r="F22" i="68"/>
  <c r="AF5" i="33"/>
  <c r="C14" i="45"/>
  <c r="N24" i="68"/>
  <c r="E24" i="68"/>
  <c r="F24" i="68"/>
  <c r="G24" i="68"/>
  <c r="N23" i="68"/>
  <c r="F23" i="68"/>
  <c r="E23" i="68"/>
  <c r="G23" i="68"/>
  <c r="AF4" i="33"/>
  <c r="N25" i="68"/>
  <c r="F25" i="68"/>
  <c r="AF6" i="33"/>
  <c r="E25" i="68"/>
  <c r="G25" i="68"/>
  <c r="CA15" i="67"/>
  <c r="CA14" i="67"/>
  <c r="CA16" i="67"/>
  <c r="CA17" i="67"/>
  <c r="AJ5" i="33"/>
  <c r="D15" i="45"/>
  <c r="L24" i="67"/>
  <c r="K21" i="67"/>
  <c r="I21" i="67"/>
  <c r="H21" i="67"/>
  <c r="J21" i="67"/>
  <c r="CB14" i="67"/>
  <c r="CB17" i="67"/>
  <c r="CB15" i="67"/>
  <c r="CB16" i="67"/>
  <c r="BZ16" i="67"/>
  <c r="BZ14" i="67"/>
  <c r="BZ15" i="67"/>
  <c r="BZ17" i="67"/>
  <c r="CC17" i="67"/>
  <c r="CC15" i="67"/>
  <c r="CC16" i="67"/>
  <c r="CC14" i="67"/>
  <c r="K15" i="45"/>
  <c r="L15" i="45"/>
  <c r="AJ4" i="33"/>
  <c r="L23" i="67"/>
  <c r="BQ14" i="67"/>
  <c r="BQ15" i="67"/>
  <c r="BQ17" i="67"/>
  <c r="BQ16" i="67"/>
  <c r="G15" i="45"/>
  <c r="L22" i="67"/>
  <c r="AJ3" i="33"/>
  <c r="AJ6" i="33"/>
  <c r="L25" i="67"/>
  <c r="F15" i="45"/>
  <c r="G25" i="66"/>
  <c r="N25" i="66"/>
  <c r="E25" i="66"/>
  <c r="F25" i="66"/>
  <c r="AC6" i="33"/>
  <c r="G10" i="45"/>
  <c r="L25" i="65"/>
  <c r="X6" i="33"/>
  <c r="BB14" i="64" a="1"/>
  <c r="AZ14" i="64" a="1"/>
  <c r="BA14" i="64" a="1"/>
  <c r="BC14" i="64" a="1"/>
  <c r="X4" i="33"/>
  <c r="L23" i="65"/>
  <c r="BB14" i="65" a="1"/>
  <c r="AZ14" i="65" a="1"/>
  <c r="BA14" i="65" a="1"/>
  <c r="BC14" i="65" a="1"/>
  <c r="G23" i="66"/>
  <c r="F23" i="66"/>
  <c r="N23" i="66"/>
  <c r="AC4" i="33"/>
  <c r="E23" i="66"/>
  <c r="N6" i="33"/>
  <c r="E25" i="72"/>
  <c r="G25" i="72"/>
  <c r="F25" i="72"/>
  <c r="N25" i="72"/>
  <c r="G24" i="66"/>
  <c r="C13" i="45"/>
  <c r="N24" i="66"/>
  <c r="AC5" i="33"/>
  <c r="E24" i="66"/>
  <c r="F24" i="66"/>
  <c r="E23" i="72"/>
  <c r="F23" i="72"/>
  <c r="N23" i="72"/>
  <c r="G23" i="72"/>
  <c r="N4" i="33"/>
  <c r="F10" i="45"/>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L24" i="65"/>
  <c r="X5" i="33"/>
  <c r="I21" i="64"/>
  <c r="J21" i="64"/>
  <c r="K21" i="64"/>
  <c r="H21" i="64"/>
  <c r="BA14" i="66" a="1"/>
  <c r="BC14" i="66" a="1"/>
  <c r="AZ14" i="66" a="1"/>
  <c r="BB14" i="66" a="1"/>
  <c r="N22" i="66"/>
  <c r="H21" i="66" a="1"/>
  <c r="F22" i="66"/>
  <c r="AC3" i="33"/>
  <c r="E22" i="66"/>
  <c r="G22" i="66"/>
  <c r="E22" i="72"/>
  <c r="G22" i="72"/>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G11" i="45"/>
  <c r="G25" i="63"/>
  <c r="F25" i="63"/>
  <c r="N25" i="63"/>
  <c r="E25" i="63"/>
  <c r="H6" i="33"/>
  <c r="F11" i="45"/>
  <c r="E11" i="45"/>
  <c r="BO14" i="65" a="1"/>
  <c r="BQ14" i="65" a="1"/>
  <c r="BP14" i="65" a="1"/>
  <c r="BN14" i="65" a="1"/>
  <c r="E23" i="63"/>
  <c r="G23" i="63"/>
  <c r="N23" i="63"/>
  <c r="F23" i="63"/>
  <c r="H4" i="33"/>
  <c r="D10" i="45"/>
  <c r="L24" i="64"/>
  <c r="U5" i="33"/>
  <c r="L22" i="64"/>
  <c r="U3" i="33"/>
  <c r="G22" i="63"/>
  <c r="H3" i="33"/>
  <c r="N22" i="63"/>
  <c r="H21" i="63" a="1"/>
  <c r="E22" i="63"/>
  <c r="F22" i="63"/>
  <c r="K10" i="45"/>
  <c r="L10" i="45"/>
  <c r="L11" i="45"/>
  <c r="K11" i="45"/>
  <c r="L25" i="64"/>
  <c r="U6" i="33"/>
  <c r="CB14" i="64" a="1"/>
  <c r="CA14" i="64" a="1"/>
  <c r="CC14" i="64" a="1"/>
  <c r="BZ14" i="64" a="1"/>
  <c r="E24" i="63"/>
  <c r="F24" i="63"/>
  <c r="G24" i="63"/>
  <c r="H5" i="33"/>
  <c r="C6" i="45"/>
  <c r="N24" i="63"/>
  <c r="X3" i="33"/>
  <c r="L22" i="65"/>
  <c r="BN14" i="67"/>
  <c r="BP16" i="67"/>
  <c r="BP14" i="67"/>
  <c r="BP17" i="67"/>
  <c r="BO16" i="67"/>
  <c r="BN15" i="67"/>
  <c r="BN17" i="67"/>
  <c r="BO15" i="67"/>
  <c r="BO14" i="67"/>
  <c r="BB14" i="67"/>
  <c r="BB15" i="67"/>
  <c r="BB17" i="67"/>
  <c r="AZ15" i="67"/>
  <c r="AZ14" i="67"/>
  <c r="AZ16" i="67"/>
  <c r="BA16" i="67"/>
  <c r="BC17" i="67"/>
  <c r="BC15" i="67"/>
  <c r="BA14" i="67"/>
  <c r="BC16" i="67"/>
  <c r="BA15" i="67"/>
  <c r="E12" i="45"/>
  <c r="H12" i="45"/>
  <c r="BC24" i="64"/>
  <c r="AZ25" i="62"/>
  <c r="AZ24" i="62"/>
  <c r="AZ23" i="62"/>
  <c r="BA22" i="62"/>
  <c r="BA23" i="62"/>
  <c r="BA25" i="62"/>
  <c r="BA22" i="68" a="1"/>
  <c r="BA23" i="68"/>
  <c r="BC23" i="64"/>
  <c r="BB25" i="64"/>
  <c r="BB22" i="68" a="1"/>
  <c r="BB23" i="68"/>
  <c r="BC25" i="62"/>
  <c r="BC22" i="62"/>
  <c r="AZ22" i="70" a="1"/>
  <c r="AZ22" i="70"/>
  <c r="BB22" i="64"/>
  <c r="BC22" i="64"/>
  <c r="BA22" i="61" a="1"/>
  <c r="BA24" i="61"/>
  <c r="BB24" i="64"/>
  <c r="BC22" i="68" a="1"/>
  <c r="BC24" i="68"/>
  <c r="BA22" i="72" a="1"/>
  <c r="BA23" i="72"/>
  <c r="AZ22" i="68" a="1"/>
  <c r="AZ22" i="68"/>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c r="AZ22" i="72" a="1"/>
  <c r="AZ22" i="72"/>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c r="R6" i="33"/>
  <c r="L25" i="71"/>
  <c r="L24" i="71"/>
  <c r="R5" i="33"/>
  <c r="D9" i="45"/>
  <c r="L22" i="71"/>
  <c r="R3" i="33"/>
  <c r="BB23" i="62"/>
  <c r="BB22" i="61" a="1"/>
  <c r="BB23" i="61"/>
  <c r="BB22" i="71" a="1"/>
  <c r="BA22" i="71" a="1"/>
  <c r="AZ22" i="71" a="1"/>
  <c r="BC22" i="71" a="1"/>
  <c r="BB25" i="62"/>
  <c r="F9" i="45"/>
  <c r="BB22" i="62"/>
  <c r="L9" i="45"/>
  <c r="K9" i="45"/>
  <c r="BP14" i="71" a="1"/>
  <c r="BN14" i="71" a="1"/>
  <c r="BQ14" i="71" a="1"/>
  <c r="BO14" i="71" a="1"/>
  <c r="BB22" i="72" a="1"/>
  <c r="BB22" i="72"/>
  <c r="BZ14" i="71" a="1"/>
  <c r="CB14" i="71" a="1"/>
  <c r="CA14" i="71" a="1"/>
  <c r="CC14" i="71" a="1"/>
  <c r="BC22" i="72" a="1"/>
  <c r="BC24" i="72"/>
  <c r="G9" i="45"/>
  <c r="R4" i="33"/>
  <c r="L23" i="71"/>
  <c r="BA23" i="64"/>
  <c r="BA22" i="64"/>
  <c r="AZ22" i="64"/>
  <c r="AZ23" i="64"/>
  <c r="AZ24" i="64"/>
  <c r="AZ25" i="64"/>
  <c r="BC22" i="63" a="1"/>
  <c r="BA22" i="63" a="1"/>
  <c r="AZ22" i="63" a="1"/>
  <c r="BB22" i="63" a="1"/>
  <c r="K13" i="16"/>
  <c r="J4" i="16"/>
  <c r="B7" i="33"/>
  <c r="Z7" i="33"/>
  <c r="E5" i="45"/>
  <c r="H5" i="45"/>
  <c r="BO14" i="61" a="1"/>
  <c r="BQ14" i="61" a="1"/>
  <c r="BN14" i="61" a="1"/>
  <c r="L23" i="61"/>
  <c r="C4" i="33"/>
  <c r="F4" i="45"/>
  <c r="C3" i="33"/>
  <c r="L22" i="61"/>
  <c r="I21" i="61"/>
  <c r="J21" i="61"/>
  <c r="K21" i="61"/>
  <c r="H21" i="61"/>
  <c r="BP14" i="61" a="1"/>
  <c r="BZ14" i="61" a="1"/>
  <c r="CA14" i="61" a="1"/>
  <c r="CC14" i="61" a="1"/>
  <c r="CB14" i="61" a="1"/>
  <c r="K4" i="45"/>
  <c r="L4" i="45"/>
  <c r="L25" i="61"/>
  <c r="C6" i="33"/>
  <c r="G4" i="45"/>
  <c r="BB14" i="61" a="1"/>
  <c r="BC14" i="61" a="1"/>
  <c r="AZ14" i="61" a="1"/>
  <c r="BA14" i="61" a="1"/>
  <c r="L24" i="61"/>
  <c r="C5" i="33"/>
  <c r="D4" i="45"/>
  <c r="F7" i="45"/>
  <c r="CA14" i="70" a="1"/>
  <c r="CC14" i="70" a="1"/>
  <c r="CB14" i="70" a="1"/>
  <c r="BZ14" i="70" a="1"/>
  <c r="L23" i="70"/>
  <c r="L4" i="33"/>
  <c r="D7" i="45"/>
  <c r="L24" i="70"/>
  <c r="L5" i="33"/>
  <c r="L6" i="33"/>
  <c r="L25" i="70"/>
  <c r="BQ14" i="70" a="1"/>
  <c r="BN14" i="70" a="1"/>
  <c r="BO14" i="70" a="1"/>
  <c r="BP14" i="70" a="1"/>
  <c r="BA14" i="70" a="1"/>
  <c r="BC14" i="70" a="1"/>
  <c r="AZ14" i="70" a="1"/>
  <c r="BB14" i="70" a="1"/>
  <c r="K7" i="45"/>
  <c r="L7" i="45"/>
  <c r="L3" i="33"/>
  <c r="L22" i="70"/>
  <c r="G7" i="45"/>
  <c r="J21" i="70"/>
  <c r="K21" i="70"/>
  <c r="I21" i="70"/>
  <c r="H21" i="70"/>
  <c r="CB14" i="62"/>
  <c r="CB16" i="62"/>
  <c r="CB15" i="62"/>
  <c r="CB17" i="62"/>
  <c r="F43" i="33"/>
  <c r="E43" i="33"/>
  <c r="N80" i="22"/>
  <c r="J77" i="22"/>
  <c r="BZ17" i="62"/>
  <c r="BZ14" i="62"/>
  <c r="BZ16" i="62"/>
  <c r="BZ15" i="62"/>
  <c r="E45" i="33"/>
  <c r="F45" i="33"/>
  <c r="BC16" i="62"/>
  <c r="BC14" i="62"/>
  <c r="BC15" i="62"/>
  <c r="BC17" i="62"/>
  <c r="BA16" i="62"/>
  <c r="BA17" i="62"/>
  <c r="BA14" i="62"/>
  <c r="BA15" i="62"/>
  <c r="H22" i="62" a="1"/>
  <c r="BO17" i="62"/>
  <c r="BO14" i="62"/>
  <c r="BO15" i="62"/>
  <c r="BO16" i="62"/>
  <c r="AZ17" i="62"/>
  <c r="AZ14" i="62"/>
  <c r="AZ15" i="62"/>
  <c r="AZ16" i="62"/>
  <c r="BP14" i="62"/>
  <c r="BP15" i="62"/>
  <c r="BP17" i="62"/>
  <c r="BP16" i="62"/>
  <c r="BB15" i="62"/>
  <c r="BB16" i="62"/>
  <c r="BB14" i="62"/>
  <c r="BB17" i="62"/>
  <c r="E44" i="33"/>
  <c r="F44" i="33"/>
  <c r="E42" i="33"/>
  <c r="N79" i="22"/>
  <c r="I89" i="22"/>
  <c r="F42" i="33"/>
  <c r="BQ15" i="62"/>
  <c r="BQ16" i="62"/>
  <c r="BQ14" i="62"/>
  <c r="BQ17" i="62"/>
  <c r="CC16" i="62"/>
  <c r="CC17" i="62"/>
  <c r="CC14" i="62"/>
  <c r="CC15" i="62"/>
  <c r="BN15" i="62"/>
  <c r="BN17" i="62"/>
  <c r="BN14" i="62"/>
  <c r="BN16" i="62"/>
  <c r="CA15" i="62"/>
  <c r="CA16" i="62"/>
  <c r="CA17" i="62"/>
  <c r="CA14" i="62"/>
  <c r="BZ14" i="69"/>
  <c r="BZ16" i="69"/>
  <c r="BZ17" i="69"/>
  <c r="BZ15" i="69"/>
  <c r="H22" i="69" a="1"/>
  <c r="BQ16" i="69"/>
  <c r="BQ17" i="69"/>
  <c r="BQ14" i="69"/>
  <c r="BQ15" i="69"/>
  <c r="BN17" i="69"/>
  <c r="BN14" i="69"/>
  <c r="BN15" i="69"/>
  <c r="BN16" i="69"/>
  <c r="Z43" i="33"/>
  <c r="N94" i="22"/>
  <c r="J82" i="22"/>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c r="I81" i="22"/>
  <c r="BB14" i="69"/>
  <c r="BB16" i="69"/>
  <c r="BB15" i="69"/>
  <c r="BB17" i="69"/>
  <c r="CB16" i="69"/>
  <c r="CB15" i="69"/>
  <c r="CB14" i="69"/>
  <c r="CB17" i="69"/>
  <c r="L23" i="68"/>
  <c r="AG4" i="33"/>
  <c r="BB14" i="68" a="1"/>
  <c r="BC14" i="68" a="1"/>
  <c r="BA14" i="68" a="1"/>
  <c r="AZ14" i="68" a="1"/>
  <c r="AG6" i="33"/>
  <c r="L25" i="68"/>
  <c r="K14" i="45"/>
  <c r="L14" i="45"/>
  <c r="BO14" i="68" a="1"/>
  <c r="BP14" i="68" a="1"/>
  <c r="BQ14" i="68" a="1"/>
  <c r="BN14" i="68" a="1"/>
  <c r="K21" i="68"/>
  <c r="I21" i="68"/>
  <c r="H21" i="68"/>
  <c r="J21" i="68"/>
  <c r="CA14" i="68" a="1"/>
  <c r="CB14" i="68" a="1"/>
  <c r="CC14" i="68" a="1"/>
  <c r="BZ14" i="68" a="1"/>
  <c r="G14" i="45"/>
  <c r="F14" i="45"/>
  <c r="AG5" i="33"/>
  <c r="L24" i="68"/>
  <c r="D14" i="45"/>
  <c r="L22" i="68"/>
  <c r="AG3" i="33"/>
  <c r="E10" i="45"/>
  <c r="H10" i="45"/>
  <c r="E15" i="45"/>
  <c r="H15" i="45"/>
  <c r="H22" i="67" a="1"/>
  <c r="AI44" i="33"/>
  <c r="AJ44" i="33"/>
  <c r="AJ45" i="33"/>
  <c r="AI45" i="33"/>
  <c r="CE13" i="67" a="1"/>
  <c r="AK92" i="73"/>
  <c r="AI43" i="33"/>
  <c r="N100" i="22"/>
  <c r="J87" i="22"/>
  <c r="AJ43" i="33"/>
  <c r="AJ42" i="33"/>
  <c r="AI42" i="33"/>
  <c r="N99" i="22"/>
  <c r="I84" i="22"/>
  <c r="I3" i="33"/>
  <c r="L22" i="63"/>
  <c r="BN16" i="65"/>
  <c r="BN17" i="65"/>
  <c r="BN14" i="65"/>
  <c r="BN15" i="65"/>
  <c r="BP14" i="66"/>
  <c r="BP15" i="66"/>
  <c r="BP16" i="66"/>
  <c r="BP17" i="66"/>
  <c r="I21" i="66"/>
  <c r="J21" i="66"/>
  <c r="K21" i="66"/>
  <c r="H21" i="66"/>
  <c r="H11" i="45"/>
  <c r="CC16" i="65"/>
  <c r="CC14" i="65"/>
  <c r="CC17" i="65"/>
  <c r="CC15" i="65"/>
  <c r="O4" i="33"/>
  <c r="L23" i="72"/>
  <c r="W43" i="33"/>
  <c r="N92" i="22"/>
  <c r="J90" i="22"/>
  <c r="X43" i="33"/>
  <c r="L25" i="66"/>
  <c r="AD6" i="33"/>
  <c r="CA16" i="64"/>
  <c r="CA17" i="64"/>
  <c r="CA14" i="64"/>
  <c r="CA15" i="64"/>
  <c r="BN14" i="66"/>
  <c r="BN15" i="66"/>
  <c r="BN16" i="66"/>
  <c r="BN17" i="66"/>
  <c r="G13" i="45"/>
  <c r="I21" i="63"/>
  <c r="K21" i="63"/>
  <c r="J21" i="63"/>
  <c r="H21" i="63"/>
  <c r="BP14" i="65"/>
  <c r="BP15" i="65"/>
  <c r="BP16" i="65"/>
  <c r="BP17" i="65"/>
  <c r="L25" i="63"/>
  <c r="I6" i="33"/>
  <c r="BQ17" i="66"/>
  <c r="BQ14" i="66"/>
  <c r="BQ15" i="66"/>
  <c r="BQ16" i="66"/>
  <c r="H22" i="64" a="1"/>
  <c r="AZ14" i="63" a="1"/>
  <c r="BB14" i="63" a="1"/>
  <c r="BA14" i="63" a="1"/>
  <c r="BC14" i="63" a="1"/>
  <c r="BZ15" i="66"/>
  <c r="BZ17" i="66"/>
  <c r="BZ14" i="66"/>
  <c r="BZ16" i="66"/>
  <c r="F13" i="45"/>
  <c r="BQ17" i="65"/>
  <c r="BQ14" i="65"/>
  <c r="BQ15" i="65"/>
  <c r="BQ16" i="65"/>
  <c r="G8" i="45"/>
  <c r="BA14" i="72" a="1"/>
  <c r="BB14" i="72" a="1"/>
  <c r="AZ14" i="72" a="1"/>
  <c r="BC14" i="72" a="1"/>
  <c r="BO14" i="66"/>
  <c r="BO15" i="66"/>
  <c r="BO16" i="66"/>
  <c r="BO17" i="66"/>
  <c r="CB16" i="66"/>
  <c r="CB14" i="66"/>
  <c r="CB17" i="66"/>
  <c r="CB15" i="66"/>
  <c r="D13" i="45"/>
  <c r="L24" i="66"/>
  <c r="AD5" i="33"/>
  <c r="W45" i="33"/>
  <c r="X45" i="33"/>
  <c r="F6" i="45"/>
  <c r="D6" i="45"/>
  <c r="I5" i="33"/>
  <c r="L24" i="63"/>
  <c r="CB14" i="64"/>
  <c r="CB16" i="64"/>
  <c r="CB17" i="64"/>
  <c r="CB15" i="64"/>
  <c r="K6" i="45"/>
  <c r="L6" i="45"/>
  <c r="U45" i="33"/>
  <c r="T45" i="33"/>
  <c r="I4" i="33"/>
  <c r="L23" i="63"/>
  <c r="BO14" i="65"/>
  <c r="BO15" i="65"/>
  <c r="BO16" i="65"/>
  <c r="BO17" i="65"/>
  <c r="F8" i="45"/>
  <c r="BN16" i="64"/>
  <c r="BN15" i="64"/>
  <c r="BN14" i="64"/>
  <c r="BN17" i="64"/>
  <c r="H22" i="65" a="1"/>
  <c r="I21" i="72"/>
  <c r="H21" i="72"/>
  <c r="K21" i="72"/>
  <c r="J21" i="72"/>
  <c r="AD3" i="33"/>
  <c r="L22" i="66"/>
  <c r="BB14" i="66"/>
  <c r="BB16" i="66"/>
  <c r="BB15" i="66"/>
  <c r="BB17" i="66"/>
  <c r="CB14" i="63" a="1"/>
  <c r="CA14" i="63" a="1"/>
  <c r="CC14" i="63" a="1"/>
  <c r="BZ14" i="63" a="1"/>
  <c r="CC17" i="66"/>
  <c r="CC15" i="66"/>
  <c r="CC16" i="66"/>
  <c r="CC14" i="66"/>
  <c r="BC14" i="64"/>
  <c r="BC17" i="64"/>
  <c r="BC16" i="64"/>
  <c r="BC15" i="64"/>
  <c r="X42" i="33"/>
  <c r="W42" i="33"/>
  <c r="N91" i="22"/>
  <c r="I88" i="22"/>
  <c r="L22" i="72"/>
  <c r="O3" i="33"/>
  <c r="BB16" i="65"/>
  <c r="BB14" i="65"/>
  <c r="BB17" i="65"/>
  <c r="BB15" i="65"/>
  <c r="T44" i="33"/>
  <c r="U44" i="33"/>
  <c r="D8" i="45"/>
  <c r="L24" i="72"/>
  <c r="O5" i="33"/>
  <c r="BQ15" i="64"/>
  <c r="BQ16" i="64"/>
  <c r="BQ17" i="64"/>
  <c r="BQ14" i="64"/>
  <c r="AZ14" i="66"/>
  <c r="AZ17" i="66"/>
  <c r="AZ16" i="66"/>
  <c r="AZ15" i="66"/>
  <c r="CA17" i="66"/>
  <c r="CA15" i="66"/>
  <c r="CA14" i="66"/>
  <c r="CA16" i="66"/>
  <c r="L25" i="72"/>
  <c r="O6" i="33"/>
  <c r="BC15" i="65"/>
  <c r="BC17" i="65"/>
  <c r="BC14" i="65"/>
  <c r="BC16" i="65"/>
  <c r="BA15" i="64"/>
  <c r="BA16" i="64"/>
  <c r="BA17" i="64"/>
  <c r="BA14" i="64"/>
  <c r="T42" i="33"/>
  <c r="N89" i="22"/>
  <c r="I86" i="22"/>
  <c r="U42" i="33"/>
  <c r="CC14" i="72" a="1"/>
  <c r="CA14" i="72" a="1"/>
  <c r="CB14" i="72" a="1"/>
  <c r="BZ14" i="72" a="1"/>
  <c r="CB16" i="65"/>
  <c r="CB14" i="65"/>
  <c r="CB17" i="65"/>
  <c r="CB15" i="65"/>
  <c r="G6" i="45"/>
  <c r="BZ16" i="64"/>
  <c r="BZ14" i="64"/>
  <c r="BZ17" i="64"/>
  <c r="BZ15" i="64"/>
  <c r="BP14" i="72" a="1"/>
  <c r="BO14" i="72" a="1"/>
  <c r="BQ14" i="72" a="1"/>
  <c r="BN14" i="72" a="1"/>
  <c r="BO17" i="64"/>
  <c r="BO14" i="64"/>
  <c r="BO15" i="64"/>
  <c r="BO16" i="64"/>
  <c r="BC15" i="66"/>
  <c r="BC17" i="66"/>
  <c r="BC16" i="66"/>
  <c r="BC14" i="66"/>
  <c r="BZ14" i="65"/>
  <c r="BZ16" i="65"/>
  <c r="BZ15" i="65"/>
  <c r="BZ17" i="65"/>
  <c r="BA16" i="65"/>
  <c r="BA17" i="65"/>
  <c r="BA14" i="65"/>
  <c r="BA15" i="65"/>
  <c r="AZ16" i="64"/>
  <c r="AZ15" i="64"/>
  <c r="AZ14" i="64"/>
  <c r="AZ17" i="64"/>
  <c r="CC15" i="64"/>
  <c r="CC17" i="64"/>
  <c r="CC14" i="64"/>
  <c r="CC16" i="64"/>
  <c r="L8" i="45"/>
  <c r="K8" i="45"/>
  <c r="BP14" i="64"/>
  <c r="BP15" i="64"/>
  <c r="BP16" i="64"/>
  <c r="BP17" i="64"/>
  <c r="BA17" i="66"/>
  <c r="BA14" i="66"/>
  <c r="BA15" i="66"/>
  <c r="BA16" i="66"/>
  <c r="X44" i="33"/>
  <c r="W44" i="33"/>
  <c r="BP14" i="63" a="1"/>
  <c r="BQ14" i="63" a="1"/>
  <c r="BO14" i="63" a="1"/>
  <c r="BN14" i="63" a="1"/>
  <c r="CA17" i="65"/>
  <c r="CA15" i="65"/>
  <c r="CA14" i="65"/>
  <c r="CA16" i="65"/>
  <c r="T43" i="33"/>
  <c r="N90" i="22"/>
  <c r="J92" i="22"/>
  <c r="U43" i="33"/>
  <c r="L13" i="45"/>
  <c r="K13" i="45"/>
  <c r="AD4" i="33"/>
  <c r="L23" i="66"/>
  <c r="AZ15" i="65"/>
  <c r="AZ14" i="65"/>
  <c r="AZ17" i="65"/>
  <c r="AZ16" i="65"/>
  <c r="BB17" i="64"/>
  <c r="BB14" i="64"/>
  <c r="BB16" i="64"/>
  <c r="BB15" i="64"/>
  <c r="BS13" i="67" a="1"/>
  <c r="Z92" i="73"/>
  <c r="BE13" i="67" a="1"/>
  <c r="BA22" i="68"/>
  <c r="BE21" i="62" a="1"/>
  <c r="BF21" i="62"/>
  <c r="BB22" i="68"/>
  <c r="BB22" i="61"/>
  <c r="AZ25" i="68"/>
  <c r="AZ25" i="72"/>
  <c r="BA25" i="68"/>
  <c r="BA23" i="61"/>
  <c r="BA22" i="61"/>
  <c r="BC22" i="68"/>
  <c r="Z94" i="73" a="1"/>
  <c r="Z95" i="73"/>
  <c r="AE95" i="73"/>
  <c r="BA24" i="68"/>
  <c r="AA94" i="73" a="1"/>
  <c r="AA95" i="73"/>
  <c r="AZ24" i="61"/>
  <c r="AZ22" i="61"/>
  <c r="AC14" i="73" a="1"/>
  <c r="AC14" i="73"/>
  <c r="AZ24" i="72"/>
  <c r="AZ23" i="61"/>
  <c r="AZ23" i="72"/>
  <c r="AC94" i="73" a="1"/>
  <c r="AC94" i="73"/>
  <c r="AB94" i="73" a="1"/>
  <c r="AB95" i="73"/>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c r="CA17" i="71"/>
  <c r="CA16" i="71"/>
  <c r="CA14" i="71"/>
  <c r="CA15" i="71"/>
  <c r="AZ24" i="71"/>
  <c r="AZ22" i="71"/>
  <c r="AZ25" i="71"/>
  <c r="AZ23" i="71"/>
  <c r="H22" i="71" a="1"/>
  <c r="CB15" i="71"/>
  <c r="CB17" i="71"/>
  <c r="CB14" i="71"/>
  <c r="CB16" i="71"/>
  <c r="E9" i="45"/>
  <c r="H9" i="45"/>
  <c r="BA23" i="71"/>
  <c r="BA24" i="71"/>
  <c r="BA25" i="71"/>
  <c r="BA22" i="71"/>
  <c r="AB14" i="73" a="1"/>
  <c r="AB15" i="73"/>
  <c r="AA14" i="73" a="1"/>
  <c r="AA17" i="73"/>
  <c r="BZ17" i="71"/>
  <c r="BZ15" i="71"/>
  <c r="BZ16" i="71"/>
  <c r="BZ14" i="71"/>
  <c r="BB23" i="71"/>
  <c r="BB25" i="71"/>
  <c r="BB22" i="71"/>
  <c r="BB24" i="71"/>
  <c r="R44" i="33"/>
  <c r="Q44" i="33"/>
  <c r="BO14" i="71"/>
  <c r="BO15" i="71"/>
  <c r="BO17" i="71"/>
  <c r="BO16" i="71"/>
  <c r="R45" i="33"/>
  <c r="Q45" i="33"/>
  <c r="AZ15" i="71"/>
  <c r="AZ14" i="71"/>
  <c r="AZ16" i="71"/>
  <c r="AZ17" i="71"/>
  <c r="R43" i="33"/>
  <c r="Q43" i="33"/>
  <c r="N88" i="22"/>
  <c r="J80" i="22"/>
  <c r="BQ17" i="71"/>
  <c r="BQ16" i="71"/>
  <c r="BQ14" i="71"/>
  <c r="BQ15" i="71"/>
  <c r="BC16" i="71"/>
  <c r="BC14" i="71"/>
  <c r="BC15" i="71"/>
  <c r="BC17" i="71"/>
  <c r="BN15" i="71"/>
  <c r="BN17" i="71"/>
  <c r="BN14" i="71"/>
  <c r="BN16" i="71"/>
  <c r="Q42" i="33"/>
  <c r="N87" i="22"/>
  <c r="I79" i="22"/>
  <c r="R42" i="33"/>
  <c r="BB14" i="71"/>
  <c r="BB16" i="71"/>
  <c r="BB15" i="71"/>
  <c r="BB17" i="7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44" i="33"/>
  <c r="C44" i="33"/>
  <c r="CB16" i="61"/>
  <c r="CB17" i="61"/>
  <c r="CB14" i="61"/>
  <c r="CB15" i="61"/>
  <c r="BA14" i="61"/>
  <c r="BA16" i="61"/>
  <c r="BA15" i="61"/>
  <c r="BA17" i="61"/>
  <c r="B45" i="33"/>
  <c r="C45" i="33"/>
  <c r="CC14" i="61"/>
  <c r="CC16" i="61"/>
  <c r="CC15" i="61"/>
  <c r="CC17" i="61"/>
  <c r="C42" i="33"/>
  <c r="B42" i="33"/>
  <c r="N77" i="22"/>
  <c r="I83" i="22"/>
  <c r="B43" i="33"/>
  <c r="N78" i="22"/>
  <c r="I77" i="22"/>
  <c r="C43" i="33"/>
  <c r="AZ16" i="61"/>
  <c r="AZ17" i="61"/>
  <c r="AZ15" i="61"/>
  <c r="AZ14" i="61"/>
  <c r="CA15" i="61"/>
  <c r="CA16" i="61"/>
  <c r="CA17" i="61"/>
  <c r="CA14" i="61"/>
  <c r="BC17" i="61"/>
  <c r="BC16" i="61"/>
  <c r="BC15" i="61"/>
  <c r="BC14" i="61"/>
  <c r="BZ14" i="61"/>
  <c r="BZ17" i="61"/>
  <c r="BZ15" i="61"/>
  <c r="BZ16" i="61"/>
  <c r="BB16" i="61"/>
  <c r="BB14" i="61"/>
  <c r="BB15" i="61"/>
  <c r="BB17" i="61"/>
  <c r="BP16" i="61"/>
  <c r="BP17" i="61"/>
  <c r="BP14" i="61"/>
  <c r="BP15" i="61"/>
  <c r="E4" i="45"/>
  <c r="H4" i="45"/>
  <c r="BN17" i="61"/>
  <c r="BN14" i="61"/>
  <c r="BN15" i="61"/>
  <c r="BN16" i="61"/>
  <c r="H22" i="61" a="1"/>
  <c r="BQ17" i="61"/>
  <c r="BQ14" i="61"/>
  <c r="BQ15" i="61"/>
  <c r="BQ16" i="61"/>
  <c r="BO14" i="61"/>
  <c r="BO16" i="61"/>
  <c r="BO17" i="61"/>
  <c r="BO15" i="61"/>
  <c r="BB17" i="70"/>
  <c r="BB14" i="70"/>
  <c r="BB16" i="70"/>
  <c r="BB15" i="70"/>
  <c r="BZ15" i="70"/>
  <c r="BZ17" i="70"/>
  <c r="BZ14" i="70"/>
  <c r="BZ16" i="70"/>
  <c r="AZ17" i="70"/>
  <c r="AZ16" i="70"/>
  <c r="AZ15" i="70"/>
  <c r="AZ14" i="70"/>
  <c r="L45" i="33"/>
  <c r="K45" i="33"/>
  <c r="CB14" i="70"/>
  <c r="CB15" i="70"/>
  <c r="CB16" i="70"/>
  <c r="CB17" i="70"/>
  <c r="K42" i="33"/>
  <c r="N83" i="22"/>
  <c r="I85" i="22"/>
  <c r="L42" i="33"/>
  <c r="BC14" i="70"/>
  <c r="BC16" i="70"/>
  <c r="BC15" i="70"/>
  <c r="BC17" i="70"/>
  <c r="CC17" i="70"/>
  <c r="CC14" i="70"/>
  <c r="CC15" i="70"/>
  <c r="CC16" i="70"/>
  <c r="BA16" i="70"/>
  <c r="BA17" i="70"/>
  <c r="BA14" i="70"/>
  <c r="BA15" i="70"/>
  <c r="CA14" i="70"/>
  <c r="CA17" i="70"/>
  <c r="CA16" i="70"/>
  <c r="CA15" i="70"/>
  <c r="H22" i="70" a="1"/>
  <c r="BP15" i="70"/>
  <c r="BP16" i="70"/>
  <c r="BP17" i="70"/>
  <c r="BP14" i="70"/>
  <c r="K44" i="33"/>
  <c r="L44" i="33"/>
  <c r="BO14" i="70"/>
  <c r="BO15" i="70"/>
  <c r="BO16" i="70"/>
  <c r="BO17" i="70"/>
  <c r="E7" i="45"/>
  <c r="H7" i="45"/>
  <c r="BN17" i="70"/>
  <c r="BN14" i="70"/>
  <c r="BN15" i="70"/>
  <c r="BN16" i="70"/>
  <c r="L43" i="33"/>
  <c r="K43" i="33"/>
  <c r="N84" i="22"/>
  <c r="I92" i="22"/>
  <c r="BQ14" i="70"/>
  <c r="BQ15" i="70"/>
  <c r="BQ16" i="70"/>
  <c r="BQ17" i="70"/>
  <c r="CE13" i="62" a="1"/>
  <c r="AK12" i="73"/>
  <c r="I22" i="62"/>
  <c r="H25" i="62"/>
  <c r="H24" i="62"/>
  <c r="I25" i="62"/>
  <c r="J24" i="62"/>
  <c r="H23" i="62"/>
  <c r="I24" i="62"/>
  <c r="K25" i="62"/>
  <c r="K24" i="62"/>
  <c r="J23" i="62"/>
  <c r="I23" i="62"/>
  <c r="H22" i="62"/>
  <c r="K23" i="62"/>
  <c r="K22" i="62"/>
  <c r="J25" i="62"/>
  <c r="J22" i="62"/>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E13" i="69" a="1"/>
  <c r="AC70" i="73" a="1"/>
  <c r="E50" i="33"/>
  <c r="AB70" i="73" a="1"/>
  <c r="AA70" i="73" a="1"/>
  <c r="BS13" i="69" a="1"/>
  <c r="Z68" i="73"/>
  <c r="Z70" i="73" a="1"/>
  <c r="AK68" i="73"/>
  <c r="CE13" i="69" a="1"/>
  <c r="CA15" i="68"/>
  <c r="CA14" i="68"/>
  <c r="CA17" i="68"/>
  <c r="CA16" i="68"/>
  <c r="BQ15" i="68"/>
  <c r="BQ16" i="68"/>
  <c r="BQ17" i="68"/>
  <c r="BQ14" i="68"/>
  <c r="BP17" i="68"/>
  <c r="BP14" i="68"/>
  <c r="BP15" i="68"/>
  <c r="BP16" i="68"/>
  <c r="AZ16" i="68"/>
  <c r="AZ15" i="68"/>
  <c r="AZ17" i="68"/>
  <c r="AZ14" i="68"/>
  <c r="AF44" i="33"/>
  <c r="AG44" i="33"/>
  <c r="H22" i="68" a="1"/>
  <c r="BO17" i="68"/>
  <c r="BO14" i="68"/>
  <c r="BO15" i="68"/>
  <c r="BO16" i="68"/>
  <c r="BA14" i="68"/>
  <c r="BA15" i="68"/>
  <c r="BA16" i="68"/>
  <c r="BA17" i="68"/>
  <c r="BC14" i="68"/>
  <c r="BC16" i="68"/>
  <c r="BC17" i="68"/>
  <c r="BC15" i="68"/>
  <c r="BB14" i="68"/>
  <c r="BB17" i="68"/>
  <c r="BB15" i="68"/>
  <c r="BB16" i="68"/>
  <c r="BZ16" i="68"/>
  <c r="BZ17" i="68"/>
  <c r="BZ14" i="68"/>
  <c r="BZ15" i="68"/>
  <c r="E14" i="45"/>
  <c r="H14" i="45"/>
  <c r="CC17" i="68"/>
  <c r="CC15" i="68"/>
  <c r="CC16" i="68"/>
  <c r="CC14" i="68"/>
  <c r="AF45" i="33"/>
  <c r="AG45" i="33"/>
  <c r="AF43" i="33"/>
  <c r="N98" i="22"/>
  <c r="I87" i="22"/>
  <c r="AG43" i="33"/>
  <c r="AF42" i="33"/>
  <c r="N97" i="22"/>
  <c r="I91" i="22"/>
  <c r="AG42" i="33"/>
  <c r="CB14" i="68"/>
  <c r="CB17" i="68"/>
  <c r="CB16" i="68"/>
  <c r="CB15" i="68"/>
  <c r="BN15" i="68"/>
  <c r="BN16" i="68"/>
  <c r="BN17" i="68"/>
  <c r="BN14" i="68"/>
  <c r="CH13" i="67"/>
  <c r="CE13" i="67"/>
  <c r="CG13" i="67"/>
  <c r="CF13" i="67"/>
  <c r="AB78" i="73" a="1"/>
  <c r="AB81" i="73"/>
  <c r="AI50" i="33"/>
  <c r="D104" i="48"/>
  <c r="O50" i="33"/>
  <c r="BG13" i="67"/>
  <c r="BF13" i="67"/>
  <c r="BE13" i="67"/>
  <c r="BH13" i="67"/>
  <c r="BT13" i="67"/>
  <c r="BU13" i="67"/>
  <c r="BV13" i="67"/>
  <c r="BS13" i="67"/>
  <c r="I25" i="67"/>
  <c r="K25" i="67"/>
  <c r="H22" i="67"/>
  <c r="I24" i="67"/>
  <c r="K24" i="67"/>
  <c r="H25" i="67"/>
  <c r="J25" i="67"/>
  <c r="J24" i="67"/>
  <c r="J22" i="67"/>
  <c r="I23" i="67"/>
  <c r="K23" i="67"/>
  <c r="J23" i="67"/>
  <c r="I22" i="67"/>
  <c r="K22" i="67"/>
  <c r="H24" i="67"/>
  <c r="H23" i="67"/>
  <c r="AK76" i="73"/>
  <c r="CE13" i="66" a="1"/>
  <c r="H22" i="63" a="1"/>
  <c r="BN17" i="63"/>
  <c r="BN16" i="63"/>
  <c r="BN15" i="63"/>
  <c r="BN14" i="63"/>
  <c r="CB16" i="72"/>
  <c r="CB14" i="72"/>
  <c r="CB17" i="72"/>
  <c r="CB15" i="72"/>
  <c r="N42" i="33"/>
  <c r="N85" i="22"/>
  <c r="I78" i="22"/>
  <c r="O42" i="33"/>
  <c r="CC14" i="63"/>
  <c r="CC16" i="63"/>
  <c r="CC15" i="63"/>
  <c r="CC17" i="63"/>
  <c r="AA78" i="73" a="1"/>
  <c r="Z76" i="73"/>
  <c r="BS13" i="66" a="1"/>
  <c r="Z78" i="73" a="1"/>
  <c r="H22" i="66" a="1"/>
  <c r="BO14" i="63"/>
  <c r="BO17" i="63"/>
  <c r="BO15" i="63"/>
  <c r="BO16" i="63"/>
  <c r="AB54" i="73" a="1"/>
  <c r="AA54" i="73" a="1"/>
  <c r="CA17" i="72"/>
  <c r="CA14" i="72"/>
  <c r="CA15" i="72"/>
  <c r="CA16" i="72"/>
  <c r="CA16" i="63"/>
  <c r="CA17" i="63"/>
  <c r="CA14" i="63"/>
  <c r="CA15" i="63"/>
  <c r="BS13" i="64" a="1"/>
  <c r="Z52" i="73"/>
  <c r="Z54" i="73" a="1"/>
  <c r="AA62" i="73" a="1"/>
  <c r="BC16" i="72"/>
  <c r="BC15" i="72"/>
  <c r="BC17" i="72"/>
  <c r="BC14" i="72"/>
  <c r="AC62" i="73" a="1"/>
  <c r="AD45" i="33"/>
  <c r="AC45" i="33"/>
  <c r="Z60" i="73"/>
  <c r="BS13" i="65" a="1"/>
  <c r="Z62" i="73" a="1"/>
  <c r="BZ15" i="72"/>
  <c r="BZ16" i="72"/>
  <c r="BZ14" i="72"/>
  <c r="BZ17" i="72"/>
  <c r="BE13" i="66" a="1"/>
  <c r="AD42" i="33"/>
  <c r="AC42" i="33"/>
  <c r="N95" i="22"/>
  <c r="I90" i="22"/>
  <c r="BQ15" i="63"/>
  <c r="BQ16" i="63"/>
  <c r="BQ17" i="63"/>
  <c r="BQ14" i="63"/>
  <c r="CC17" i="72"/>
  <c r="CC14" i="72"/>
  <c r="CC16" i="72"/>
  <c r="CC15" i="72"/>
  <c r="O44" i="33"/>
  <c r="N44" i="33"/>
  <c r="CB14" i="63"/>
  <c r="CB17" i="63"/>
  <c r="CB15" i="63"/>
  <c r="CB16" i="63"/>
  <c r="E6" i="45"/>
  <c r="H6" i="45"/>
  <c r="AZ14" i="72"/>
  <c r="AZ15" i="72"/>
  <c r="AZ17" i="72"/>
  <c r="AZ16" i="72"/>
  <c r="BC14" i="63"/>
  <c r="BC17" i="63"/>
  <c r="BC16" i="63"/>
  <c r="BC15" i="63"/>
  <c r="AC78" i="73" a="1"/>
  <c r="AB62" i="73" a="1"/>
  <c r="AK52" i="73"/>
  <c r="CE13" i="64" a="1"/>
  <c r="BP17" i="63"/>
  <c r="BP14" i="63"/>
  <c r="BP16" i="63"/>
  <c r="BP15" i="63"/>
  <c r="H43" i="33"/>
  <c r="N82" i="22"/>
  <c r="J79" i="22"/>
  <c r="I43" i="33"/>
  <c r="BB14" i="72"/>
  <c r="BB16" i="72"/>
  <c r="BB15" i="72"/>
  <c r="BB17" i="72"/>
  <c r="BA17" i="63"/>
  <c r="BA15" i="63"/>
  <c r="BA16" i="63"/>
  <c r="BA14" i="63"/>
  <c r="AM50" i="33"/>
  <c r="E112" i="48"/>
  <c r="BP15" i="72"/>
  <c r="BP14" i="72"/>
  <c r="BP16" i="72"/>
  <c r="BP17" i="72"/>
  <c r="CE13" i="65" a="1"/>
  <c r="AK60" i="73"/>
  <c r="BZ16" i="63"/>
  <c r="BZ14" i="63"/>
  <c r="BZ17" i="63"/>
  <c r="BZ15" i="63"/>
  <c r="BE13" i="65" a="1"/>
  <c r="AP50" i="33"/>
  <c r="BN17" i="72"/>
  <c r="BN16" i="72"/>
  <c r="BN15" i="72"/>
  <c r="BN14" i="72"/>
  <c r="BQ16" i="72"/>
  <c r="BQ15" i="72"/>
  <c r="BQ17" i="72"/>
  <c r="BQ14" i="72"/>
  <c r="W50" i="33"/>
  <c r="D106" i="48"/>
  <c r="AC54" i="73" a="1"/>
  <c r="H22" i="72" a="1"/>
  <c r="BA15" i="72"/>
  <c r="BA16" i="72"/>
  <c r="BA14" i="72"/>
  <c r="BA17" i="72"/>
  <c r="BB17" i="63"/>
  <c r="BB14" i="63"/>
  <c r="BB16" i="63"/>
  <c r="BB15" i="63"/>
  <c r="N43" i="33"/>
  <c r="N86" i="22"/>
  <c r="I82" i="22"/>
  <c r="D100" i="48"/>
  <c r="O43" i="33"/>
  <c r="H42" i="33"/>
  <c r="N81" i="22"/>
  <c r="I80" i="22"/>
  <c r="I42" i="33"/>
  <c r="AC43" i="33"/>
  <c r="N96" i="22"/>
  <c r="J88" i="22"/>
  <c r="E108" i="48"/>
  <c r="AD43" i="33"/>
  <c r="BE13" i="64" a="1"/>
  <c r="BO15" i="72"/>
  <c r="BO16" i="72"/>
  <c r="BO17" i="72"/>
  <c r="BO14" i="72"/>
  <c r="D109" i="48"/>
  <c r="Q50" i="33"/>
  <c r="E8" i="45"/>
  <c r="H8" i="45"/>
  <c r="H44" i="33"/>
  <c r="I44" i="33"/>
  <c r="E13" i="45"/>
  <c r="H13" i="45"/>
  <c r="AZ16" i="63"/>
  <c r="AZ15" i="63"/>
  <c r="AZ17" i="63"/>
  <c r="AZ14" i="63"/>
  <c r="H45" i="33"/>
  <c r="I45" i="33"/>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Z97" i="73"/>
  <c r="AC97" i="73"/>
  <c r="AB97" i="73"/>
  <c r="AE97" i="73"/>
  <c r="Z94" i="73"/>
  <c r="AE94" i="73"/>
  <c r="Z96" i="73"/>
  <c r="AC96" i="73"/>
  <c r="AB96" i="73"/>
  <c r="AE96" i="73"/>
  <c r="AA97" i="73"/>
  <c r="AA96" i="73"/>
  <c r="BH21" i="62"/>
  <c r="BG21" i="62"/>
  <c r="BE21" i="62"/>
  <c r="AB94" i="73"/>
  <c r="AA94" i="73"/>
  <c r="AC17" i="73"/>
  <c r="AC15" i="73"/>
  <c r="AC16" i="73"/>
  <c r="BE21" i="61" a="1"/>
  <c r="BH21" i="61"/>
  <c r="AC95" i="73"/>
  <c r="BE21" i="72" a="1"/>
  <c r="BG21" i="72"/>
  <c r="AB16" i="73"/>
  <c r="BE21" i="70" a="1"/>
  <c r="BG21" i="70"/>
  <c r="BE21" i="68" a="1"/>
  <c r="BH21" i="68"/>
  <c r="AB17" i="73"/>
  <c r="AB14" i="73"/>
  <c r="BE21" i="67"/>
  <c r="BF21" i="67"/>
  <c r="BG21" i="67"/>
  <c r="BH21" i="67"/>
  <c r="AA16" i="73"/>
  <c r="AA15" i="73"/>
  <c r="Z17" i="73"/>
  <c r="AE17" i="73"/>
  <c r="Z14" i="73"/>
  <c r="AE14" i="73"/>
  <c r="BE21" i="65"/>
  <c r="BF21" i="65"/>
  <c r="BG21" i="65"/>
  <c r="BH21" i="65"/>
  <c r="Z15" i="73"/>
  <c r="AE15" i="73"/>
  <c r="AA50" i="33"/>
  <c r="E98" i="48"/>
  <c r="I24" i="71"/>
  <c r="H25" i="71"/>
  <c r="J24" i="71"/>
  <c r="I22" i="71"/>
  <c r="K25" i="71"/>
  <c r="K23" i="71"/>
  <c r="H24" i="71"/>
  <c r="J22" i="71"/>
  <c r="I25" i="71"/>
  <c r="I23" i="71"/>
  <c r="J23" i="71"/>
  <c r="H22" i="71"/>
  <c r="K24" i="71"/>
  <c r="J25" i="71"/>
  <c r="H23" i="71"/>
  <c r="K22" i="71"/>
  <c r="AA14" i="73"/>
  <c r="K50" i="33"/>
  <c r="D97" i="48"/>
  <c r="BE13" i="71" a="1"/>
  <c r="AA46" i="73" a="1"/>
  <c r="AB46" i="73" a="1"/>
  <c r="BE21" i="71" a="1"/>
  <c r="Z46" i="73" a="1"/>
  <c r="AC46" i="73" a="1"/>
  <c r="BS13" i="71" a="1"/>
  <c r="Z44" i="73"/>
  <c r="CE13" i="71" a="1"/>
  <c r="AK44" i="73"/>
  <c r="BE21" i="64"/>
  <c r="BF21" i="64"/>
  <c r="BG21" i="64"/>
  <c r="BH21" i="64"/>
  <c r="BE21" i="63" a="1"/>
  <c r="AA30" i="73" a="1"/>
  <c r="AA32" i="73"/>
  <c r="Z6" i="73" a="1"/>
  <c r="BS13" i="61" a="1"/>
  <c r="Z4" i="73"/>
  <c r="AC30" i="73" a="1"/>
  <c r="AC31" i="73"/>
  <c r="AC6" i="73" a="1"/>
  <c r="BE13" i="61" a="1"/>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4" i="73"/>
  <c r="AF50" i="33"/>
  <c r="D102" i="48"/>
  <c r="BE13" i="70" a="1"/>
  <c r="T50" i="33"/>
  <c r="D105" i="48"/>
  <c r="AO50" i="33"/>
  <c r="D114" i="48"/>
  <c r="AB30" i="73" a="1"/>
  <c r="H25" i="70"/>
  <c r="I24" i="70"/>
  <c r="H23" i="70"/>
  <c r="I22" i="70"/>
  <c r="K25" i="70"/>
  <c r="K24" i="70"/>
  <c r="K23" i="70"/>
  <c r="K22" i="70"/>
  <c r="J25" i="70"/>
  <c r="J24" i="70"/>
  <c r="J23" i="70"/>
  <c r="J22" i="70"/>
  <c r="I25" i="70"/>
  <c r="H24" i="70"/>
  <c r="I23" i="70"/>
  <c r="H22" i="70"/>
  <c r="CE13" i="70" a="1"/>
  <c r="AK28" i="73"/>
  <c r="Z28" i="73"/>
  <c r="Z30" i="73" a="1"/>
  <c r="BS13" i="70" a="1"/>
  <c r="AE16" i="73"/>
  <c r="C104" i="47"/>
  <c r="C104" i="28"/>
  <c r="B104" i="28"/>
  <c r="BH13" i="62"/>
  <c r="BE13" i="62"/>
  <c r="BF13" i="62"/>
  <c r="BG13" i="62"/>
  <c r="CE13" i="62"/>
  <c r="CH13" i="62"/>
  <c r="CF13" i="62"/>
  <c r="CG13" i="62"/>
  <c r="BS13" i="62"/>
  <c r="BV13" i="62"/>
  <c r="BU13" i="62"/>
  <c r="BT13" i="62"/>
  <c r="E92" i="47"/>
  <c r="E92" i="28"/>
  <c r="D92" i="28"/>
  <c r="BV13" i="69"/>
  <c r="BS13" i="69"/>
  <c r="BT13" i="69"/>
  <c r="BU13" i="69"/>
  <c r="BF13" i="69"/>
  <c r="BH13" i="69"/>
  <c r="BG13" i="69"/>
  <c r="BE13" i="69"/>
  <c r="CG13" i="69"/>
  <c r="CE13" i="69"/>
  <c r="CF13" i="69"/>
  <c r="CH13" i="69"/>
  <c r="AA70" i="73"/>
  <c r="AA71" i="73"/>
  <c r="AA72" i="73"/>
  <c r="AA73" i="73"/>
  <c r="AB71" i="73"/>
  <c r="AB72" i="73"/>
  <c r="AB73" i="73"/>
  <c r="AB70" i="73"/>
  <c r="C91" i="47"/>
  <c r="C91" i="28"/>
  <c r="B91" i="28"/>
  <c r="Z72" i="73"/>
  <c r="AC72" i="73"/>
  <c r="AE72" i="73"/>
  <c r="Z73" i="73"/>
  <c r="AC73" i="73"/>
  <c r="AE73" i="73"/>
  <c r="Z70" i="73"/>
  <c r="Z71" i="73"/>
  <c r="AC71" i="73"/>
  <c r="AC70" i="73"/>
  <c r="E99" i="28"/>
  <c r="D99" i="28"/>
  <c r="E99" i="47"/>
  <c r="AK84" i="73"/>
  <c r="CE13" i="68" a="1"/>
  <c r="BE13" i="68" a="1"/>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AB80" i="73"/>
  <c r="AC38" i="73" a="1"/>
  <c r="AC39" i="73"/>
  <c r="AB78" i="73"/>
  <c r="C101" i="47"/>
  <c r="C101" i="28"/>
  <c r="B101" i="28"/>
  <c r="AF93" i="73" a="1"/>
  <c r="BS14" i="67" a="1"/>
  <c r="BE14" i="67" a="1"/>
  <c r="E94" i="47"/>
  <c r="E94" i="28"/>
  <c r="D94" i="28"/>
  <c r="CE14" i="67" a="1"/>
  <c r="AC22" i="73" a="1"/>
  <c r="AC24" i="73"/>
  <c r="BT13" i="65"/>
  <c r="BU13" i="65"/>
  <c r="BV13" i="65"/>
  <c r="BS13" i="65"/>
  <c r="AB54" i="73"/>
  <c r="AB55" i="73"/>
  <c r="AB56" i="73"/>
  <c r="AB57" i="73"/>
  <c r="AA38" i="73" a="1"/>
  <c r="C97" i="47"/>
  <c r="C97" i="28"/>
  <c r="B97" i="28"/>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Z56" i="73"/>
  <c r="Z57" i="73"/>
  <c r="Z55" i="73"/>
  <c r="Z54" i="73"/>
  <c r="AE54" i="73"/>
  <c r="Z81" i="73"/>
  <c r="AC81" i="73"/>
  <c r="AE81" i="73"/>
  <c r="Z79" i="73"/>
  <c r="Z80" i="73"/>
  <c r="Z78" i="73"/>
  <c r="AE78" i="73"/>
  <c r="AA78" i="73"/>
  <c r="AA79" i="73"/>
  <c r="AA80" i="73"/>
  <c r="AA81" i="73"/>
  <c r="J25" i="72"/>
  <c r="J24" i="72"/>
  <c r="J23" i="72"/>
  <c r="J22" i="72"/>
  <c r="H25" i="72"/>
  <c r="H24" i="72"/>
  <c r="H23" i="72"/>
  <c r="H22" i="72"/>
  <c r="K25" i="72"/>
  <c r="K24" i="72"/>
  <c r="K23" i="72"/>
  <c r="K22" i="72"/>
  <c r="I25" i="72"/>
  <c r="I24" i="72"/>
  <c r="I23" i="72"/>
  <c r="I22" i="72"/>
  <c r="E103" i="47"/>
  <c r="E103" i="28"/>
  <c r="D103" i="28"/>
  <c r="AB38" i="73" a="1"/>
  <c r="L50" i="33"/>
  <c r="AB22" i="73" a="1"/>
  <c r="CE13" i="72" a="1"/>
  <c r="AK36" i="73"/>
  <c r="AC62" i="73"/>
  <c r="AC63" i="73"/>
  <c r="AC64" i="73"/>
  <c r="AC65" i="73"/>
  <c r="AA22" i="73" a="1"/>
  <c r="Z50" i="33"/>
  <c r="D98" i="48"/>
  <c r="AB64" i="73"/>
  <c r="AB65" i="73"/>
  <c r="AB62" i="73"/>
  <c r="AB63" i="73"/>
  <c r="BS13" i="66"/>
  <c r="BT13" i="66"/>
  <c r="BU13" i="66"/>
  <c r="BV13" i="66"/>
  <c r="CE13" i="66"/>
  <c r="CG13" i="66"/>
  <c r="CF13" i="66"/>
  <c r="CH13" i="66"/>
  <c r="C95" i="28"/>
  <c r="B95" i="28"/>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AC50" i="33"/>
  <c r="D101" i="48"/>
  <c r="BF13" i="65"/>
  <c r="BE13" i="65"/>
  <c r="BH13" i="65"/>
  <c r="BG13" i="65"/>
  <c r="CH13" i="64"/>
  <c r="CE13" i="64"/>
  <c r="CG13" i="64"/>
  <c r="CF13" i="64"/>
  <c r="AC79" i="73"/>
  <c r="AC80" i="73"/>
  <c r="AC78" i="73"/>
  <c r="BE13" i="72" a="1"/>
  <c r="BS13" i="72" a="1"/>
  <c r="Z36" i="73"/>
  <c r="Z38" i="73" a="1"/>
  <c r="CF13" i="65"/>
  <c r="CH13" i="65"/>
  <c r="CE13" i="65"/>
  <c r="CG13" i="65"/>
  <c r="E102" i="28"/>
  <c r="D102" i="28"/>
  <c r="E102" i="47"/>
  <c r="Z62" i="73"/>
  <c r="AE62" i="73"/>
  <c r="Z65" i="73"/>
  <c r="Z64" i="73"/>
  <c r="AE64" i="73"/>
  <c r="Z63" i="73"/>
  <c r="AE63" i="73"/>
  <c r="AA57" i="73"/>
  <c r="AA54" i="73"/>
  <c r="AA55" i="73"/>
  <c r="AA56" i="73"/>
  <c r="BS13" i="63" a="1"/>
  <c r="Z20" i="73"/>
  <c r="Z22" i="73" a="1"/>
  <c r="C103" i="28"/>
  <c r="B103" i="28"/>
  <c r="C103" i="47"/>
  <c r="BE22" i="62" a="1"/>
  <c r="BE25" i="62"/>
  <c r="BH21" i="72"/>
  <c r="BE21" i="61"/>
  <c r="BG21" i="61"/>
  <c r="BF21" i="61"/>
  <c r="BF21" i="72"/>
  <c r="BG21" i="68"/>
  <c r="BF21" i="68"/>
  <c r="BE21" i="68"/>
  <c r="BE21" i="72"/>
  <c r="BF21" i="70"/>
  <c r="BE21" i="70"/>
  <c r="BH21" i="70"/>
  <c r="BE22" i="67" a="1"/>
  <c r="BE22" i="65" a="1"/>
  <c r="AE65" i="73"/>
  <c r="AF13" i="73" a="1"/>
  <c r="AI13" i="73"/>
  <c r="BH13" i="71"/>
  <c r="BG13" i="71"/>
  <c r="BF13" i="71"/>
  <c r="BE13" i="71"/>
  <c r="AC48" i="73"/>
  <c r="AC49" i="73"/>
  <c r="AC46" i="73"/>
  <c r="AC47" i="73"/>
  <c r="Z48" i="73"/>
  <c r="AB48" i="73"/>
  <c r="AE48" i="73"/>
  <c r="Z47" i="73"/>
  <c r="AE47" i="73"/>
  <c r="Z46" i="73"/>
  <c r="AE46" i="73"/>
  <c r="Z49" i="73"/>
  <c r="AB49" i="73"/>
  <c r="AE49" i="73"/>
  <c r="C93" i="47"/>
  <c r="C93" i="28"/>
  <c r="B93" i="28"/>
  <c r="BG21" i="71"/>
  <c r="BE21" i="71"/>
  <c r="BH21" i="71"/>
  <c r="BF21" i="71"/>
  <c r="BV13" i="71"/>
  <c r="BS13" i="71"/>
  <c r="BT13" i="71"/>
  <c r="BU13" i="71"/>
  <c r="AB47" i="73"/>
  <c r="AB46" i="73"/>
  <c r="CH13" i="71"/>
  <c r="CE13" i="71"/>
  <c r="CG13" i="71"/>
  <c r="CF13" i="71"/>
  <c r="AA49" i="73"/>
  <c r="AA48" i="73"/>
  <c r="AA46" i="73"/>
  <c r="AA47" i="73"/>
  <c r="E98" i="28"/>
  <c r="D98" i="28"/>
  <c r="E98" i="47"/>
  <c r="AE57" i="73"/>
  <c r="BE21" i="63"/>
  <c r="BF21" i="63"/>
  <c r="BG21" i="63"/>
  <c r="BH21" i="63"/>
  <c r="BE22" i="64" a="1"/>
  <c r="AC32" i="73"/>
  <c r="AC30" i="73"/>
  <c r="AC33" i="73"/>
  <c r="AE71" i="73"/>
  <c r="AA31" i="73"/>
  <c r="AE70" i="73"/>
  <c r="AA30" i="73"/>
  <c r="AA33" i="73"/>
  <c r="C23" i="45"/>
  <c r="G23" i="45"/>
  <c r="P23" i="45"/>
  <c r="E23" i="45"/>
  <c r="F23" i="45"/>
  <c r="N23" i="45"/>
  <c r="D23" i="45"/>
  <c r="I23" i="45"/>
  <c r="BG13" i="61"/>
  <c r="BE13" i="61"/>
  <c r="BH13" i="61"/>
  <c r="BF13" i="61"/>
  <c r="D28" i="45"/>
  <c r="G28" i="45"/>
  <c r="P28" i="45"/>
  <c r="F28" i="45"/>
  <c r="N28" i="45"/>
  <c r="E28" i="45"/>
  <c r="C28" i="45"/>
  <c r="I28" i="45"/>
  <c r="CE13" i="61"/>
  <c r="CF13" i="61"/>
  <c r="CG13" i="61"/>
  <c r="CH13" i="61"/>
  <c r="F22" i="45"/>
  <c r="N22" i="45"/>
  <c r="E22" i="45"/>
  <c r="C22" i="45"/>
  <c r="G22" i="45"/>
  <c r="P22" i="45"/>
  <c r="I22" i="45"/>
  <c r="D22" i="45"/>
  <c r="C26" i="45"/>
  <c r="F26" i="45"/>
  <c r="N26" i="45"/>
  <c r="E26" i="45"/>
  <c r="I26" i="45"/>
  <c r="G26" i="45"/>
  <c r="P26" i="45"/>
  <c r="D26" i="45"/>
  <c r="AC8" i="73"/>
  <c r="AC9" i="73"/>
  <c r="AC6" i="73"/>
  <c r="AC7" i="73"/>
  <c r="AA9" i="73"/>
  <c r="AA6" i="73"/>
  <c r="AA7" i="73"/>
  <c r="AA8" i="73"/>
  <c r="F18" i="45"/>
  <c r="N18" i="45"/>
  <c r="C18" i="45"/>
  <c r="G18" i="45"/>
  <c r="P18" i="45"/>
  <c r="E18" i="45"/>
  <c r="D18" i="45"/>
  <c r="I18" i="45"/>
  <c r="D25" i="45"/>
  <c r="G25" i="45"/>
  <c r="P25" i="45"/>
  <c r="C25" i="45"/>
  <c r="I25" i="45"/>
  <c r="E25" i="45"/>
  <c r="F25" i="45"/>
  <c r="N25" i="45"/>
  <c r="C92" i="28"/>
  <c r="B92" i="28"/>
  <c r="C92" i="47"/>
  <c r="I17" i="45"/>
  <c r="D17" i="45"/>
  <c r="E17" i="45"/>
  <c r="C17" i="45"/>
  <c r="F17" i="45"/>
  <c r="N17" i="45"/>
  <c r="G17" i="45"/>
  <c r="P17" i="45"/>
  <c r="E27" i="45"/>
  <c r="D27" i="45"/>
  <c r="G27" i="45"/>
  <c r="P27" i="45"/>
  <c r="C27" i="45"/>
  <c r="F27" i="45"/>
  <c r="N27" i="45"/>
  <c r="I27" i="45"/>
  <c r="E19" i="45"/>
  <c r="G19" i="45"/>
  <c r="P19" i="45"/>
  <c r="F19" i="45"/>
  <c r="N19" i="45"/>
  <c r="C19" i="45"/>
  <c r="I19" i="45"/>
  <c r="D19" i="45"/>
  <c r="G21" i="45"/>
  <c r="P21" i="45"/>
  <c r="F21" i="45"/>
  <c r="N21" i="45"/>
  <c r="E21" i="45"/>
  <c r="C21" i="45"/>
  <c r="D21" i="45"/>
  <c r="I21" i="45"/>
  <c r="C100" i="47"/>
  <c r="C100" i="28"/>
  <c r="B100" i="28"/>
  <c r="D24" i="45"/>
  <c r="I24" i="45"/>
  <c r="I33" i="45"/>
  <c r="AL30" i="33"/>
  <c r="C24" i="45"/>
  <c r="E24" i="45"/>
  <c r="G24" i="45"/>
  <c r="P24" i="45"/>
  <c r="F24" i="45"/>
  <c r="N24" i="45"/>
  <c r="BT13" i="61"/>
  <c r="BS13" i="61"/>
  <c r="BU13" i="61"/>
  <c r="BV13" i="61"/>
  <c r="AB8" i="73"/>
  <c r="AB7" i="73"/>
  <c r="AB9" i="73"/>
  <c r="AB6" i="73"/>
  <c r="C20" i="45"/>
  <c r="D20" i="45"/>
  <c r="I20" i="45"/>
  <c r="E20" i="45"/>
  <c r="G20" i="45"/>
  <c r="P20" i="45"/>
  <c r="F20" i="45"/>
  <c r="N20" i="45"/>
  <c r="Z7" i="73"/>
  <c r="Z6" i="73"/>
  <c r="AE6" i="73"/>
  <c r="Z9" i="73"/>
  <c r="Z8" i="73"/>
  <c r="CF13" i="70"/>
  <c r="CE13" i="70"/>
  <c r="CH13" i="70"/>
  <c r="CG13" i="70"/>
  <c r="BU13" i="70"/>
  <c r="BT13" i="70"/>
  <c r="BV13" i="70"/>
  <c r="BS13" i="70"/>
  <c r="AB32" i="73"/>
  <c r="AB30" i="73"/>
  <c r="AB31" i="73"/>
  <c r="AB33" i="73"/>
  <c r="C96" i="47"/>
  <c r="C96" i="28"/>
  <c r="B96" i="28"/>
  <c r="Z30" i="73"/>
  <c r="AE30" i="73"/>
  <c r="Z33" i="73"/>
  <c r="Z32" i="73"/>
  <c r="AE32" i="73"/>
  <c r="Z31" i="73"/>
  <c r="AE31" i="73"/>
  <c r="BG13" i="70"/>
  <c r="BF13" i="70"/>
  <c r="BE13" i="70"/>
  <c r="BH13" i="70"/>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G24" i="62"/>
  <c r="BH22" i="62"/>
  <c r="BE22" i="62"/>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E14" i="69" a="1"/>
  <c r="AF69" i="73" a="1"/>
  <c r="BS14" i="69" a="1"/>
  <c r="AB89" i="73"/>
  <c r="AB86" i="73"/>
  <c r="AB87" i="73"/>
  <c r="AB88" i="73"/>
  <c r="AC88" i="73"/>
  <c r="AC89" i="73"/>
  <c r="AC86" i="73"/>
  <c r="AC87" i="73"/>
  <c r="C94" i="47"/>
  <c r="C94" i="28"/>
  <c r="B94" i="28"/>
  <c r="C105" i="47"/>
  <c r="C105" i="28"/>
  <c r="B105" i="28"/>
  <c r="BH13" i="68"/>
  <c r="BG13" i="68"/>
  <c r="BF13" i="68"/>
  <c r="BE13" i="68"/>
  <c r="Z87" i="73"/>
  <c r="Z86" i="73"/>
  <c r="AE86" i="73"/>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c r="BE13" i="72"/>
  <c r="BH13" i="72"/>
  <c r="BG13" i="72"/>
  <c r="BF13" i="72"/>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CE14" i="66" a="1"/>
  <c r="AE56" i="73"/>
  <c r="BE14" i="64" a="1"/>
  <c r="BH13" i="63"/>
  <c r="BF13" i="63"/>
  <c r="BG13" i="63"/>
  <c r="BE13" i="63"/>
  <c r="AB22" i="73"/>
  <c r="AB23" i="73"/>
  <c r="AB24" i="73"/>
  <c r="AB25" i="73"/>
  <c r="E95" i="47"/>
  <c r="E95" i="28"/>
  <c r="D95" i="28"/>
  <c r="E93" i="47"/>
  <c r="E93" i="28"/>
  <c r="D93" i="28"/>
  <c r="C90" i="47"/>
  <c r="C90" i="28"/>
  <c r="B90" i="28"/>
  <c r="AB38" i="73"/>
  <c r="AB39" i="73"/>
  <c r="AB40" i="73"/>
  <c r="AB41"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CE14" i="65" a="1"/>
  <c r="BE14" i="65" a="1"/>
  <c r="AF53" i="73" a="1"/>
  <c r="BS14" i="64" a="1"/>
  <c r="AF77" i="73" a="1"/>
  <c r="BS14" i="66" a="1"/>
  <c r="C98" i="47"/>
  <c r="C98" i="28"/>
  <c r="B98" i="28"/>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c r="AA22" i="73"/>
  <c r="AA25" i="73"/>
  <c r="AA23" i="73"/>
  <c r="AA24" i="73"/>
  <c r="CH13" i="72"/>
  <c r="CE13" i="72"/>
  <c r="CG13" i="72"/>
  <c r="CF13" i="72"/>
  <c r="BH25" i="62"/>
  <c r="BG25" i="62"/>
  <c r="BG22" i="62"/>
  <c r="BH24" i="62"/>
  <c r="BF23" i="62"/>
  <c r="BF24" i="62"/>
  <c r="BF22" i="62"/>
  <c r="BE24" i="62"/>
  <c r="BG23" i="62"/>
  <c r="BF25" i="62"/>
  <c r="BE23" i="62"/>
  <c r="BH23" i="62"/>
  <c r="BE22" i="68" a="1"/>
  <c r="BH23" i="68"/>
  <c r="AH13" i="73"/>
  <c r="AF13" i="73"/>
  <c r="BE22" i="61" a="1"/>
  <c r="BG25" i="61"/>
  <c r="BE22" i="72" a="1"/>
  <c r="BE24" i="72"/>
  <c r="AG13" i="73"/>
  <c r="BE22" i="70" a="1"/>
  <c r="BE22" i="70"/>
  <c r="AE33" i="73"/>
  <c r="AE88" i="73"/>
  <c r="BG23" i="67"/>
  <c r="BH24" i="67"/>
  <c r="BG24" i="67"/>
  <c r="BH25" i="67"/>
  <c r="BG25" i="67"/>
  <c r="BF25" i="67"/>
  <c r="BE22" i="67"/>
  <c r="BH22" i="67"/>
  <c r="BF24" i="67"/>
  <c r="BE25" i="67"/>
  <c r="BH23" i="67"/>
  <c r="BF22" i="67"/>
  <c r="AF94" i="73" a="1"/>
  <c r="BG22" i="67"/>
  <c r="BE24" i="67"/>
  <c r="BE23" i="67"/>
  <c r="BF23" i="67"/>
  <c r="AE22" i="73"/>
  <c r="BE22" i="63" a="1"/>
  <c r="BF22" i="63"/>
  <c r="BE22" i="71" a="1"/>
  <c r="BG23" i="7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c r="K22" i="45" a="1"/>
  <c r="K22" i="45"/>
  <c r="K21" i="45" a="1"/>
  <c r="K21" i="45"/>
  <c r="K18" i="45" a="1"/>
  <c r="K18" i="45"/>
  <c r="K23" i="45" a="1"/>
  <c r="K23" i="45"/>
  <c r="K20" i="45" a="1"/>
  <c r="K20" i="45"/>
  <c r="K24" i="45" a="1"/>
  <c r="K24" i="45"/>
  <c r="K17" i="45" a="1"/>
  <c r="K17" i="45"/>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CE14" i="61" a="1"/>
  <c r="AF29" i="73" a="1"/>
  <c r="BS14" i="70" a="1"/>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c r="FV92" i="47"/>
  <c r="GG92" i="47"/>
  <c r="CV92" i="47"/>
  <c r="GI92" i="47"/>
  <c r="GT92" i="47"/>
  <c r="FI92" i="47"/>
  <c r="FT92" i="47"/>
  <c r="AI92" i="47"/>
  <c r="AT92" i="47"/>
  <c r="CI92" i="47"/>
  <c r="CT92" i="47"/>
  <c r="DI92" i="47"/>
  <c r="DT92" i="47"/>
  <c r="EI92" i="47"/>
  <c r="ET92" i="47"/>
  <c r="IV92" i="47"/>
  <c r="JG92" i="47"/>
  <c r="DV92" i="47"/>
  <c r="EG92" i="47"/>
  <c r="KI92" i="47"/>
  <c r="KT92" i="47"/>
  <c r="KV92" i="47"/>
  <c r="LG92" i="47"/>
  <c r="AV92" i="47"/>
  <c r="BG92" i="47"/>
  <c r="BI92" i="47"/>
  <c r="BT92" i="47"/>
  <c r="JV92" i="47"/>
  <c r="KG92" i="47"/>
  <c r="EV92" i="47"/>
  <c r="FG92" i="47"/>
  <c r="JI92" i="47"/>
  <c r="JT92" i="47"/>
  <c r="LI92" i="47"/>
  <c r="LT92" i="47"/>
  <c r="LV92" i="47"/>
  <c r="MG92" i="47"/>
  <c r="GV92" i="47"/>
  <c r="HG92" i="47"/>
  <c r="I92" i="47"/>
  <c r="T92" i="47"/>
  <c r="HV92" i="47"/>
  <c r="IG92" i="47"/>
  <c r="V92" i="47"/>
  <c r="AG92" i="47"/>
  <c r="HI92" i="47"/>
  <c r="HT92" i="47"/>
  <c r="II92" i="47"/>
  <c r="IT92" i="47"/>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c r="JV94" i="47"/>
  <c r="KG94" i="47"/>
  <c r="BV94" i="47"/>
  <c r="CG94" i="47"/>
  <c r="CI94" i="47"/>
  <c r="CT94" i="47"/>
  <c r="EV94" i="47"/>
  <c r="FG94" i="47"/>
  <c r="KI94" i="47"/>
  <c r="KT94" i="47"/>
  <c r="CV94" i="47"/>
  <c r="DG94" i="47"/>
  <c r="JI94" i="47"/>
  <c r="JT94" i="47"/>
  <c r="FV94" i="47"/>
  <c r="GG94" i="47"/>
  <c r="V94" i="47"/>
  <c r="AG94" i="47"/>
  <c r="GV94" i="47"/>
  <c r="HG94" i="47"/>
  <c r="HV94" i="47"/>
  <c r="IG94" i="47"/>
  <c r="LI94" i="47"/>
  <c r="LT94" i="47"/>
  <c r="HI94" i="47"/>
  <c r="HT94" i="47"/>
  <c r="KV94" i="47"/>
  <c r="LG94" i="47"/>
  <c r="I94" i="47"/>
  <c r="T94" i="47"/>
  <c r="GI94" i="47"/>
  <c r="GT94" i="47"/>
  <c r="DI94" i="47"/>
  <c r="DT94" i="47"/>
  <c r="EI94" i="47"/>
  <c r="ET94" i="47"/>
  <c r="BI94" i="47"/>
  <c r="BT94" i="47"/>
  <c r="II94" i="47"/>
  <c r="IT94" i="47"/>
  <c r="FI94" i="47"/>
  <c r="FT94" i="47"/>
  <c r="LV94" i="47"/>
  <c r="MG94" i="47"/>
  <c r="DV94" i="47"/>
  <c r="EG94" i="47"/>
  <c r="IV94" i="47"/>
  <c r="JG94" i="47"/>
  <c r="AI94" i="47"/>
  <c r="AT94" i="47"/>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c r="JV102" i="47"/>
  <c r="KG102" i="47"/>
  <c r="EI102" i="47"/>
  <c r="ET102" i="47"/>
  <c r="IV102" i="47"/>
  <c r="JG102" i="47"/>
  <c r="CI102" i="47"/>
  <c r="CT102" i="47"/>
  <c r="DI102" i="47"/>
  <c r="DT102" i="47"/>
  <c r="AV102" i="47"/>
  <c r="BG102" i="47"/>
  <c r="AI102" i="47"/>
  <c r="AT102" i="47"/>
  <c r="JI102" i="47"/>
  <c r="JT102" i="47"/>
  <c r="HV102" i="47"/>
  <c r="IG102" i="47"/>
  <c r="LV102" i="47"/>
  <c r="MG102" i="47"/>
  <c r="FV102" i="47"/>
  <c r="GG102" i="47"/>
  <c r="II102" i="47"/>
  <c r="IT102" i="47"/>
  <c r="LI102" i="47"/>
  <c r="LT102" i="47"/>
  <c r="BV102" i="47"/>
  <c r="CG102" i="47"/>
  <c r="GI102" i="47"/>
  <c r="GT102" i="47"/>
  <c r="HI102" i="47"/>
  <c r="HT102" i="47"/>
  <c r="V102" i="47"/>
  <c r="AG102" i="47"/>
  <c r="DV102" i="47"/>
  <c r="EG102" i="47"/>
  <c r="CV102" i="47"/>
  <c r="DG102" i="47"/>
  <c r="EV102" i="47"/>
  <c r="FG102" i="47"/>
  <c r="I102" i="47"/>
  <c r="T102" i="47"/>
  <c r="KV102" i="47"/>
  <c r="LG102" i="47"/>
  <c r="BI102" i="47"/>
  <c r="BT102" i="47"/>
  <c r="KI102" i="47"/>
  <c r="KT102" i="47"/>
  <c r="FI102" i="47"/>
  <c r="FT102" i="47"/>
  <c r="BG17" i="63"/>
  <c r="BG16" i="63"/>
  <c r="BG15" i="63"/>
  <c r="BG14" i="63"/>
  <c r="BF17" i="63"/>
  <c r="BF16" i="63"/>
  <c r="BF15" i="63"/>
  <c r="BF14" i="63"/>
  <c r="BE17" i="63"/>
  <c r="BE15" i="63"/>
  <c r="BH16" i="63"/>
  <c r="BH14" i="63"/>
  <c r="BE16" i="63"/>
  <c r="BE14" i="63"/>
  <c r="BH17" i="63"/>
  <c r="BH15" i="63"/>
  <c r="AF21" i="73"/>
  <c r="AG21" i="73"/>
  <c r="AH21" i="73"/>
  <c r="AI21" i="73"/>
  <c r="FX95" i="47"/>
  <c r="GG95" i="47"/>
  <c r="FK95" i="47"/>
  <c r="FT95" i="47"/>
  <c r="GX95" i="47"/>
  <c r="HG95" i="47"/>
  <c r="EK95" i="47"/>
  <c r="ET95" i="47"/>
  <c r="LK95" i="47"/>
  <c r="LT95" i="47"/>
  <c r="EX95" i="47"/>
  <c r="FG95" i="47"/>
  <c r="HK95" i="47"/>
  <c r="HT95" i="47"/>
  <c r="KK95" i="47"/>
  <c r="KT95" i="47"/>
  <c r="AX95" i="47"/>
  <c r="BG95" i="47"/>
  <c r="CK95" i="47"/>
  <c r="CT95" i="47"/>
  <c r="LX95" i="47"/>
  <c r="MG95" i="47"/>
  <c r="BX95" i="47"/>
  <c r="CG95" i="47"/>
  <c r="IK95" i="47"/>
  <c r="IT95" i="47"/>
  <c r="DX95" i="47"/>
  <c r="EG95" i="47"/>
  <c r="DK95" i="47"/>
  <c r="DT95" i="47"/>
  <c r="GK95" i="47"/>
  <c r="GT95" i="47"/>
  <c r="JK95" i="47"/>
  <c r="JT95" i="47"/>
  <c r="K95" i="47"/>
  <c r="T95" i="47"/>
  <c r="X95" i="47"/>
  <c r="AG95" i="47"/>
  <c r="HX95" i="47"/>
  <c r="IG95" i="47"/>
  <c r="BK95" i="47"/>
  <c r="BT95" i="47"/>
  <c r="JX95" i="47"/>
  <c r="KG95" i="47"/>
  <c r="CX95" i="47"/>
  <c r="DG95" i="47"/>
  <c r="AK95" i="47"/>
  <c r="AT95" i="47"/>
  <c r="KX95" i="47"/>
  <c r="LG95" i="47"/>
  <c r="IX95" i="47"/>
  <c r="JG95" i="47"/>
  <c r="CI98" i="47"/>
  <c r="CT98" i="47"/>
  <c r="JV98" i="47"/>
  <c r="KV98" i="47"/>
  <c r="IV98" i="47"/>
  <c r="AV98" i="47"/>
  <c r="AI98" i="47"/>
  <c r="CV98" i="47"/>
  <c r="BV98" i="47"/>
  <c r="LI98" i="47"/>
  <c r="JI98" i="47"/>
  <c r="FI98" i="47"/>
  <c r="EI98" i="47"/>
  <c r="HI98" i="47"/>
  <c r="HV98" i="47"/>
  <c r="BI98" i="47"/>
  <c r="V98" i="47"/>
  <c r="AG98" i="47"/>
  <c r="II98" i="47"/>
  <c r="GI98" i="47"/>
  <c r="KI98" i="47"/>
  <c r="KT98" i="47"/>
  <c r="LV98" i="47"/>
  <c r="DI98" i="47"/>
  <c r="DT98" i="47"/>
  <c r="DV98" i="47"/>
  <c r="GV98" i="47"/>
  <c r="I98" i="47"/>
  <c r="T98" i="47"/>
  <c r="FV98" i="47"/>
  <c r="EV98" i="47"/>
  <c r="I99" i="47"/>
  <c r="T99" i="47"/>
  <c r="CV99" i="47"/>
  <c r="DG99" i="47"/>
  <c r="LI99" i="47"/>
  <c r="LT99" i="47"/>
  <c r="IV99" i="47"/>
  <c r="JG99" i="47"/>
  <c r="EV99" i="47"/>
  <c r="FG99" i="47"/>
  <c r="KI99" i="47"/>
  <c r="KT99" i="47"/>
  <c r="EI99" i="47"/>
  <c r="ET99" i="47"/>
  <c r="KV99" i="47"/>
  <c r="LG99" i="47"/>
  <c r="FI99" i="47"/>
  <c r="FT99" i="47"/>
  <c r="AI99" i="47"/>
  <c r="AT99" i="47"/>
  <c r="AV99" i="47"/>
  <c r="BG99" i="47"/>
  <c r="LV99" i="47"/>
  <c r="MG99" i="47"/>
  <c r="CI99" i="47"/>
  <c r="CT99" i="47"/>
  <c r="GI99" i="47"/>
  <c r="GT99" i="47"/>
  <c r="JV99" i="47"/>
  <c r="KG99" i="47"/>
  <c r="V99" i="47"/>
  <c r="AG99" i="47"/>
  <c r="FV99" i="47"/>
  <c r="GG99" i="47"/>
  <c r="JI99" i="47"/>
  <c r="JT99" i="47"/>
  <c r="BI99" i="47"/>
  <c r="BT99" i="47"/>
  <c r="HV99" i="47"/>
  <c r="IG99" i="47"/>
  <c r="BV99" i="47"/>
  <c r="CG99" i="47"/>
  <c r="II99" i="47"/>
  <c r="IT99" i="47"/>
  <c r="HI99" i="47"/>
  <c r="HT99" i="47"/>
  <c r="GV99" i="47"/>
  <c r="HG99" i="47"/>
  <c r="DI99" i="47"/>
  <c r="DT99" i="47"/>
  <c r="DV99" i="47"/>
  <c r="EG99" i="47"/>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c r="LX93" i="47"/>
  <c r="MG93" i="47"/>
  <c r="FK93" i="47"/>
  <c r="FT93" i="47"/>
  <c r="X93" i="47"/>
  <c r="AK93" i="47"/>
  <c r="LK93" i="47"/>
  <c r="GX93" i="47"/>
  <c r="KK93" i="47"/>
  <c r="KT93" i="47"/>
  <c r="GK93" i="47"/>
  <c r="IK93" i="47"/>
  <c r="IT93" i="47"/>
  <c r="BK93" i="47"/>
  <c r="BT93" i="47"/>
  <c r="IX93" i="47"/>
  <c r="JG93" i="47"/>
  <c r="JK93" i="47"/>
  <c r="JX93" i="47"/>
  <c r="CX93" i="47"/>
  <c r="KX93" i="47"/>
  <c r="EX93" i="47"/>
  <c r="DX93" i="47"/>
  <c r="FX93" i="47"/>
  <c r="CK93" i="47"/>
  <c r="CT93" i="47"/>
  <c r="EK93" i="47"/>
  <c r="DK93" i="47"/>
  <c r="K93" i="47"/>
  <c r="BX93" i="47"/>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c r="L71" i="22"/>
  <c r="N103" i="22"/>
  <c r="J85" i="22"/>
  <c r="O75" i="22"/>
  <c r="N75" i="22"/>
  <c r="L75" i="22"/>
  <c r="N107" i="22"/>
  <c r="J91" i="22"/>
  <c r="E114" i="48"/>
  <c r="O70" i="22"/>
  <c r="N70" i="22"/>
  <c r="L70" i="22"/>
  <c r="N102" i="22"/>
  <c r="J89" i="22"/>
  <c r="O74" i="22"/>
  <c r="N74" i="22"/>
  <c r="L74" i="22"/>
  <c r="N106" i="22"/>
  <c r="J81" i="22"/>
  <c r="E101" i="48"/>
  <c r="O76" i="22"/>
  <c r="N76" i="22"/>
  <c r="L76" i="22"/>
  <c r="N108" i="22"/>
  <c r="J84" i="22"/>
  <c r="O69" i="22"/>
  <c r="N69" i="22"/>
  <c r="L69" i="22"/>
  <c r="N101" i="22"/>
  <c r="J83" i="22"/>
  <c r="O73" i="22"/>
  <c r="N73" i="22"/>
  <c r="L73" i="22"/>
  <c r="N105" i="22"/>
  <c r="J86" i="22"/>
  <c r="O72" i="22"/>
  <c r="N72" i="22"/>
  <c r="L72" i="22"/>
  <c r="N104" i="22"/>
  <c r="J78" i="22"/>
  <c r="E97" i="48"/>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c r="X50" i="33"/>
  <c r="E102" i="48"/>
  <c r="AG50" i="33"/>
  <c r="AJ50" i="33"/>
  <c r="E104" i="48"/>
  <c r="F50" i="33"/>
  <c r="E100" i="48"/>
  <c r="AS50" i="33"/>
  <c r="E110" i="48"/>
  <c r="E113" i="48"/>
  <c r="AV50" i="33"/>
  <c r="U50" i="33"/>
  <c r="E105" i="48"/>
  <c r="E96" i="48"/>
  <c r="C50" i="33"/>
  <c r="E90" i="47"/>
  <c r="E90" i="28"/>
  <c r="D90" i="28"/>
  <c r="E91" i="47"/>
  <c r="E91" i="28"/>
  <c r="D91" i="28"/>
  <c r="E104" i="47"/>
  <c r="E104" i="28"/>
  <c r="D104" i="28"/>
  <c r="E105" i="47"/>
  <c r="E105" i="28"/>
  <c r="D105" i="28"/>
  <c r="E100" i="47"/>
  <c r="E100" i="28"/>
  <c r="D100" i="28"/>
  <c r="E101" i="28"/>
  <c r="D101" i="28"/>
  <c r="E101" i="47"/>
  <c r="E96" i="47"/>
  <c r="E96" i="28"/>
  <c r="D96" i="28"/>
  <c r="E97" i="47"/>
  <c r="E97" i="28"/>
  <c r="D97" i="28"/>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c r="MG91" i="47"/>
  <c r="JK91" i="47"/>
  <c r="JT91" i="47"/>
  <c r="BK91" i="47"/>
  <c r="BT91" i="47"/>
  <c r="IK91" i="47"/>
  <c r="IT91" i="47"/>
  <c r="IX91" i="47"/>
  <c r="JG91" i="47"/>
  <c r="EK91" i="47"/>
  <c r="ET91" i="47"/>
  <c r="CK91" i="47"/>
  <c r="CT91" i="47"/>
  <c r="EX91" i="47"/>
  <c r="FG91" i="47"/>
  <c r="X91" i="47"/>
  <c r="AG91" i="47"/>
  <c r="AK91" i="47"/>
  <c r="AT91" i="47"/>
  <c r="HK91" i="47"/>
  <c r="HT91" i="47"/>
  <c r="GK91" i="47"/>
  <c r="GT91" i="47"/>
  <c r="GX91" i="47"/>
  <c r="HG91" i="47"/>
  <c r="JX91" i="47"/>
  <c r="KG91" i="47"/>
  <c r="HX91" i="47"/>
  <c r="IG91" i="47"/>
  <c r="KX91" i="47"/>
  <c r="LG91" i="47"/>
  <c r="DK91" i="47"/>
  <c r="DT91" i="47"/>
  <c r="BX91" i="47"/>
  <c r="CG91" i="47"/>
  <c r="LK91" i="47"/>
  <c r="LT91" i="47"/>
  <c r="DX91" i="47"/>
  <c r="EG91" i="47"/>
  <c r="AX91" i="47"/>
  <c r="BG91" i="47"/>
  <c r="FX91" i="47"/>
  <c r="GG91" i="47"/>
  <c r="K91" i="47"/>
  <c r="T91" i="47"/>
  <c r="FK91" i="47"/>
  <c r="FT91" i="47"/>
  <c r="CX91" i="47"/>
  <c r="DG91" i="47"/>
  <c r="KK91" i="47"/>
  <c r="KT91" i="47"/>
  <c r="EX97" i="47"/>
  <c r="FG97" i="47"/>
  <c r="LX97" i="47"/>
  <c r="MG97" i="47"/>
  <c r="HK97" i="47"/>
  <c r="HT97" i="47"/>
  <c r="BK97" i="47"/>
  <c r="BT97" i="47"/>
  <c r="CK97" i="47"/>
  <c r="CT97" i="47"/>
  <c r="IK97" i="47"/>
  <c r="IT97" i="47"/>
  <c r="LK97" i="47"/>
  <c r="LT97" i="47"/>
  <c r="KX97" i="47"/>
  <c r="LG97" i="47"/>
  <c r="GX97" i="47"/>
  <c r="HG97" i="47"/>
  <c r="JK97" i="47"/>
  <c r="JT97" i="47"/>
  <c r="FX97" i="47"/>
  <c r="GG97" i="47"/>
  <c r="AK97" i="47"/>
  <c r="AT97" i="47"/>
  <c r="HX97" i="47"/>
  <c r="IG97" i="47"/>
  <c r="JX97" i="47"/>
  <c r="KG97" i="47"/>
  <c r="FK97" i="47"/>
  <c r="FT97" i="47"/>
  <c r="KK97" i="47"/>
  <c r="KT97" i="47"/>
  <c r="X97" i="47"/>
  <c r="AG97" i="47"/>
  <c r="BX97" i="47"/>
  <c r="CG97" i="47"/>
  <c r="DX97" i="47"/>
  <c r="EG97" i="47"/>
  <c r="K97" i="47"/>
  <c r="T97" i="47"/>
  <c r="EK97" i="47"/>
  <c r="ET97" i="47"/>
  <c r="IX97" i="47"/>
  <c r="JG97" i="47"/>
  <c r="GK97" i="47"/>
  <c r="GT97" i="47"/>
  <c r="DK97" i="47"/>
  <c r="DT97" i="47"/>
  <c r="CX97" i="47"/>
  <c r="DG97" i="47"/>
  <c r="AX97" i="47"/>
  <c r="BG97" i="47"/>
  <c r="IX105" i="47"/>
  <c r="JG105" i="47"/>
  <c r="DX105" i="47"/>
  <c r="EG105" i="47"/>
  <c r="EK105" i="47"/>
  <c r="ET105" i="47"/>
  <c r="JX105" i="47"/>
  <c r="KG105" i="47"/>
  <c r="AK105" i="47"/>
  <c r="AT105" i="47"/>
  <c r="X105" i="47"/>
  <c r="AG105" i="47"/>
  <c r="KX105" i="47"/>
  <c r="LG105" i="47"/>
  <c r="LX105" i="47"/>
  <c r="MG105" i="47"/>
  <c r="HX105" i="47"/>
  <c r="IG105" i="47"/>
  <c r="JK105" i="47"/>
  <c r="JT105" i="47"/>
  <c r="K105" i="47"/>
  <c r="T105" i="47"/>
  <c r="DK105" i="47"/>
  <c r="DT105" i="47"/>
  <c r="FK105" i="47"/>
  <c r="FT105" i="47"/>
  <c r="CK105" i="47"/>
  <c r="CT105" i="47"/>
  <c r="LK105" i="47"/>
  <c r="LT105" i="47"/>
  <c r="KK105" i="47"/>
  <c r="KT105" i="47"/>
  <c r="EX105" i="47"/>
  <c r="FG105" i="47"/>
  <c r="GX105" i="47"/>
  <c r="HG105" i="47"/>
  <c r="BK105" i="47"/>
  <c r="BT105" i="47"/>
  <c r="CX105" i="47"/>
  <c r="DG105" i="47"/>
  <c r="GK105" i="47"/>
  <c r="GT105" i="47"/>
  <c r="BX105" i="47"/>
  <c r="CG105" i="47"/>
  <c r="AX105" i="47"/>
  <c r="BG105" i="47"/>
  <c r="HK105" i="47"/>
  <c r="HT105" i="47"/>
  <c r="FX105" i="47"/>
  <c r="GG105" i="47"/>
  <c r="IK105" i="47"/>
  <c r="IT105" i="47"/>
  <c r="CX100" i="47"/>
  <c r="DG100" i="47"/>
  <c r="DX100" i="47"/>
  <c r="EG100" i="47"/>
  <c r="FK100" i="47"/>
  <c r="FT100" i="47"/>
  <c r="JK100" i="47"/>
  <c r="JT100" i="47"/>
  <c r="GK100" i="47"/>
  <c r="GT100" i="47"/>
  <c r="BK100" i="47"/>
  <c r="BT100" i="47"/>
  <c r="IX100" i="47"/>
  <c r="JG100" i="47"/>
  <c r="EK100" i="47"/>
  <c r="ET100" i="47"/>
  <c r="IK100" i="47"/>
  <c r="IT100" i="47"/>
  <c r="X100" i="47"/>
  <c r="AG100" i="47"/>
  <c r="AX100" i="47"/>
  <c r="BG100" i="47"/>
  <c r="LX100" i="47"/>
  <c r="MG100" i="47"/>
  <c r="KK100" i="47"/>
  <c r="KT100" i="47"/>
  <c r="K100" i="47"/>
  <c r="T100" i="47"/>
  <c r="DK100" i="47"/>
  <c r="DT100" i="47"/>
  <c r="CK100" i="47"/>
  <c r="CT100" i="47"/>
  <c r="KX100" i="47"/>
  <c r="LG100" i="47"/>
  <c r="BX100" i="47"/>
  <c r="CG100" i="47"/>
  <c r="JX100" i="47"/>
  <c r="KG100" i="47"/>
  <c r="AK100" i="47"/>
  <c r="AT100" i="47"/>
  <c r="LK100" i="47"/>
  <c r="LT100" i="47"/>
  <c r="FX100" i="47"/>
  <c r="GG100" i="47"/>
  <c r="GX100" i="47"/>
  <c r="HG100" i="47"/>
  <c r="HK100" i="47"/>
  <c r="HT100" i="47"/>
  <c r="EX100" i="47"/>
  <c r="FG100" i="47"/>
  <c r="HX100" i="47"/>
  <c r="IG100" i="47"/>
  <c r="CX90" i="47"/>
  <c r="DG90" i="47"/>
  <c r="FK90" i="47"/>
  <c r="FT90" i="47"/>
  <c r="X90" i="47"/>
  <c r="AG90" i="47"/>
  <c r="CK90" i="47"/>
  <c r="CT90" i="47"/>
  <c r="KK90" i="47"/>
  <c r="KT90" i="47"/>
  <c r="DX90" i="47"/>
  <c r="EG90" i="47"/>
  <c r="HK90" i="47"/>
  <c r="HT90" i="47"/>
  <c r="BX90" i="47"/>
  <c r="CG90" i="47"/>
  <c r="DK90" i="47"/>
  <c r="DT90" i="47"/>
  <c r="AK90" i="47"/>
  <c r="AT90" i="47"/>
  <c r="FX90" i="47"/>
  <c r="GG90" i="47"/>
  <c r="HX90" i="47"/>
  <c r="IG90" i="47"/>
  <c r="IK90" i="47"/>
  <c r="IT90" i="47"/>
  <c r="JX90" i="47"/>
  <c r="KG90" i="47"/>
  <c r="EX90" i="47"/>
  <c r="FG90" i="47"/>
  <c r="KX90" i="47"/>
  <c r="LG90" i="47"/>
  <c r="JK90" i="47"/>
  <c r="JT90" i="47"/>
  <c r="LK90" i="47"/>
  <c r="LT90" i="47"/>
  <c r="LX90" i="47"/>
  <c r="MG90" i="47"/>
  <c r="AX90" i="47"/>
  <c r="BG90" i="47"/>
  <c r="EK90" i="47"/>
  <c r="ET90" i="47"/>
  <c r="GK90" i="47"/>
  <c r="GT90" i="47"/>
  <c r="IX90" i="47"/>
  <c r="JG90" i="47"/>
  <c r="K90" i="47"/>
  <c r="T90" i="47"/>
  <c r="BK90" i="47"/>
  <c r="BT90" i="47"/>
  <c r="GX90" i="47"/>
  <c r="HG90" i="47"/>
  <c r="AX101" i="47"/>
  <c r="BG101" i="47"/>
  <c r="HX101" i="47"/>
  <c r="IG101" i="47"/>
  <c r="IX101" i="47"/>
  <c r="JG101" i="47"/>
  <c r="FK101" i="47"/>
  <c r="FT101" i="47"/>
  <c r="AK101" i="47"/>
  <c r="AT101" i="47"/>
  <c r="LX101" i="47"/>
  <c r="MG101" i="47"/>
  <c r="DX101" i="47"/>
  <c r="EG101" i="47"/>
  <c r="GK101" i="47"/>
  <c r="GT101" i="47"/>
  <c r="GX101" i="47"/>
  <c r="HG101" i="47"/>
  <c r="BK101" i="47"/>
  <c r="BT101" i="47"/>
  <c r="K101" i="47"/>
  <c r="T101" i="47"/>
  <c r="JK101" i="47"/>
  <c r="JT101" i="47"/>
  <c r="HK101" i="47"/>
  <c r="HT101" i="47"/>
  <c r="LK101" i="47"/>
  <c r="LT101" i="47"/>
  <c r="IK101" i="47"/>
  <c r="IT101" i="47"/>
  <c r="EX101" i="47"/>
  <c r="FG101" i="47"/>
  <c r="CX101" i="47"/>
  <c r="DG101" i="47"/>
  <c r="X101" i="47"/>
  <c r="AG101" i="47"/>
  <c r="DK101" i="47"/>
  <c r="DT101" i="47"/>
  <c r="FX101" i="47"/>
  <c r="GG101" i="47"/>
  <c r="CK101" i="47"/>
  <c r="CT101" i="47"/>
  <c r="KX101" i="47"/>
  <c r="LG101" i="47"/>
  <c r="KK101" i="47"/>
  <c r="KT101" i="47"/>
  <c r="EK101" i="47"/>
  <c r="ET101" i="47"/>
  <c r="JX101" i="47"/>
  <c r="KG101" i="47"/>
  <c r="BX101" i="47"/>
  <c r="CG101" i="47"/>
  <c r="KX104" i="47"/>
  <c r="LG104" i="47"/>
  <c r="GX104" i="47"/>
  <c r="HG104" i="47"/>
  <c r="KK104" i="47"/>
  <c r="KT104" i="47"/>
  <c r="BX104" i="47"/>
  <c r="CG104" i="47"/>
  <c r="IK104" i="47"/>
  <c r="IT104" i="47"/>
  <c r="LX104" i="47"/>
  <c r="MG104" i="47"/>
  <c r="K104" i="47"/>
  <c r="T104" i="47"/>
  <c r="HX104" i="47"/>
  <c r="IG104" i="47"/>
  <c r="EK104" i="47"/>
  <c r="ET104" i="47"/>
  <c r="GK104" i="47"/>
  <c r="GT104" i="47"/>
  <c r="HK104" i="47"/>
  <c r="HT104" i="47"/>
  <c r="CK104" i="47"/>
  <c r="CT104" i="47"/>
  <c r="CX104" i="47"/>
  <c r="DG104" i="47"/>
  <c r="AK104" i="47"/>
  <c r="AT104" i="47"/>
  <c r="BK104" i="47"/>
  <c r="BT104" i="47"/>
  <c r="EX104" i="47"/>
  <c r="FG104" i="47"/>
  <c r="DK104" i="47"/>
  <c r="DT104" i="47"/>
  <c r="FX104" i="47"/>
  <c r="GG104" i="47"/>
  <c r="LK104" i="47"/>
  <c r="LT104" i="47"/>
  <c r="IX104" i="47"/>
  <c r="JG104" i="47"/>
  <c r="JX104" i="47"/>
  <c r="KG104" i="47"/>
  <c r="FK104" i="47"/>
  <c r="FT104" i="47"/>
  <c r="AX104" i="47"/>
  <c r="BG104" i="47"/>
  <c r="JK104" i="47"/>
  <c r="JT104" i="47"/>
  <c r="X104" i="47"/>
  <c r="AG104" i="47"/>
  <c r="DX104" i="47"/>
  <c r="EG104" i="47"/>
  <c r="CK96" i="47"/>
  <c r="CT96" i="47"/>
  <c r="X96" i="47"/>
  <c r="AG96" i="47"/>
  <c r="LX96" i="47"/>
  <c r="MG96" i="47"/>
  <c r="LK96" i="47"/>
  <c r="LT96" i="47"/>
  <c r="IX96" i="47"/>
  <c r="JG96" i="47"/>
  <c r="FK96" i="47"/>
  <c r="FT96" i="47"/>
  <c r="HK96" i="47"/>
  <c r="HT96" i="47"/>
  <c r="JK96" i="47"/>
  <c r="JT96" i="47"/>
  <c r="GK96" i="47"/>
  <c r="GT96" i="47"/>
  <c r="AX96" i="47"/>
  <c r="BG96" i="47"/>
  <c r="EX96" i="47"/>
  <c r="FG96" i="47"/>
  <c r="FX96" i="47"/>
  <c r="GG96" i="47"/>
  <c r="JX96" i="47"/>
  <c r="KG96" i="47"/>
  <c r="BK96" i="47"/>
  <c r="BT96" i="47"/>
  <c r="BX96" i="47"/>
  <c r="CG96" i="47"/>
  <c r="GX96" i="47"/>
  <c r="HG96" i="47"/>
  <c r="DK96" i="47"/>
  <c r="DT96" i="47"/>
  <c r="AK96" i="47"/>
  <c r="AT96" i="47"/>
  <c r="IK96" i="47"/>
  <c r="IT96" i="47"/>
  <c r="EK96" i="47"/>
  <c r="ET96" i="47"/>
  <c r="CX96" i="47"/>
  <c r="DG96" i="47"/>
  <c r="K96" i="47"/>
  <c r="T96" i="47"/>
  <c r="DX96" i="47"/>
  <c r="EG96" i="47"/>
  <c r="KX96" i="47"/>
  <c r="LG96" i="47"/>
  <c r="KK96" i="47"/>
  <c r="KT96" i="47"/>
  <c r="HX96" i="47"/>
  <c r="IG96" i="47"/>
  <c r="O38" i="73" a="1"/>
  <c r="O38" i="73"/>
  <c r="R38" i="73" a="1"/>
  <c r="R38" i="73"/>
  <c r="Q38" i="73" a="1"/>
  <c r="Q38" i="73"/>
  <c r="T38" i="73"/>
  <c r="O22" i="73" a="1"/>
  <c r="O22" i="73"/>
  <c r="R22" i="73" a="1"/>
  <c r="R22" i="73"/>
  <c r="Q22" i="73" a="1"/>
  <c r="Q22" i="73"/>
  <c r="T22" i="73"/>
  <c r="AK38" i="73" a="1"/>
  <c r="AK40" i="73"/>
  <c r="AP40" i="73"/>
  <c r="O39" i="73"/>
  <c r="R39" i="73"/>
  <c r="Q39" i="73"/>
  <c r="T39" i="73"/>
  <c r="AK38" i="73"/>
  <c r="AP38" i="73"/>
  <c r="O41" i="73"/>
  <c r="R41" i="73"/>
  <c r="Q41" i="73"/>
  <c r="T41" i="73"/>
  <c r="O40" i="73"/>
  <c r="R40" i="73"/>
  <c r="Q40" i="73"/>
  <c r="T40" i="73"/>
  <c r="AK22" i="73" a="1"/>
  <c r="AK22" i="73"/>
  <c r="AP22" i="73"/>
  <c r="O24" i="73"/>
  <c r="R24" i="73"/>
  <c r="Q24" i="73"/>
  <c r="T24" i="73"/>
  <c r="O23" i="73"/>
  <c r="R23" i="73"/>
  <c r="Q23" i="73"/>
  <c r="T23" i="73"/>
  <c r="AK41" i="73"/>
  <c r="AP41" i="73"/>
  <c r="O25" i="73"/>
  <c r="R25" i="73"/>
  <c r="Q25" i="73"/>
  <c r="T25" i="73"/>
  <c r="O86" i="73" a="1"/>
  <c r="O87" i="73"/>
  <c r="R86" i="73" a="1"/>
  <c r="R87" i="73"/>
  <c r="Q86" i="73" a="1"/>
  <c r="Q87" i="73"/>
  <c r="T87" i="73"/>
  <c r="O89" i="73"/>
  <c r="R89" i="73"/>
  <c r="Q89" i="73"/>
  <c r="T89" i="73"/>
  <c r="O86" i="73"/>
  <c r="R86" i="73"/>
  <c r="Q86" i="73"/>
  <c r="T86" i="73"/>
  <c r="AK86" i="73" a="1"/>
  <c r="AK86" i="73"/>
  <c r="AP86" i="73"/>
  <c r="AK30" i="73" a="1"/>
  <c r="AK30" i="73"/>
  <c r="AP30" i="73"/>
  <c r="O30" i="73" a="1"/>
  <c r="O32" i="73"/>
  <c r="R30" i="73" a="1"/>
  <c r="R32" i="73"/>
  <c r="Q30" i="73" a="1"/>
  <c r="Q32" i="73"/>
  <c r="T32" i="73"/>
  <c r="O30" i="73"/>
  <c r="R30" i="73"/>
  <c r="Q30" i="73"/>
  <c r="T30" i="73"/>
  <c r="AK6" i="73" a="1"/>
  <c r="AK6" i="73"/>
  <c r="AP6" i="73"/>
  <c r="O31" i="73"/>
  <c r="R31" i="73"/>
  <c r="Q31" i="73"/>
  <c r="T31" i="73"/>
  <c r="O6" i="73" a="1"/>
  <c r="O8" i="73"/>
  <c r="R6" i="73" a="1"/>
  <c r="R8" i="73"/>
  <c r="Q6" i="73" a="1"/>
  <c r="Q8" i="73"/>
  <c r="T8" i="73"/>
  <c r="O9" i="73"/>
  <c r="R9" i="73"/>
  <c r="Q9" i="73"/>
  <c r="T9" i="73"/>
  <c r="O6" i="73"/>
  <c r="R6" i="73"/>
  <c r="Q6" i="73"/>
  <c r="T6" i="73"/>
  <c r="O7" i="73"/>
  <c r="R7" i="73"/>
  <c r="Q7" i="73"/>
  <c r="T7" i="73"/>
  <c r="O88" i="73"/>
  <c r="R88" i="73"/>
  <c r="Q88" i="73"/>
  <c r="T88" i="73"/>
  <c r="AK46" i="73" a="1"/>
  <c r="AK46" i="73"/>
  <c r="AP46" i="73"/>
  <c r="O46" i="73" a="1"/>
  <c r="O47" i="73"/>
  <c r="R46" i="73" a="1"/>
  <c r="R47" i="73"/>
  <c r="Q46" i="73" a="1"/>
  <c r="Q47" i="73"/>
  <c r="T47" i="73"/>
  <c r="O46" i="73"/>
  <c r="R46" i="73"/>
  <c r="Q46" i="73"/>
  <c r="T46" i="73"/>
  <c r="O48" i="73"/>
  <c r="R48" i="73"/>
  <c r="Q48" i="73"/>
  <c r="T48" i="73"/>
  <c r="AK88" i="73"/>
  <c r="AP88" i="73"/>
  <c r="AK89" i="73"/>
  <c r="AP89" i="73"/>
  <c r="AK24" i="73"/>
  <c r="AP24" i="73"/>
  <c r="O49" i="73"/>
  <c r="R49" i="73"/>
  <c r="Q49" i="73"/>
  <c r="T49" i="73"/>
  <c r="O33" i="73"/>
  <c r="R33" i="73"/>
  <c r="Q33" i="73"/>
  <c r="T33" i="73"/>
  <c r="O78" i="73" a="1"/>
  <c r="O80" i="73"/>
  <c r="R78" i="73" a="1"/>
  <c r="R80" i="73"/>
  <c r="Q78" i="73" a="1"/>
  <c r="Q80" i="73"/>
  <c r="T80" i="73"/>
  <c r="O54" i="73" a="1"/>
  <c r="O54" i="73"/>
  <c r="R54" i="73" a="1"/>
  <c r="R54" i="73"/>
  <c r="Q54" i="73" a="1"/>
  <c r="Q54" i="73"/>
  <c r="T54" i="73"/>
  <c r="O79" i="73"/>
  <c r="R79" i="73"/>
  <c r="Q79" i="73"/>
  <c r="T79" i="73"/>
  <c r="O57" i="73"/>
  <c r="R57" i="73"/>
  <c r="Q57" i="73"/>
  <c r="T57" i="73"/>
  <c r="O62" i="73" a="1"/>
  <c r="O62" i="73"/>
  <c r="R62" i="73" a="1"/>
  <c r="R62" i="73"/>
  <c r="Q62" i="73" a="1"/>
  <c r="Q62" i="73"/>
  <c r="T62" i="73"/>
  <c r="AK23" i="73"/>
  <c r="AP23" i="73"/>
  <c r="AK25" i="73"/>
  <c r="AP25" i="73"/>
  <c r="AK62" i="73" a="1"/>
  <c r="AK62" i="73"/>
  <c r="AP62" i="73"/>
  <c r="O56" i="73"/>
  <c r="R56" i="73"/>
  <c r="Q56" i="73"/>
  <c r="T56" i="73"/>
  <c r="AK54" i="73" a="1"/>
  <c r="AK54" i="73"/>
  <c r="AP54" i="73"/>
  <c r="O78" i="73"/>
  <c r="R78" i="73"/>
  <c r="Q78" i="73"/>
  <c r="T78" i="73"/>
  <c r="AK39" i="73"/>
  <c r="AP39" i="73"/>
  <c r="G22" i="73" a="1"/>
  <c r="G24" i="73"/>
  <c r="I22" i="73" a="1"/>
  <c r="I24" i="73"/>
  <c r="F24" i="73"/>
  <c r="AK78" i="73" a="1"/>
  <c r="AK78" i="73"/>
  <c r="AP78" i="73"/>
  <c r="G78" i="73" a="1"/>
  <c r="G80" i="73"/>
  <c r="I78" i="73" a="1"/>
  <c r="I80" i="73"/>
  <c r="F80" i="73"/>
  <c r="G38" i="73" a="1"/>
  <c r="G40" i="73"/>
  <c r="I38" i="73" a="1"/>
  <c r="I40" i="73"/>
  <c r="F40" i="73"/>
  <c r="O64" i="73"/>
  <c r="R64" i="73"/>
  <c r="Q64" i="73"/>
  <c r="T64" i="73"/>
  <c r="O63" i="73"/>
  <c r="R63" i="73"/>
  <c r="Q63" i="73"/>
  <c r="T63" i="73"/>
  <c r="O65" i="73"/>
  <c r="R65" i="73"/>
  <c r="Q65" i="73"/>
  <c r="T65" i="73"/>
  <c r="O55" i="73"/>
  <c r="R55" i="73"/>
  <c r="Q55" i="73"/>
  <c r="T55" i="73"/>
  <c r="AK87" i="73"/>
  <c r="AP87" i="73"/>
  <c r="G86" i="73" a="1"/>
  <c r="G88" i="73"/>
  <c r="I86" i="73" a="1"/>
  <c r="I88" i="73"/>
  <c r="F88" i="73"/>
  <c r="AK70" i="73" a="1"/>
  <c r="AK70" i="73"/>
  <c r="AP70" i="73"/>
  <c r="O70" i="73" a="1"/>
  <c r="O72" i="73"/>
  <c r="R70" i="73" a="1"/>
  <c r="R72" i="73"/>
  <c r="Q70" i="73" a="1"/>
  <c r="Q72" i="73"/>
  <c r="T72" i="73"/>
  <c r="O71" i="73"/>
  <c r="R71" i="73"/>
  <c r="Q71" i="73"/>
  <c r="T71" i="73"/>
  <c r="O70" i="73"/>
  <c r="R70" i="73"/>
  <c r="Q70" i="73"/>
  <c r="T70" i="73"/>
  <c r="O14" i="73" a="1"/>
  <c r="O14" i="73"/>
  <c r="R14" i="73" a="1"/>
  <c r="R14" i="73"/>
  <c r="Q14" i="73" a="1"/>
  <c r="Q14" i="73"/>
  <c r="T14" i="73"/>
  <c r="AK14" i="73" a="1"/>
  <c r="AK14" i="73"/>
  <c r="AP14" i="73"/>
  <c r="O15" i="73"/>
  <c r="R15" i="73"/>
  <c r="Q15" i="73"/>
  <c r="T15" i="73"/>
  <c r="G30" i="73" a="1"/>
  <c r="G32" i="73"/>
  <c r="I30" i="73" a="1"/>
  <c r="I32" i="73"/>
  <c r="F32" i="73"/>
  <c r="AK32" i="73"/>
  <c r="AP32" i="73"/>
  <c r="AK33" i="73"/>
  <c r="AP33" i="73"/>
  <c r="AK31" i="73"/>
  <c r="AP31" i="73"/>
  <c r="G6" i="73" a="1"/>
  <c r="G8" i="73"/>
  <c r="I6" i="73" a="1"/>
  <c r="I8" i="73"/>
  <c r="F8" i="73"/>
  <c r="AK8" i="73"/>
  <c r="AP8" i="73"/>
  <c r="AK7" i="73"/>
  <c r="AP7" i="73"/>
  <c r="AK9" i="73"/>
  <c r="AP9" i="73"/>
  <c r="O17" i="73"/>
  <c r="R17" i="73"/>
  <c r="Q17" i="73"/>
  <c r="T17" i="73"/>
  <c r="AK56" i="73"/>
  <c r="AP56" i="73"/>
  <c r="AK57" i="73"/>
  <c r="AP57" i="73"/>
  <c r="G46" i="73" a="1"/>
  <c r="G48" i="73"/>
  <c r="I46" i="73" a="1"/>
  <c r="I48" i="73"/>
  <c r="F48" i="73"/>
  <c r="AK48" i="73"/>
  <c r="AP48" i="73"/>
  <c r="AK47" i="73"/>
  <c r="AP47" i="73"/>
  <c r="AK49" i="73"/>
  <c r="AP49" i="73"/>
  <c r="AK16" i="73"/>
  <c r="AP16" i="73"/>
  <c r="O81" i="73"/>
  <c r="R81" i="73"/>
  <c r="Q81" i="73"/>
  <c r="T81" i="73"/>
  <c r="O73" i="73"/>
  <c r="R73" i="73"/>
  <c r="Q73" i="73"/>
  <c r="T73" i="73"/>
  <c r="O16" i="73"/>
  <c r="R16" i="73"/>
  <c r="Q16" i="73"/>
  <c r="T16" i="73"/>
  <c r="O94" i="73" a="1"/>
  <c r="O97" i="73"/>
  <c r="R94" i="73" a="1"/>
  <c r="R97" i="73"/>
  <c r="Q94" i="73" a="1"/>
  <c r="Q97" i="73"/>
  <c r="T97" i="73"/>
  <c r="O96" i="73"/>
  <c r="R96" i="73"/>
  <c r="Q96" i="73"/>
  <c r="T96" i="73"/>
  <c r="O94" i="73"/>
  <c r="R94" i="73"/>
  <c r="Q94" i="73"/>
  <c r="T94" i="73"/>
  <c r="O95" i="73"/>
  <c r="R95" i="73"/>
  <c r="Q95" i="73"/>
  <c r="T95" i="73"/>
  <c r="AK65" i="73"/>
  <c r="AP65" i="73"/>
  <c r="AK63" i="73"/>
  <c r="AP63" i="73"/>
  <c r="AK64" i="73"/>
  <c r="AP64" i="73"/>
  <c r="G78" i="73"/>
  <c r="I78" i="73"/>
  <c r="F78" i="73"/>
  <c r="G22" i="73"/>
  <c r="I22" i="73"/>
  <c r="F22" i="73"/>
  <c r="AK55" i="73"/>
  <c r="AP55" i="73"/>
  <c r="G41" i="73"/>
  <c r="I41" i="73"/>
  <c r="F41" i="73"/>
  <c r="AK80" i="73"/>
  <c r="AP80" i="73"/>
  <c r="AK81" i="73"/>
  <c r="AP81" i="73"/>
  <c r="AK79" i="73"/>
  <c r="AP79" i="73"/>
  <c r="G38" i="73"/>
  <c r="I38" i="73"/>
  <c r="F38" i="73"/>
  <c r="G39" i="73"/>
  <c r="I39" i="73"/>
  <c r="F39" i="73"/>
  <c r="AK94" i="73" a="1"/>
  <c r="AK94" i="73"/>
  <c r="AP94" i="73"/>
  <c r="G23" i="73"/>
  <c r="I23" i="73"/>
  <c r="F23" i="73"/>
  <c r="G81" i="73"/>
  <c r="I81" i="73"/>
  <c r="F81" i="73"/>
  <c r="G54" i="73" a="1"/>
  <c r="G56" i="73"/>
  <c r="I54" i="73" a="1"/>
  <c r="I56" i="73"/>
  <c r="F56" i="73"/>
  <c r="G94" i="73" a="1"/>
  <c r="G96" i="73"/>
  <c r="I94" i="73" a="1"/>
  <c r="I96" i="73"/>
  <c r="F96" i="73"/>
  <c r="G79" i="73"/>
  <c r="I79" i="73"/>
  <c r="F79" i="73"/>
  <c r="G25" i="73"/>
  <c r="I25" i="73"/>
  <c r="F25" i="73"/>
  <c r="G86" i="73"/>
  <c r="I86" i="73"/>
  <c r="F86" i="73"/>
  <c r="G87" i="73"/>
  <c r="I87" i="73"/>
  <c r="F87" i="73"/>
  <c r="G89" i="73"/>
  <c r="I89" i="73"/>
  <c r="F89" i="73"/>
  <c r="AK71" i="73"/>
  <c r="AP71" i="73"/>
  <c r="AK73" i="73"/>
  <c r="AP73" i="73"/>
  <c r="AK72" i="73"/>
  <c r="AP72" i="73"/>
  <c r="AK15" i="73"/>
  <c r="AP15" i="73"/>
  <c r="AK17" i="73"/>
  <c r="AP17" i="73"/>
  <c r="G14" i="73" a="1"/>
  <c r="G16" i="73"/>
  <c r="I14" i="73" a="1"/>
  <c r="I16" i="73"/>
  <c r="F16" i="73"/>
  <c r="G33" i="73"/>
  <c r="I33" i="73"/>
  <c r="F33" i="73"/>
  <c r="G30" i="73"/>
  <c r="I30" i="73"/>
  <c r="F30" i="73"/>
  <c r="G9" i="73"/>
  <c r="I9" i="73"/>
  <c r="F9" i="73"/>
  <c r="G7" i="73"/>
  <c r="I7" i="73"/>
  <c r="F7" i="73"/>
  <c r="G6" i="73"/>
  <c r="I6" i="73"/>
  <c r="F6" i="73"/>
  <c r="G70" i="73" a="1"/>
  <c r="G72" i="73"/>
  <c r="I70" i="73" a="1"/>
  <c r="I72" i="73"/>
  <c r="F72" i="73"/>
  <c r="G31" i="73"/>
  <c r="I31" i="73"/>
  <c r="F31" i="73"/>
  <c r="G49" i="73"/>
  <c r="I49" i="73"/>
  <c r="F49" i="73"/>
  <c r="G46" i="73"/>
  <c r="I46" i="73"/>
  <c r="F46" i="73"/>
  <c r="G47" i="73"/>
  <c r="I47" i="73"/>
  <c r="F47" i="73"/>
  <c r="G62" i="73" a="1"/>
  <c r="G64" i="73"/>
  <c r="I62" i="73" a="1"/>
  <c r="I64" i="73"/>
  <c r="F64" i="73"/>
  <c r="G65" i="73"/>
  <c r="I65" i="73"/>
  <c r="F65" i="73"/>
  <c r="AU5" i="63" a="1"/>
  <c r="AU8" i="63"/>
  <c r="AV5" i="63" a="1"/>
  <c r="AV8" i="63"/>
  <c r="AV17" i="63"/>
  <c r="M22" i="63" a="1"/>
  <c r="AU7" i="63"/>
  <c r="AV7" i="63"/>
  <c r="AV16" i="63"/>
  <c r="AU6" i="63"/>
  <c r="AV6" i="63"/>
  <c r="AV15" i="63"/>
  <c r="M24" i="63"/>
  <c r="AU5" i="63"/>
  <c r="AV5" i="63"/>
  <c r="AV14" i="63"/>
  <c r="M22" i="63"/>
  <c r="M23" i="63"/>
  <c r="M25" i="63"/>
  <c r="AU5" i="72" a="1"/>
  <c r="AU8" i="72"/>
  <c r="AV5" i="72" a="1"/>
  <c r="AV8" i="72"/>
  <c r="AV17" i="72"/>
  <c r="M22" i="72" a="1"/>
  <c r="AU5" i="72"/>
  <c r="AV5" i="72"/>
  <c r="AV14" i="72"/>
  <c r="M22" i="72"/>
  <c r="AU7" i="72"/>
  <c r="AV7" i="72"/>
  <c r="AV16" i="72"/>
  <c r="M24" i="72"/>
  <c r="AU6" i="72"/>
  <c r="AV6" i="72"/>
  <c r="AV15" i="72"/>
  <c r="M25" i="72"/>
  <c r="M23" i="72"/>
  <c r="AU5" i="66" a="1"/>
  <c r="AU8" i="66"/>
  <c r="AV5" i="66" a="1"/>
  <c r="AV8" i="66"/>
  <c r="AV17" i="66"/>
  <c r="M22" i="66" a="1"/>
  <c r="AU5" i="66"/>
  <c r="AV5" i="66"/>
  <c r="AV14" i="66"/>
  <c r="AU7" i="66"/>
  <c r="AV7" i="66"/>
  <c r="AV16" i="66"/>
  <c r="M22" i="66"/>
  <c r="AU6" i="66"/>
  <c r="AV6" i="66"/>
  <c r="AV15" i="66"/>
  <c r="M23" i="66"/>
  <c r="M24" i="66"/>
  <c r="M25" i="66"/>
  <c r="G54" i="73"/>
  <c r="I54" i="73"/>
  <c r="F54" i="73"/>
  <c r="G57" i="73"/>
  <c r="I57" i="73"/>
  <c r="F57" i="73"/>
  <c r="G97" i="73"/>
  <c r="I97" i="73"/>
  <c r="F97" i="73"/>
  <c r="G55" i="73"/>
  <c r="I55" i="73"/>
  <c r="F55" i="73"/>
  <c r="G95" i="73"/>
  <c r="I95" i="73"/>
  <c r="F95" i="73"/>
  <c r="AK97" i="73"/>
  <c r="AP97" i="73"/>
  <c r="AK95" i="73"/>
  <c r="AP95" i="73"/>
  <c r="AK96" i="73"/>
  <c r="AP96" i="73"/>
  <c r="G62" i="73"/>
  <c r="I62" i="73"/>
  <c r="F62" i="73"/>
  <c r="G94" i="73"/>
  <c r="I94" i="73"/>
  <c r="F94" i="73"/>
  <c r="G63" i="73"/>
  <c r="I63" i="73"/>
  <c r="F63" i="73"/>
  <c r="AU5" i="68" a="1"/>
  <c r="AU8" i="68"/>
  <c r="AV5" i="68" a="1"/>
  <c r="AV8" i="68"/>
  <c r="AV17" i="68"/>
  <c r="M22" i="68" a="1"/>
  <c r="AU7" i="68"/>
  <c r="AV7" i="68"/>
  <c r="AV16" i="68"/>
  <c r="AU6" i="68"/>
  <c r="AV6" i="68"/>
  <c r="AV15" i="68"/>
  <c r="M24" i="68"/>
  <c r="M25" i="68"/>
  <c r="M23" i="68"/>
  <c r="AU5" i="68"/>
  <c r="AV5" i="68"/>
  <c r="AV14" i="68"/>
  <c r="M22" i="68"/>
  <c r="G70" i="73"/>
  <c r="I70" i="73"/>
  <c r="F70" i="73"/>
  <c r="AU5" i="70" a="1"/>
  <c r="AU8" i="70"/>
  <c r="AV5" i="70" a="1"/>
  <c r="AV8" i="70"/>
  <c r="AV17" i="70"/>
  <c r="M22" i="70" a="1"/>
  <c r="AU7" i="70"/>
  <c r="AV7" i="70"/>
  <c r="AV16" i="70"/>
  <c r="AU6" i="70"/>
  <c r="AV6" i="70"/>
  <c r="AV15" i="70"/>
  <c r="M24" i="70"/>
  <c r="M25" i="70"/>
  <c r="AU5" i="70"/>
  <c r="AV5" i="70"/>
  <c r="AV14" i="70"/>
  <c r="M22" i="70"/>
  <c r="M23" i="70"/>
  <c r="G14" i="73"/>
  <c r="I14" i="73"/>
  <c r="F14" i="73"/>
  <c r="G73" i="73"/>
  <c r="I73" i="73"/>
  <c r="F73" i="73"/>
  <c r="G17" i="73"/>
  <c r="I17" i="73"/>
  <c r="F17" i="73"/>
  <c r="G71" i="73"/>
  <c r="I71" i="73"/>
  <c r="F71" i="73"/>
  <c r="G15" i="73"/>
  <c r="I15" i="73"/>
  <c r="F15" i="73"/>
  <c r="AU5" i="61" a="1"/>
  <c r="AU8" i="61"/>
  <c r="AV5" i="61" a="1"/>
  <c r="AV8" i="61"/>
  <c r="AV17" i="61"/>
  <c r="M22" i="61" a="1"/>
  <c r="AU7" i="61"/>
  <c r="AV7" i="61"/>
  <c r="AV16" i="61"/>
  <c r="M24" i="61"/>
  <c r="AU6" i="61"/>
  <c r="AV6" i="61"/>
  <c r="AV15" i="61"/>
  <c r="M25" i="61"/>
  <c r="AU5" i="61"/>
  <c r="AV5" i="61"/>
  <c r="AV14" i="61"/>
  <c r="M22" i="61"/>
  <c r="M23" i="61"/>
  <c r="AU5" i="71" a="1"/>
  <c r="AU8" i="71"/>
  <c r="AV5" i="71" a="1"/>
  <c r="AV8" i="71"/>
  <c r="AV17" i="71"/>
  <c r="M22" i="71" a="1"/>
  <c r="AU6" i="71"/>
  <c r="AV6" i="71"/>
  <c r="AV15" i="71"/>
  <c r="AU7" i="71"/>
  <c r="AV7" i="71"/>
  <c r="AV16" i="71"/>
  <c r="M23" i="71"/>
  <c r="M25" i="71"/>
  <c r="M24" i="71"/>
  <c r="AU5" i="71"/>
  <c r="AV5" i="71"/>
  <c r="AV14" i="71"/>
  <c r="M22" i="71"/>
  <c r="AU5" i="64" a="1"/>
  <c r="AU8" i="64"/>
  <c r="AV5" i="64" a="1"/>
  <c r="AV8" i="64"/>
  <c r="AV17" i="64"/>
  <c r="M22" i="64" a="1"/>
  <c r="AU5" i="64"/>
  <c r="AV5" i="64"/>
  <c r="AV14" i="64"/>
  <c r="M22" i="64"/>
  <c r="AU6" i="64"/>
  <c r="AV6" i="64"/>
  <c r="AV15" i="64"/>
  <c r="AU7" i="64"/>
  <c r="AV7" i="64"/>
  <c r="AV16" i="64"/>
  <c r="M23" i="64"/>
  <c r="M24" i="64"/>
  <c r="M25" i="64"/>
  <c r="AU5" i="65" a="1"/>
  <c r="AU8" i="65"/>
  <c r="AV5" i="65" a="1"/>
  <c r="AV8" i="65"/>
  <c r="AV17" i="65"/>
  <c r="M22" i="65" a="1"/>
  <c r="AU5" i="65"/>
  <c r="AV5" i="65"/>
  <c r="AV14" i="65"/>
  <c r="M22" i="65"/>
  <c r="AU7" i="65"/>
  <c r="AV7" i="65"/>
  <c r="AV16" i="65"/>
  <c r="M24" i="65"/>
  <c r="AU6" i="65"/>
  <c r="AV6" i="65"/>
  <c r="AV15" i="65"/>
  <c r="M25" i="65"/>
  <c r="M23" i="65"/>
  <c r="AU5" i="67" a="1"/>
  <c r="AU8" i="67"/>
  <c r="AV5" i="67" a="1"/>
  <c r="AV8" i="67"/>
  <c r="AV17" i="67"/>
  <c r="M22" i="67" a="1"/>
  <c r="AU6" i="67"/>
  <c r="AV6" i="67"/>
  <c r="AV15" i="67"/>
  <c r="M25" i="67"/>
  <c r="AU7" i="67"/>
  <c r="AV7" i="67"/>
  <c r="AV16" i="67"/>
  <c r="M23" i="67"/>
  <c r="M24" i="67"/>
  <c r="AU5" i="67"/>
  <c r="AV5" i="67"/>
  <c r="AV14" i="67"/>
  <c r="M22" i="67"/>
  <c r="AU5" i="69" a="1"/>
  <c r="AU8" i="69"/>
  <c r="AV5" i="69" a="1"/>
  <c r="AV8" i="69"/>
  <c r="AV17" i="69"/>
  <c r="M22" i="69" a="1"/>
  <c r="AU6" i="69"/>
  <c r="AV6" i="69"/>
  <c r="AV15" i="69"/>
  <c r="AU7" i="69"/>
  <c r="AV7" i="69"/>
  <c r="AV16" i="69"/>
  <c r="M25" i="69"/>
  <c r="AU5" i="69"/>
  <c r="AV5" i="69"/>
  <c r="AV14" i="69"/>
  <c r="M23" i="69"/>
  <c r="M22" i="69"/>
  <c r="M24" i="69"/>
  <c r="AU5" i="62" a="1"/>
  <c r="AU8" i="62"/>
  <c r="AV5" i="62" a="1"/>
  <c r="AV8" i="62"/>
  <c r="AV17" i="62"/>
  <c r="M22" i="62" a="1"/>
  <c r="AU5" i="62"/>
  <c r="AV5" i="62"/>
  <c r="AV14" i="62"/>
  <c r="AU6" i="62"/>
  <c r="AV6" i="62"/>
  <c r="AV15" i="62"/>
  <c r="M22" i="62"/>
  <c r="M23" i="62"/>
  <c r="AU7" i="62"/>
  <c r="AV7" i="62"/>
  <c r="AV16" i="62"/>
  <c r="M24" i="62"/>
  <c r="M25" i="62"/>
  <c r="J29" i="73" a="1"/>
  <c r="L29" i="73"/>
  <c r="M29" i="73"/>
  <c r="K29" i="73"/>
  <c r="J29" i="73"/>
  <c r="U29" i="73" a="1"/>
  <c r="W29" i="73"/>
  <c r="V29" i="73"/>
  <c r="X29" i="73"/>
  <c r="U29" i="73"/>
  <c r="AQ29" i="73" a="1"/>
  <c r="AR29" i="73"/>
  <c r="AT29" i="73"/>
  <c r="AS29" i="73"/>
  <c r="AQ29" i="73"/>
  <c r="D30" i="73" a="1"/>
  <c r="D33" i="73"/>
  <c r="D31" i="73"/>
  <c r="D32" i="73"/>
  <c r="D30" i="73"/>
  <c r="E30" i="73" a="1"/>
  <c r="E31" i="73"/>
  <c r="E32" i="73"/>
  <c r="E33" i="73"/>
  <c r="E30" i="73"/>
  <c r="J30" i="73" a="1"/>
  <c r="J33" i="73"/>
  <c r="K32" i="73"/>
  <c r="J31" i="73"/>
  <c r="K30" i="73"/>
  <c r="M33" i="73"/>
  <c r="M32" i="73"/>
  <c r="M31" i="73"/>
  <c r="M30" i="73"/>
  <c r="L33" i="73"/>
  <c r="L32" i="73"/>
  <c r="L31" i="73"/>
  <c r="L30" i="73"/>
  <c r="K33" i="73"/>
  <c r="J32" i="73"/>
  <c r="K31" i="73"/>
  <c r="J30" i="73"/>
  <c r="P30" i="73" a="1"/>
  <c r="P32" i="73"/>
  <c r="P33" i="73"/>
  <c r="P30" i="73"/>
  <c r="P31" i="73"/>
  <c r="U30" i="73" a="1"/>
  <c r="X30" i="73"/>
  <c r="V30" i="73"/>
  <c r="X32" i="73"/>
  <c r="V32" i="73"/>
  <c r="U33" i="73"/>
  <c r="X33" i="73"/>
  <c r="V33" i="73"/>
  <c r="W30" i="73"/>
  <c r="U30" i="73"/>
  <c r="W31" i="73"/>
  <c r="V31" i="73"/>
  <c r="U31" i="73"/>
  <c r="W33" i="73"/>
  <c r="W32" i="73"/>
  <c r="U32" i="73"/>
  <c r="X31" i="73"/>
  <c r="AL30" i="73" a="1"/>
  <c r="AL30" i="73"/>
  <c r="AL33" i="73"/>
  <c r="AL32" i="73"/>
  <c r="AL31" i="73"/>
  <c r="AQ30" i="73" a="1"/>
  <c r="AR33" i="73"/>
  <c r="AS30" i="73"/>
  <c r="AS33" i="73"/>
  <c r="AS31" i="73"/>
  <c r="AR32" i="73"/>
  <c r="AT33" i="73"/>
  <c r="AQ33" i="73"/>
  <c r="AR30" i="73"/>
  <c r="AQ32" i="73"/>
  <c r="AQ31" i="73"/>
  <c r="AS32" i="73"/>
  <c r="AT31" i="73"/>
  <c r="AT32" i="73"/>
  <c r="AR31" i="73"/>
  <c r="AT30" i="73"/>
  <c r="AQ30" i="73"/>
  <c r="AN30" i="73" a="1"/>
  <c r="AN33" i="73"/>
  <c r="AN30" i="73"/>
  <c r="AN31" i="73"/>
  <c r="AN32" i="73"/>
  <c r="AM30" i="73" a="1"/>
  <c r="AM30" i="73"/>
  <c r="AM31" i="73"/>
  <c r="AM32" i="73"/>
  <c r="AM33" i="73"/>
  <c r="AQ94" i="73" a="1"/>
  <c r="AR95" i="73"/>
  <c r="AT95" i="73"/>
  <c r="AR96" i="73"/>
  <c r="AT94" i="73"/>
  <c r="AR94" i="73"/>
  <c r="AT96" i="73"/>
  <c r="AQ96" i="73"/>
  <c r="AS95" i="73"/>
  <c r="AQ95" i="73"/>
  <c r="AS97" i="73"/>
  <c r="AQ94" i="73"/>
  <c r="AS96" i="73"/>
  <c r="AQ97" i="73"/>
  <c r="AS94" i="73"/>
  <c r="AR97" i="73"/>
  <c r="AT97" i="73"/>
  <c r="AL94" i="73" a="1"/>
  <c r="AL95" i="73"/>
  <c r="AL94" i="73"/>
  <c r="AL96" i="73"/>
  <c r="AL97" i="73"/>
  <c r="U94" i="73" a="1"/>
  <c r="X97" i="73"/>
  <c r="V97" i="73"/>
  <c r="X96" i="73"/>
  <c r="V96" i="73"/>
  <c r="X95" i="73"/>
  <c r="V95" i="73"/>
  <c r="X94" i="73"/>
  <c r="V94" i="73"/>
  <c r="W97" i="73"/>
  <c r="U97" i="73"/>
  <c r="W96" i="73"/>
  <c r="U96" i="73"/>
  <c r="W95" i="73"/>
  <c r="U95" i="73"/>
  <c r="W94" i="73"/>
  <c r="U94" i="73"/>
  <c r="P94" i="73" a="1"/>
  <c r="P97" i="73"/>
  <c r="P96" i="73"/>
  <c r="P94" i="73"/>
  <c r="P95" i="73"/>
  <c r="J94" i="73" a="1"/>
  <c r="K97" i="73"/>
  <c r="M97" i="73"/>
  <c r="J94" i="73"/>
  <c r="K96" i="73"/>
  <c r="M96" i="73"/>
  <c r="J97" i="73"/>
  <c r="L97" i="73"/>
  <c r="L96" i="73"/>
  <c r="L94" i="73"/>
  <c r="K95" i="73"/>
  <c r="M95" i="73"/>
  <c r="L95" i="73"/>
  <c r="K94" i="73"/>
  <c r="M94" i="73"/>
  <c r="J96" i="73"/>
  <c r="J95" i="73"/>
  <c r="E94" i="73" a="1"/>
  <c r="E96" i="73"/>
  <c r="E95" i="73"/>
  <c r="E94" i="73"/>
  <c r="E97" i="73"/>
  <c r="D94" i="73" a="1"/>
  <c r="D95" i="73"/>
  <c r="D96" i="73"/>
  <c r="D97" i="73"/>
  <c r="D94" i="73"/>
  <c r="AQ93" i="73" a="1"/>
  <c r="AT93" i="73"/>
  <c r="AS93" i="73"/>
  <c r="AR93" i="73"/>
  <c r="AQ93" i="73"/>
  <c r="U93" i="73" a="1"/>
  <c r="W93" i="73"/>
  <c r="V93" i="73"/>
  <c r="X93" i="73"/>
  <c r="U93" i="73"/>
  <c r="J93" i="73" a="1"/>
  <c r="M93" i="73"/>
  <c r="K93" i="73"/>
  <c r="L93" i="73"/>
  <c r="J93" i="73"/>
  <c r="AM94" i="73" a="1"/>
  <c r="AM94" i="73"/>
  <c r="AM97" i="73"/>
  <c r="AM95" i="73"/>
  <c r="AM96" i="73"/>
  <c r="AN94" i="73" a="1"/>
  <c r="AN97" i="73"/>
  <c r="AN95" i="73"/>
  <c r="AN96" i="73"/>
  <c r="AN94" i="73"/>
  <c r="AQ86" i="73" a="1"/>
  <c r="AQ86" i="73"/>
  <c r="AS86" i="73"/>
  <c r="AT87" i="73"/>
  <c r="AR89" i="73"/>
  <c r="AT88" i="73"/>
  <c r="AR88" i="73"/>
  <c r="AT89" i="73"/>
  <c r="AT86" i="73"/>
  <c r="AR86" i="73"/>
  <c r="AQ89" i="73"/>
  <c r="AS89" i="73"/>
  <c r="AQ87" i="73"/>
  <c r="AS87" i="73"/>
  <c r="AQ88" i="73"/>
  <c r="AS88" i="73"/>
  <c r="AR87" i="73"/>
  <c r="AL86" i="73" a="1"/>
  <c r="AL87" i="73"/>
  <c r="AL86" i="73"/>
  <c r="AL89" i="73"/>
  <c r="AL88" i="73"/>
  <c r="U86" i="73" a="1"/>
  <c r="W86" i="73"/>
  <c r="U86" i="73"/>
  <c r="X89" i="73"/>
  <c r="V89" i="73"/>
  <c r="X88" i="73"/>
  <c r="V88" i="73"/>
  <c r="X87" i="73"/>
  <c r="V87" i="73"/>
  <c r="X86" i="73"/>
  <c r="V86" i="73"/>
  <c r="W89" i="73"/>
  <c r="U89" i="73"/>
  <c r="W87" i="73"/>
  <c r="U87" i="73"/>
  <c r="W88" i="73"/>
  <c r="U88" i="73"/>
  <c r="P86" i="73" a="1"/>
  <c r="P86" i="73"/>
  <c r="P87" i="73"/>
  <c r="P88" i="73"/>
  <c r="P89" i="73"/>
  <c r="J86" i="73" a="1"/>
  <c r="J88" i="73"/>
  <c r="L88" i="73"/>
  <c r="J87" i="73"/>
  <c r="K88" i="73"/>
  <c r="J86" i="73"/>
  <c r="L87" i="73"/>
  <c r="M89" i="73"/>
  <c r="K87" i="73"/>
  <c r="M88" i="73"/>
  <c r="L86" i="73"/>
  <c r="M87" i="73"/>
  <c r="K86" i="73"/>
  <c r="L89" i="73"/>
  <c r="M86" i="73"/>
  <c r="J89" i="73"/>
  <c r="K89" i="73"/>
  <c r="E86" i="73" a="1"/>
  <c r="E87" i="73"/>
  <c r="E89" i="73"/>
  <c r="E88" i="73"/>
  <c r="E86" i="73"/>
  <c r="D86" i="73" a="1"/>
  <c r="D86" i="73"/>
  <c r="D88" i="73"/>
  <c r="D87" i="73"/>
  <c r="D89" i="73"/>
  <c r="AQ85" i="73" a="1"/>
  <c r="AT85" i="73"/>
  <c r="AS85" i="73"/>
  <c r="AR85" i="73"/>
  <c r="AQ85" i="73"/>
  <c r="U85" i="73" a="1"/>
  <c r="X85" i="73"/>
  <c r="W85" i="73"/>
  <c r="V85" i="73"/>
  <c r="U85" i="73"/>
  <c r="J85" i="73" a="1"/>
  <c r="M85" i="73"/>
  <c r="K85" i="73"/>
  <c r="L85" i="73"/>
  <c r="J85" i="73"/>
  <c r="AM86" i="73" a="1"/>
  <c r="AM86" i="73"/>
  <c r="AM89" i="73"/>
  <c r="AM88" i="73"/>
  <c r="AM87" i="73"/>
  <c r="AN86" i="73" a="1"/>
  <c r="AN89" i="73"/>
  <c r="AN87" i="73"/>
  <c r="AN88" i="73"/>
  <c r="AN86" i="73"/>
  <c r="AQ70" i="73" a="1"/>
  <c r="AT71" i="73"/>
  <c r="AR71" i="73"/>
  <c r="AT70" i="73"/>
  <c r="AR70" i="73"/>
  <c r="AQ73" i="73"/>
  <c r="AS73" i="73"/>
  <c r="AQ72" i="73"/>
  <c r="AS72" i="73"/>
  <c r="AQ70" i="73"/>
  <c r="AT72" i="73"/>
  <c r="AQ71" i="73"/>
  <c r="AS71" i="73"/>
  <c r="AS70" i="73"/>
  <c r="AR72" i="73"/>
  <c r="AT73" i="73"/>
  <c r="AR73" i="73"/>
  <c r="AL70" i="73" a="1"/>
  <c r="AL73" i="73"/>
  <c r="AL72" i="73"/>
  <c r="AL70" i="73"/>
  <c r="AL71" i="73"/>
  <c r="U70" i="73" a="1"/>
  <c r="V70" i="73"/>
  <c r="X70" i="73"/>
  <c r="W73" i="73"/>
  <c r="U73" i="73"/>
  <c r="W72" i="73"/>
  <c r="U72" i="73"/>
  <c r="W71" i="73"/>
  <c r="U71" i="73"/>
  <c r="W70" i="73"/>
  <c r="U70" i="73"/>
  <c r="V73" i="73"/>
  <c r="X73" i="73"/>
  <c r="V72" i="73"/>
  <c r="X72" i="73"/>
  <c r="V71" i="73"/>
  <c r="X71" i="73"/>
  <c r="P70" i="73" a="1"/>
  <c r="P73" i="73"/>
  <c r="P70" i="73"/>
  <c r="P71" i="73"/>
  <c r="P72" i="73"/>
  <c r="J70" i="73" a="1"/>
  <c r="M73" i="73"/>
  <c r="L70" i="73"/>
  <c r="M72" i="73"/>
  <c r="K73" i="73"/>
  <c r="M71" i="73"/>
  <c r="K72" i="73"/>
  <c r="J73" i="73"/>
  <c r="M70" i="73"/>
  <c r="K71" i="73"/>
  <c r="J72" i="73"/>
  <c r="K70" i="73"/>
  <c r="J71" i="73"/>
  <c r="L73" i="73"/>
  <c r="L71" i="73"/>
  <c r="J70" i="73"/>
  <c r="L72" i="73"/>
  <c r="E70" i="73" a="1"/>
  <c r="E70" i="73"/>
  <c r="E72" i="73"/>
  <c r="E71" i="73"/>
  <c r="E73" i="73"/>
  <c r="D70" i="73" a="1"/>
  <c r="D70" i="73"/>
  <c r="D73" i="73"/>
  <c r="D72" i="73"/>
  <c r="D71" i="73"/>
  <c r="AQ69" i="73" a="1"/>
  <c r="AS69" i="73"/>
  <c r="AR69" i="73"/>
  <c r="AT69" i="73"/>
  <c r="AQ69" i="73"/>
  <c r="U69" i="73" a="1"/>
  <c r="V69" i="73"/>
  <c r="X69" i="73"/>
  <c r="W69" i="73"/>
  <c r="U69" i="73"/>
  <c r="J69" i="73" a="1"/>
  <c r="K69" i="73"/>
  <c r="L69" i="73"/>
  <c r="M69" i="73"/>
  <c r="J69" i="73"/>
  <c r="AM70" i="73" a="1"/>
  <c r="AM72" i="73"/>
  <c r="AM71" i="73"/>
  <c r="AM70" i="73"/>
  <c r="AM73" i="73"/>
  <c r="AN70" i="73" a="1"/>
  <c r="AN72" i="73"/>
  <c r="AN70" i="73"/>
  <c r="AN71" i="73"/>
  <c r="AN73" i="73"/>
  <c r="AQ78" i="73" a="1"/>
  <c r="AT81" i="73"/>
  <c r="AT80" i="73"/>
  <c r="AT79" i="73"/>
  <c r="AT78" i="73"/>
  <c r="AS81" i="73"/>
  <c r="AS80" i="73"/>
  <c r="AS79" i="73"/>
  <c r="AS78" i="73"/>
  <c r="AR81" i="73"/>
  <c r="AR80" i="73"/>
  <c r="AR79" i="73"/>
  <c r="AR78" i="73"/>
  <c r="AQ81" i="73"/>
  <c r="AQ80" i="73"/>
  <c r="AQ79" i="73"/>
  <c r="AQ78" i="73"/>
  <c r="AL78" i="73" a="1"/>
  <c r="AL81" i="73"/>
  <c r="AL79" i="73"/>
  <c r="AL78" i="73"/>
  <c r="AL80" i="73"/>
  <c r="U78" i="73" a="1"/>
  <c r="U81" i="73"/>
  <c r="U80" i="73"/>
  <c r="U79" i="73"/>
  <c r="U78" i="73"/>
  <c r="X81" i="73"/>
  <c r="X80" i="73"/>
  <c r="X79" i="73"/>
  <c r="X78" i="73"/>
  <c r="W81" i="73"/>
  <c r="W80" i="73"/>
  <c r="W79" i="73"/>
  <c r="W78" i="73"/>
  <c r="V81" i="73"/>
  <c r="V80" i="73"/>
  <c r="V79" i="73"/>
  <c r="V78" i="73"/>
  <c r="P78" i="73" a="1"/>
  <c r="P81" i="73"/>
  <c r="P78" i="73"/>
  <c r="P79" i="73"/>
  <c r="P80" i="73"/>
  <c r="J78" i="73" a="1"/>
  <c r="M81" i="73"/>
  <c r="M80" i="73"/>
  <c r="M79" i="73"/>
  <c r="M78" i="73"/>
  <c r="L81" i="73"/>
  <c r="L80" i="73"/>
  <c r="L79" i="73"/>
  <c r="L78" i="73"/>
  <c r="K81" i="73"/>
  <c r="K80" i="73"/>
  <c r="K79" i="73"/>
  <c r="K78" i="73"/>
  <c r="J81" i="73"/>
  <c r="J80" i="73"/>
  <c r="J79" i="73"/>
  <c r="J78" i="73"/>
  <c r="E78" i="73" a="1"/>
  <c r="E81" i="73"/>
  <c r="E80" i="73"/>
  <c r="E78" i="73"/>
  <c r="E79" i="73"/>
  <c r="D78" i="73" a="1"/>
  <c r="D81" i="73"/>
  <c r="D79" i="73"/>
  <c r="D80" i="73"/>
  <c r="D78" i="73"/>
  <c r="AQ77" i="73" a="1"/>
  <c r="AS77" i="73"/>
  <c r="AR77" i="73"/>
  <c r="AT77" i="73"/>
  <c r="AQ77" i="73"/>
  <c r="U77" i="73" a="1"/>
  <c r="X77" i="73"/>
  <c r="W77" i="73"/>
  <c r="V77" i="73"/>
  <c r="U77" i="73"/>
  <c r="J77" i="73" a="1"/>
  <c r="K77" i="73"/>
  <c r="L77" i="73"/>
  <c r="M77" i="73"/>
  <c r="J77" i="73"/>
  <c r="AM78" i="73" a="1"/>
  <c r="AM80" i="73"/>
  <c r="AM78" i="73"/>
  <c r="AM81" i="73"/>
  <c r="AM79" i="73"/>
  <c r="AN78" i="73" a="1"/>
  <c r="AN81" i="73"/>
  <c r="AN79" i="73"/>
  <c r="AN80" i="73"/>
  <c r="AN78" i="73"/>
  <c r="AQ62" i="73" a="1"/>
  <c r="AR65" i="73"/>
  <c r="AR64" i="73"/>
  <c r="AR63" i="73"/>
  <c r="AR62" i="73"/>
  <c r="AQ64" i="73"/>
  <c r="AQ63" i="73"/>
  <c r="AQ65" i="73"/>
  <c r="AQ62" i="73"/>
  <c r="AT65" i="73"/>
  <c r="AT64" i="73"/>
  <c r="AT63" i="73"/>
  <c r="AT62" i="73"/>
  <c r="AS65" i="73"/>
  <c r="AS64" i="73"/>
  <c r="AS63" i="73"/>
  <c r="AS62" i="73"/>
  <c r="AL62" i="73" a="1"/>
  <c r="AL65" i="73"/>
  <c r="AL63" i="73"/>
  <c r="AL62" i="73"/>
  <c r="AL64" i="73"/>
  <c r="U62" i="73" a="1"/>
  <c r="W65" i="73"/>
  <c r="W64" i="73"/>
  <c r="W63" i="73"/>
  <c r="W62" i="73"/>
  <c r="V65" i="73"/>
  <c r="V64" i="73"/>
  <c r="V63" i="73"/>
  <c r="V62" i="73"/>
  <c r="U65" i="73"/>
  <c r="U64" i="73"/>
  <c r="U63" i="73"/>
  <c r="U62" i="73"/>
  <c r="X65" i="73"/>
  <c r="X64" i="73"/>
  <c r="X63" i="73"/>
  <c r="X62" i="73"/>
  <c r="P62" i="73" a="1"/>
  <c r="P64" i="73"/>
  <c r="P65" i="73"/>
  <c r="P62" i="73"/>
  <c r="P63" i="73"/>
  <c r="J62" i="73" a="1"/>
  <c r="L65" i="73"/>
  <c r="L64" i="73"/>
  <c r="L63" i="73"/>
  <c r="L62" i="73"/>
  <c r="J65" i="73"/>
  <c r="J64" i="73"/>
  <c r="J63" i="73"/>
  <c r="J62" i="73"/>
  <c r="M65" i="73"/>
  <c r="M64" i="73"/>
  <c r="M63" i="73"/>
  <c r="M62" i="73"/>
  <c r="K62" i="73"/>
  <c r="K65" i="73"/>
  <c r="K64" i="73"/>
  <c r="K63" i="73"/>
  <c r="E62" i="73" a="1"/>
  <c r="E65" i="73"/>
  <c r="E63" i="73"/>
  <c r="E64" i="73"/>
  <c r="E62" i="73"/>
  <c r="D62" i="73" a="1"/>
  <c r="D63" i="73"/>
  <c r="D62" i="73"/>
  <c r="D65" i="73"/>
  <c r="D64" i="73"/>
  <c r="AQ61" i="73" a="1"/>
  <c r="AR61" i="73"/>
  <c r="AT61" i="73"/>
  <c r="AS61" i="73"/>
  <c r="AQ61" i="73"/>
  <c r="U61" i="73" a="1"/>
  <c r="V61" i="73"/>
  <c r="X61" i="73"/>
  <c r="W61" i="73"/>
  <c r="U61" i="73"/>
  <c r="J61" i="73" a="1"/>
  <c r="M61" i="73"/>
  <c r="K61" i="73"/>
  <c r="L61" i="73"/>
  <c r="J61" i="73"/>
  <c r="AM62" i="73" a="1"/>
  <c r="AM64" i="73"/>
  <c r="AM62" i="73"/>
  <c r="AM65" i="73"/>
  <c r="AM63" i="73"/>
  <c r="AN62" i="73" a="1"/>
  <c r="AN64" i="73"/>
  <c r="AN62" i="73"/>
  <c r="AN65" i="73"/>
  <c r="AN63" i="73"/>
  <c r="AQ54" i="73" a="1"/>
  <c r="AT57" i="73"/>
  <c r="AT56" i="73"/>
  <c r="AT55" i="73"/>
  <c r="AT54" i="73"/>
  <c r="AS56" i="73"/>
  <c r="AS55" i="73"/>
  <c r="AS57" i="73"/>
  <c r="AS54" i="73"/>
  <c r="AR57" i="73"/>
  <c r="AR56" i="73"/>
  <c r="AR55" i="73"/>
  <c r="AR54" i="73"/>
  <c r="AQ56" i="73"/>
  <c r="AQ55" i="73"/>
  <c r="AQ54" i="73"/>
  <c r="AQ57" i="73"/>
  <c r="AL54" i="73" a="1"/>
  <c r="AL56" i="73"/>
  <c r="AL57" i="73"/>
  <c r="AL54" i="73"/>
  <c r="AL55" i="73"/>
  <c r="U54" i="73" a="1"/>
  <c r="W57" i="73"/>
  <c r="W56" i="73"/>
  <c r="W55" i="73"/>
  <c r="W54" i="73"/>
  <c r="V57" i="73"/>
  <c r="V56" i="73"/>
  <c r="V55" i="73"/>
  <c r="V54" i="73"/>
  <c r="U57" i="73"/>
  <c r="U56" i="73"/>
  <c r="U55" i="73"/>
  <c r="U54" i="73"/>
  <c r="X57" i="73"/>
  <c r="X56" i="73"/>
  <c r="X55" i="73"/>
  <c r="X54" i="73"/>
  <c r="P54" i="73" a="1"/>
  <c r="P55" i="73"/>
  <c r="P56" i="73"/>
  <c r="P57" i="73"/>
  <c r="P54" i="73"/>
  <c r="J54" i="73" a="1"/>
  <c r="M57" i="73"/>
  <c r="M56" i="73"/>
  <c r="M55" i="73"/>
  <c r="M54" i="73"/>
  <c r="L57" i="73"/>
  <c r="L56" i="73"/>
  <c r="L55" i="73"/>
  <c r="L54" i="73"/>
  <c r="K57" i="73"/>
  <c r="K56" i="73"/>
  <c r="K55" i="73"/>
  <c r="K54" i="73"/>
  <c r="J57" i="73"/>
  <c r="J56" i="73"/>
  <c r="J55" i="73"/>
  <c r="J54" i="73"/>
  <c r="E54" i="73" a="1"/>
  <c r="E55" i="73"/>
  <c r="E56" i="73"/>
  <c r="E54" i="73"/>
  <c r="E57" i="73"/>
  <c r="D54" i="73" a="1"/>
  <c r="D57" i="73"/>
  <c r="D54" i="73"/>
  <c r="D55" i="73"/>
  <c r="D56" i="73"/>
  <c r="AQ53" i="73" a="1"/>
  <c r="AT53" i="73"/>
  <c r="AS53" i="73"/>
  <c r="AR53" i="73"/>
  <c r="AQ53" i="73"/>
  <c r="U53" i="73" a="1"/>
  <c r="V53" i="73"/>
  <c r="X53" i="73"/>
  <c r="W53" i="73"/>
  <c r="U53" i="73"/>
  <c r="J53" i="73" a="1"/>
  <c r="K53" i="73"/>
  <c r="L53" i="73"/>
  <c r="M53" i="73"/>
  <c r="J53" i="73"/>
  <c r="AM54" i="73" a="1"/>
  <c r="AM54" i="73"/>
  <c r="AM56" i="73"/>
  <c r="AM57" i="73"/>
  <c r="AM55" i="73"/>
  <c r="AN54" i="73" a="1"/>
  <c r="AN55" i="73"/>
  <c r="AN57" i="73"/>
  <c r="AN54" i="73"/>
  <c r="AN56" i="73"/>
  <c r="AQ46" i="73" a="1"/>
  <c r="AT48" i="73"/>
  <c r="AR46" i="73"/>
  <c r="AS46" i="73"/>
  <c r="AQ47" i="73"/>
  <c r="AQ46" i="73"/>
  <c r="AR49" i="73"/>
  <c r="AS48" i="73"/>
  <c r="AT46" i="73"/>
  <c r="AR48" i="73"/>
  <c r="AT49" i="73"/>
  <c r="AQ48" i="73"/>
  <c r="AS49" i="73"/>
  <c r="AR47" i="73"/>
  <c r="AT47" i="73"/>
  <c r="AQ49" i="73"/>
  <c r="AS47" i="73"/>
  <c r="AL46" i="73" a="1"/>
  <c r="AL49" i="73"/>
  <c r="AL48" i="73"/>
  <c r="AL46" i="73"/>
  <c r="AL47" i="73"/>
  <c r="U46" i="73" a="1"/>
  <c r="V47" i="73"/>
  <c r="W47" i="73"/>
  <c r="W48" i="73"/>
  <c r="W46" i="73"/>
  <c r="X47" i="73"/>
  <c r="U47" i="73"/>
  <c r="U48" i="73"/>
  <c r="U46" i="73"/>
  <c r="V46" i="73"/>
  <c r="W49" i="73"/>
  <c r="V49" i="73"/>
  <c r="V48" i="73"/>
  <c r="X46" i="73"/>
  <c r="U49" i="73"/>
  <c r="X49" i="73"/>
  <c r="X48" i="73"/>
  <c r="P46" i="73" a="1"/>
  <c r="P49" i="73"/>
  <c r="P46" i="73"/>
  <c r="P48" i="73"/>
  <c r="P47" i="73"/>
  <c r="J46" i="73" a="1"/>
  <c r="K48" i="73"/>
  <c r="J49" i="73"/>
  <c r="L48" i="73"/>
  <c r="K46" i="73"/>
  <c r="M49" i="73"/>
  <c r="M47" i="73"/>
  <c r="J48" i="73"/>
  <c r="L46" i="73"/>
  <c r="K49" i="73"/>
  <c r="K47" i="73"/>
  <c r="L47" i="73"/>
  <c r="J46" i="73"/>
  <c r="M48" i="73"/>
  <c r="L49" i="73"/>
  <c r="J47" i="73"/>
  <c r="M46" i="73"/>
  <c r="E46" i="73" a="1"/>
  <c r="E49" i="73"/>
  <c r="E48" i="73"/>
  <c r="E46" i="73"/>
  <c r="E47" i="73"/>
  <c r="D46" i="73" a="1"/>
  <c r="D46" i="73"/>
  <c r="D47" i="73"/>
  <c r="D48" i="73"/>
  <c r="D49" i="73"/>
  <c r="AQ45" i="73" a="1"/>
  <c r="AT45" i="73"/>
  <c r="AS45" i="73"/>
  <c r="AR45" i="73"/>
  <c r="AQ45" i="73"/>
  <c r="U45" i="73" a="1"/>
  <c r="X45" i="73"/>
  <c r="W45" i="73"/>
  <c r="V45" i="73"/>
  <c r="U45" i="73"/>
  <c r="J45" i="73" a="1"/>
  <c r="M45" i="73"/>
  <c r="L45" i="73"/>
  <c r="K45" i="73"/>
  <c r="J45" i="73"/>
  <c r="AM46" i="73" a="1"/>
  <c r="AM47" i="73"/>
  <c r="AM49" i="73"/>
  <c r="AM46" i="73"/>
  <c r="AM48" i="73"/>
  <c r="AN46" i="73" a="1"/>
  <c r="AN49" i="73"/>
  <c r="AN46" i="73"/>
  <c r="AN48" i="73"/>
  <c r="AN47" i="73"/>
  <c r="AQ38" i="73" a="1"/>
  <c r="AQ41" i="73"/>
  <c r="AQ40" i="73"/>
  <c r="AQ39" i="73"/>
  <c r="AQ38" i="73"/>
  <c r="AT40" i="73"/>
  <c r="AT41" i="73"/>
  <c r="AT39" i="73"/>
  <c r="AT38" i="73"/>
  <c r="AS41" i="73"/>
  <c r="AS40" i="73"/>
  <c r="AS39" i="73"/>
  <c r="AS38" i="73"/>
  <c r="AR40" i="73"/>
  <c r="AR39" i="73"/>
  <c r="AR38" i="73"/>
  <c r="AR41" i="73"/>
  <c r="AL38" i="73" a="1"/>
  <c r="AL41" i="73"/>
  <c r="AL38" i="73"/>
  <c r="AL39" i="73"/>
  <c r="AL40" i="73"/>
  <c r="U38" i="73" a="1"/>
  <c r="V41" i="73"/>
  <c r="V40" i="73"/>
  <c r="V39" i="73"/>
  <c r="V38" i="73"/>
  <c r="U41" i="73"/>
  <c r="U40" i="73"/>
  <c r="U39" i="73"/>
  <c r="U38" i="73"/>
  <c r="X41" i="73"/>
  <c r="X40" i="73"/>
  <c r="X39" i="73"/>
  <c r="X38" i="73"/>
  <c r="W41" i="73"/>
  <c r="W40" i="73"/>
  <c r="W39" i="73"/>
  <c r="W38" i="73"/>
  <c r="P38" i="73" a="1"/>
  <c r="P39" i="73"/>
  <c r="P40" i="73"/>
  <c r="P38" i="73"/>
  <c r="P41" i="73"/>
  <c r="J38" i="73" a="1"/>
  <c r="L41" i="73"/>
  <c r="L40" i="73"/>
  <c r="L39" i="73"/>
  <c r="L38" i="73"/>
  <c r="J41" i="73"/>
  <c r="J40" i="73"/>
  <c r="J39" i="73"/>
  <c r="J38" i="73"/>
  <c r="M41" i="73"/>
  <c r="M40" i="73"/>
  <c r="M39" i="73"/>
  <c r="M38" i="73"/>
  <c r="K41" i="73"/>
  <c r="K40" i="73"/>
  <c r="K39" i="73"/>
  <c r="K38" i="73"/>
  <c r="E38" i="73" a="1"/>
  <c r="E39" i="73"/>
  <c r="E38" i="73"/>
  <c r="E40" i="73"/>
  <c r="E41" i="73"/>
  <c r="D38" i="73" a="1"/>
  <c r="D41" i="73"/>
  <c r="D39" i="73"/>
  <c r="D38" i="73"/>
  <c r="D40" i="73"/>
  <c r="AQ37" i="73" a="1"/>
  <c r="AT37" i="73"/>
  <c r="AS37" i="73"/>
  <c r="AR37" i="73"/>
  <c r="AQ37" i="73"/>
  <c r="U37" i="73" a="1"/>
  <c r="X37" i="73"/>
  <c r="W37" i="73"/>
  <c r="V37" i="73"/>
  <c r="U37" i="73"/>
  <c r="J37" i="73" a="1"/>
  <c r="K37" i="73"/>
  <c r="M37" i="73"/>
  <c r="L37" i="73"/>
  <c r="J37" i="73"/>
  <c r="AM38" i="73" a="1"/>
  <c r="AM40" i="73"/>
  <c r="AM38" i="73"/>
  <c r="AM41" i="73"/>
  <c r="AM39" i="73"/>
  <c r="AN38" i="73" a="1"/>
  <c r="AN41" i="73"/>
  <c r="AN38" i="73"/>
  <c r="AN40" i="73"/>
  <c r="AN39" i="73"/>
  <c r="AQ22" i="73" a="1"/>
  <c r="AR25" i="73"/>
  <c r="AR24" i="73"/>
  <c r="AR23" i="73"/>
  <c r="AR22" i="73"/>
  <c r="AQ25" i="73"/>
  <c r="AQ24" i="73"/>
  <c r="AQ23" i="73"/>
  <c r="AQ22" i="73"/>
  <c r="AT25" i="73"/>
  <c r="AT24" i="73"/>
  <c r="AT23" i="73"/>
  <c r="AT22" i="73"/>
  <c r="AS25" i="73"/>
  <c r="AS24" i="73"/>
  <c r="AS23" i="73"/>
  <c r="AS22" i="73"/>
  <c r="AL22" i="73" a="1"/>
  <c r="AL24" i="73"/>
  <c r="AL25" i="73"/>
  <c r="AL22" i="73"/>
  <c r="AL23" i="73"/>
  <c r="U22" i="73" a="1"/>
  <c r="W25" i="73"/>
  <c r="W24" i="73"/>
  <c r="W23" i="73"/>
  <c r="W22" i="73"/>
  <c r="V25" i="73"/>
  <c r="V24" i="73"/>
  <c r="V23" i="73"/>
  <c r="V22" i="73"/>
  <c r="U25" i="73"/>
  <c r="U23" i="73"/>
  <c r="X24" i="73"/>
  <c r="X22" i="73"/>
  <c r="U24" i="73"/>
  <c r="U22" i="73"/>
  <c r="X25" i="73"/>
  <c r="X23" i="73"/>
  <c r="P22" i="73" a="1"/>
  <c r="P25" i="73"/>
  <c r="P23" i="73"/>
  <c r="P24" i="73"/>
  <c r="P22" i="73"/>
  <c r="J22" i="73" a="1"/>
  <c r="J25" i="73"/>
  <c r="J24" i="73"/>
  <c r="J23" i="73"/>
  <c r="J22" i="73"/>
  <c r="M25" i="73"/>
  <c r="M24" i="73"/>
  <c r="M23" i="73"/>
  <c r="M22" i="73"/>
  <c r="L25" i="73"/>
  <c r="L24" i="73"/>
  <c r="L23" i="73"/>
  <c r="L22" i="73"/>
  <c r="K25" i="73"/>
  <c r="K24" i="73"/>
  <c r="K23" i="73"/>
  <c r="K22" i="73"/>
  <c r="E22" i="73" a="1"/>
  <c r="E22" i="73"/>
  <c r="E25" i="73"/>
  <c r="E24" i="73"/>
  <c r="E23" i="73"/>
  <c r="D22" i="73" a="1"/>
  <c r="D25" i="73"/>
  <c r="D23" i="73"/>
  <c r="D22" i="73"/>
  <c r="D24" i="73"/>
  <c r="AQ21" i="73" a="1"/>
  <c r="AT21" i="73"/>
  <c r="AS21" i="73"/>
  <c r="AR21" i="73"/>
  <c r="AQ21" i="73"/>
  <c r="U21" i="73" a="1"/>
  <c r="X21" i="73"/>
  <c r="V21" i="73"/>
  <c r="W21" i="73"/>
  <c r="U21" i="73"/>
  <c r="J21" i="73" a="1"/>
  <c r="K21" i="73"/>
  <c r="M21" i="73"/>
  <c r="L21" i="73"/>
  <c r="J21" i="73"/>
  <c r="AM22" i="73" a="1"/>
  <c r="AM22" i="73"/>
  <c r="AM25" i="73"/>
  <c r="AM23" i="73"/>
  <c r="AM24" i="73"/>
  <c r="AN22" i="73" a="1"/>
  <c r="AN22" i="73"/>
  <c r="AN24" i="73"/>
  <c r="AN23" i="73"/>
  <c r="AN25" i="73"/>
  <c r="AQ5" i="73" a="1"/>
  <c r="AR5" i="73"/>
  <c r="AS5" i="73"/>
  <c r="AT5" i="73"/>
  <c r="AQ5" i="73"/>
  <c r="AQ6" i="73" a="1"/>
  <c r="AQ9" i="73"/>
  <c r="AS9" i="73"/>
  <c r="AS6" i="73"/>
  <c r="AQ8" i="73"/>
  <c r="AS7" i="73"/>
  <c r="AQ7" i="73"/>
  <c r="AT9" i="73"/>
  <c r="AT8" i="73"/>
  <c r="AR9" i="73"/>
  <c r="AQ6" i="73"/>
  <c r="AR8" i="73"/>
  <c r="AT6" i="73"/>
  <c r="AR7" i="73"/>
  <c r="AT7" i="73"/>
  <c r="AR6" i="73"/>
  <c r="AS8" i="73"/>
  <c r="U5" i="73" a="1"/>
  <c r="W5" i="73"/>
  <c r="X5" i="73"/>
  <c r="V5" i="73"/>
  <c r="U5" i="73"/>
  <c r="U6" i="73" a="1"/>
  <c r="W9" i="73"/>
  <c r="W6" i="73"/>
  <c r="V6" i="73"/>
  <c r="U9" i="73"/>
  <c r="U8" i="73"/>
  <c r="X8" i="73"/>
  <c r="U7" i="73"/>
  <c r="W7" i="73"/>
  <c r="U6" i="73"/>
  <c r="X6" i="73"/>
  <c r="X9" i="73"/>
  <c r="V9" i="73"/>
  <c r="X7" i="73"/>
  <c r="W8" i="73"/>
  <c r="V8" i="73"/>
  <c r="V7" i="73"/>
  <c r="J5" i="73" a="1"/>
  <c r="K5" i="73"/>
  <c r="L5" i="73"/>
  <c r="M5" i="73"/>
  <c r="J5" i="73"/>
  <c r="J6" i="73" a="1"/>
  <c r="L6" i="73"/>
  <c r="K7" i="73"/>
  <c r="J6" i="73"/>
  <c r="M7" i="73"/>
  <c r="K9" i="73"/>
  <c r="L9" i="73"/>
  <c r="M9" i="73"/>
  <c r="K6" i="73"/>
  <c r="L8" i="73"/>
  <c r="M6" i="73"/>
  <c r="J9" i="73"/>
  <c r="J8" i="73"/>
  <c r="L7" i="73"/>
  <c r="K8" i="73"/>
  <c r="J7" i="73"/>
  <c r="M8" i="73"/>
  <c r="AL6" i="73" a="1"/>
  <c r="AL7" i="73"/>
  <c r="AL8" i="73"/>
  <c r="AL9" i="73"/>
  <c r="AL6" i="73"/>
  <c r="P6" i="73" a="1"/>
  <c r="P6" i="73"/>
  <c r="P8" i="73"/>
  <c r="P7" i="73"/>
  <c r="P9" i="73"/>
  <c r="AM6" i="73" a="1"/>
  <c r="AM8" i="73"/>
  <c r="AM9" i="73"/>
  <c r="AM6" i="73"/>
  <c r="AM7" i="73"/>
  <c r="AN6" i="73" a="1"/>
  <c r="AN6" i="73"/>
  <c r="AN8" i="73"/>
  <c r="AN7" i="73"/>
  <c r="AN9" i="73"/>
  <c r="E6" i="73" a="1"/>
  <c r="E7" i="73"/>
  <c r="E6" i="73"/>
  <c r="E9" i="73"/>
  <c r="E8" i="73"/>
  <c r="D6" i="73" a="1"/>
  <c r="D6" i="73"/>
  <c r="D9" i="73"/>
  <c r="D8" i="73"/>
  <c r="D7" i="73"/>
  <c r="J13" i="73" a="1"/>
  <c r="M13" i="73"/>
  <c r="L13" i="73"/>
  <c r="K13" i="73"/>
  <c r="J13" i="73"/>
  <c r="U13" i="73" a="1"/>
  <c r="X13" i="73"/>
  <c r="V13" i="73"/>
  <c r="W13" i="73"/>
  <c r="U13" i="73"/>
  <c r="AQ13" i="73" a="1"/>
  <c r="AT13" i="73"/>
  <c r="AR13" i="73"/>
  <c r="AS13" i="73"/>
  <c r="AQ13" i="73"/>
  <c r="D14" i="73" a="1"/>
  <c r="D14" i="73"/>
  <c r="D16" i="73"/>
  <c r="D17" i="73"/>
  <c r="D15" i="73"/>
  <c r="E14" i="73" a="1"/>
  <c r="E14" i="73"/>
  <c r="E15" i="73"/>
  <c r="E16" i="73"/>
  <c r="E17" i="73"/>
  <c r="J14" i="73" a="1"/>
  <c r="K14" i="73"/>
  <c r="J17" i="73"/>
  <c r="J16" i="73"/>
  <c r="K17" i="73"/>
  <c r="L16" i="73"/>
  <c r="J15" i="73"/>
  <c r="K16" i="73"/>
  <c r="M17" i="73"/>
  <c r="M16" i="73"/>
  <c r="L15" i="73"/>
  <c r="K15" i="73"/>
  <c r="J14" i="73"/>
  <c r="M15" i="73"/>
  <c r="M14" i="73"/>
  <c r="L17" i="73"/>
  <c r="L14" i="73"/>
  <c r="P14" i="73" a="1"/>
  <c r="P16" i="73"/>
  <c r="P17" i="73"/>
  <c r="P14" i="73"/>
  <c r="P15" i="73"/>
  <c r="U14" i="73" a="1"/>
  <c r="V15" i="73"/>
  <c r="X15" i="73"/>
  <c r="V14" i="73"/>
  <c r="X14" i="73"/>
  <c r="V17" i="73"/>
  <c r="X17" i="73"/>
  <c r="U14" i="73"/>
  <c r="W17" i="73"/>
  <c r="U16" i="73"/>
  <c r="V16" i="73"/>
  <c r="X16" i="73"/>
  <c r="U17" i="73"/>
  <c r="W16" i="73"/>
  <c r="W15" i="73"/>
  <c r="U15" i="73"/>
  <c r="W14" i="73"/>
  <c r="AL14" i="73" a="1"/>
  <c r="AL15" i="73"/>
  <c r="AL16" i="73"/>
  <c r="AL17" i="73"/>
  <c r="AL14" i="73"/>
  <c r="AM14" i="73" a="1"/>
  <c r="AM14" i="73"/>
  <c r="AM16" i="73"/>
  <c r="AM15" i="73"/>
  <c r="AM17" i="73"/>
  <c r="AN14" i="73" a="1"/>
  <c r="AN16" i="73"/>
  <c r="AN17" i="73"/>
  <c r="AN14" i="73"/>
  <c r="AN15" i="73"/>
  <c r="AQ14" i="73" a="1"/>
  <c r="AT16" i="73"/>
  <c r="AT15" i="73"/>
  <c r="AR15" i="73"/>
  <c r="AT14" i="73"/>
  <c r="AR14" i="73"/>
  <c r="AS17" i="73"/>
  <c r="AR17" i="73"/>
  <c r="AS16" i="73"/>
  <c r="AQ15" i="73"/>
  <c r="AR16" i="73"/>
  <c r="AS14" i="73"/>
  <c r="AQ14" i="73"/>
  <c r="AQ16" i="73"/>
  <c r="AS15" i="73"/>
  <c r="AQ17" i="73"/>
  <c r="AT17" i="73"/>
  <c r="AV14" i="73" a="1"/>
  <c r="AV14" i="73"/>
  <c r="AV15" i="73"/>
  <c r="AV16" i="73"/>
  <c r="AV17" i="73"/>
  <c r="AW14" i="73" a="1"/>
  <c r="AW15" i="73"/>
  <c r="AW16" i="73"/>
  <c r="AW17" i="73"/>
  <c r="AW14" i="73"/>
  <c r="AV70" i="73" a="1"/>
  <c r="AV70" i="73"/>
  <c r="AV71" i="73"/>
  <c r="AV72" i="73"/>
  <c r="AV73" i="73"/>
  <c r="AW70" i="73" a="1"/>
  <c r="AW70" i="73"/>
  <c r="AW71" i="73"/>
  <c r="AW72" i="73"/>
  <c r="AW73" i="73"/>
  <c r="AV94" i="73" a="1"/>
  <c r="AV94" i="73"/>
  <c r="AV95" i="73"/>
  <c r="AV96" i="73"/>
  <c r="AV97" i="73"/>
  <c r="AW94" i="73" a="1"/>
  <c r="AW95" i="73"/>
  <c r="AW97" i="73"/>
  <c r="AW96" i="73"/>
  <c r="AW94" i="73"/>
  <c r="AV62" i="73" a="1"/>
  <c r="AV62" i="73"/>
  <c r="AV63" i="73"/>
  <c r="AV64" i="73"/>
  <c r="AV65" i="73"/>
  <c r="AW62" i="73" a="1"/>
  <c r="AW63" i="73"/>
  <c r="AW65" i="73"/>
  <c r="AW62" i="73"/>
  <c r="AW64" i="73"/>
  <c r="AV54" i="73" a="1"/>
  <c r="AV55" i="73"/>
  <c r="AV56" i="73"/>
  <c r="AV54" i="73"/>
  <c r="AV57" i="73"/>
  <c r="AW54" i="73" a="1"/>
  <c r="AW54" i="73"/>
  <c r="AW55" i="73"/>
  <c r="AW56" i="73"/>
  <c r="AW57" i="73"/>
  <c r="AW46" i="73" a="1"/>
  <c r="AW47" i="73"/>
  <c r="AW48" i="73"/>
  <c r="AW46" i="73"/>
  <c r="AW49" i="73"/>
  <c r="AV46" i="73" a="1"/>
  <c r="AV47" i="73"/>
  <c r="AV48" i="73"/>
  <c r="AV46" i="73"/>
  <c r="AV49" i="73"/>
  <c r="AW6" i="73" a="1"/>
  <c r="AW7" i="73"/>
  <c r="AW6" i="73"/>
  <c r="AW8" i="73"/>
  <c r="AW9" i="73"/>
  <c r="AV6" i="73" a="1"/>
  <c r="AV6" i="73"/>
  <c r="AV7" i="73"/>
  <c r="AV8" i="73"/>
  <c r="AV9" i="73"/>
  <c r="AV30" i="73" a="1"/>
  <c r="AV30" i="73"/>
  <c r="AV32" i="73"/>
  <c r="AV31" i="73"/>
  <c r="AV33" i="73"/>
  <c r="AW30" i="73" a="1"/>
  <c r="AW30" i="73"/>
  <c r="AW31" i="73"/>
  <c r="AW32" i="73"/>
  <c r="AW33" i="73"/>
  <c r="B14" i="73" a="1"/>
  <c r="B16" i="73"/>
  <c r="B15" i="73"/>
  <c r="B14" i="73"/>
  <c r="B17" i="73"/>
  <c r="B70" i="73" a="1"/>
  <c r="B72" i="73"/>
  <c r="B70" i="73"/>
  <c r="B73" i="73"/>
  <c r="B71" i="73"/>
  <c r="AV86" i="73" a="1"/>
  <c r="AV86" i="73"/>
  <c r="AV87" i="73"/>
  <c r="AV88" i="73"/>
  <c r="AV89" i="73"/>
  <c r="AW86" i="73" a="1"/>
  <c r="AW87" i="73"/>
  <c r="AW88" i="73"/>
  <c r="AW89" i="73"/>
  <c r="AW86" i="73"/>
  <c r="B94" i="73" a="1"/>
  <c r="B94" i="73"/>
  <c r="B95" i="73"/>
  <c r="B96" i="73"/>
  <c r="B97" i="73"/>
  <c r="B62" i="73" a="1"/>
  <c r="B62" i="73"/>
  <c r="B63" i="73"/>
  <c r="B65" i="73"/>
  <c r="B64" i="73"/>
  <c r="B54" i="73" a="1"/>
  <c r="B54" i="73"/>
  <c r="B56" i="73"/>
  <c r="B57" i="73"/>
  <c r="B55" i="73"/>
  <c r="AW78" i="73" a="1"/>
  <c r="AW78" i="73"/>
  <c r="AW79" i="73"/>
  <c r="AW80" i="73"/>
  <c r="AW81" i="73"/>
  <c r="AV78" i="73" a="1"/>
  <c r="AV79" i="73"/>
  <c r="AV80" i="73"/>
  <c r="AV78" i="73"/>
  <c r="AV81" i="73"/>
  <c r="AV38" i="73" a="1"/>
  <c r="AV38" i="73"/>
  <c r="AV39" i="73"/>
  <c r="AV40" i="73"/>
  <c r="AV41" i="73"/>
  <c r="AW38" i="73" a="1"/>
  <c r="AW38" i="73"/>
  <c r="AW40" i="73"/>
  <c r="AW41" i="73"/>
  <c r="AW39" i="73"/>
  <c r="AW22" i="73" a="1"/>
  <c r="AW22" i="73"/>
  <c r="AW23" i="73"/>
  <c r="AW24" i="73"/>
  <c r="AW25" i="73"/>
  <c r="AV22" i="73" a="1"/>
  <c r="AV24" i="73"/>
  <c r="AV25" i="73"/>
  <c r="AV22" i="73"/>
  <c r="AV23" i="73"/>
  <c r="B46" i="73" a="1"/>
  <c r="B48" i="73"/>
  <c r="B47" i="73"/>
  <c r="B49" i="73"/>
  <c r="B46" i="73"/>
  <c r="B6" i="73" a="1"/>
  <c r="B8" i="73"/>
  <c r="B6" i="73"/>
  <c r="B7" i="73"/>
  <c r="B9" i="73"/>
  <c r="B30" i="73" a="1"/>
  <c r="B31" i="73"/>
  <c r="B33" i="73"/>
  <c r="B30" i="73"/>
  <c r="B32" i="73"/>
  <c r="B86" i="73" a="1"/>
  <c r="B88" i="73"/>
  <c r="B87" i="73"/>
  <c r="B89" i="73"/>
  <c r="B86" i="73"/>
  <c r="B38" i="73" a="1"/>
  <c r="B39" i="73"/>
  <c r="B41" i="73"/>
  <c r="B38" i="73"/>
  <c r="B40" i="73"/>
  <c r="B78" i="73" a="1"/>
  <c r="B79" i="73"/>
  <c r="B80" i="73"/>
  <c r="B81" i="73"/>
  <c r="B78" i="73"/>
  <c r="B22" i="73" a="1"/>
  <c r="B22" i="73"/>
  <c r="B23" i="73"/>
  <c r="B24" i="73"/>
  <c r="B25" i="73"/>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<sst xmlns="http://schemas.openxmlformats.org/spreadsheetml/2006/main" count="7736" uniqueCount="1901">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</sst>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 Type="http://schemas.openxmlformats.org/officeDocument/2006/relationships/worksheet" Target="worksheets/sheet3.xml" /><Relationship Id="rId21" Type="http://schemas.openxmlformats.org/officeDocument/2006/relationships/worksheet" Target="worksheets/sheet21.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sharedStrings" Target="sharedString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theme" Target="theme/theme1.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 /><Relationship Id="rId2" Type="http://schemas.openxmlformats.org/officeDocument/2006/relationships/hyperlink" Target="https://hermann-baum.de/excel/WorldCup/de" TargetMode="External" /><Relationship Id="rId1" Type="http://schemas.openxmlformats.org/officeDocument/2006/relationships/hyperlink" Target="https://hermann-baum.de/excel/WorldCup2022/de" TargetMode="External" /><Relationship Id="rId4"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 /></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 /></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 /></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 /></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 /></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 /></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 /></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 /></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 /></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 /></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 /></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 /></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 /></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 /></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 /></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C58" zoomScaleNormal="100" workbookViewId="0">
      <selection activeCell="N99" sqref="N99"/>
    </sheetView>
  </sheetViews>
  <sheetFormatPr defaultColWidth="0" defaultRowHeight="15" zeroHeight="1" x14ac:dyDescent="0.2"/>
  <cols>
    <col min="1" max="1" width="3.09375" customWidth="1"/>
    <col min="2" max="3" width="13.1796875" customWidth="1"/>
    <col min="4" max="4" width="5.6484375" customWidth="1"/>
    <col min="5" max="6" width="13.1796875" customWidth="1"/>
    <col min="7" max="7" width="5.6484375" customWidth="1"/>
    <col min="8" max="9" width="13.1796875" customWidth="1"/>
    <col min="10" max="10" width="5.6484375" customWidth="1"/>
    <col min="11" max="12" width="13.1796875" customWidth="1"/>
    <col min="13" max="13" width="5.6484375" customWidth="1"/>
    <col min="14" max="15" width="13.1796875" customWidth="1"/>
    <col min="16" max="16" width="5.6484375" customWidth="1"/>
    <col min="17" max="18" width="13.1796875" customWidth="1"/>
    <col min="19" max="19" width="5.6484375" customWidth="1"/>
    <col min="20" max="21" width="13.1796875" customWidth="1"/>
    <col min="22" max="22" width="5.6484375" customWidth="1"/>
    <col min="23" max="24" width="13.1796875" customWidth="1"/>
    <col min="25" max="25" width="5.6484375" customWidth="1"/>
    <col min="26" max="27" width="13.1796875" customWidth="1"/>
    <col min="28" max="28" width="5.6484375" customWidth="1"/>
    <col min="29" max="30" width="13.1796875" customWidth="1"/>
    <col min="31" max="31" width="5.6484375" customWidth="1"/>
    <col min="32" max="33" width="13.1796875" customWidth="1"/>
    <col min="34" max="34" width="5.6484375" customWidth="1"/>
    <col min="35" max="36" width="13.1796875" customWidth="1"/>
    <col min="37" max="37" width="5.6484375" customWidth="1"/>
    <col min="38" max="39" width="13.1796875" customWidth="1"/>
    <col min="40" max="40" width="5.6484375" customWidth="1"/>
    <col min="41" max="42" width="13.1796875" customWidth="1"/>
    <col min="43" max="43" width="5.6484375" customWidth="1"/>
    <col min="44" max="45" width="13.1796875" customWidth="1"/>
    <col min="46" max="46" width="5.6484375" customWidth="1"/>
    <col min="47" max="48" width="13.1796875" customWidth="1"/>
    <col min="49" max="49" width="5.6484375" customWidth="1"/>
    <col min="50" max="50" width="2.015625" customWidth="1"/>
    <col min="51" max="16384" width="11.43359375" hidden="1"/>
  </cols>
  <sheetData>
    <row r="1" spans="1:52" ht="55.5" customHeight="1" x14ac:dyDescent="0.5">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x14ac:dyDescent="0.2">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x14ac:dyDescent="0.2">
      <c r="A3" s="5"/>
      <c r="B3" s="389" t="str">
        <f>CalcA!$D22</f>
        <v>Mexico</v>
      </c>
      <c r="C3" s="390" t="str">
        <f>"   "&amp;CalcA!$E22&amp;"        "&amp;CalcA!$F22&amp;Language!$E$197&amp;CalcA!$G22</f>
        <v xml:space="preserve">   9        8 - 2</v>
      </c>
      <c r="D3" s="84"/>
      <c r="E3" s="389" t="str">
        <f>CalcB!$D22</f>
        <v>Switzerland</v>
      </c>
      <c r="F3" s="390" t="str">
        <f>"   "&amp;CalcB!$E22&amp;"        "&amp;CalcB!$F22&amp;Language!$E$197&amp;CalcB!$G22</f>
        <v xml:space="preserve">   9        7 - 0</v>
      </c>
      <c r="G3" s="84"/>
      <c r="H3" s="389" t="str">
        <f>CalcC!$D22</f>
        <v>Brazil</v>
      </c>
      <c r="I3" s="390" t="str">
        <f>"   "&amp;CalcC!$E22&amp;"        "&amp;CalcC!$F22&amp;Language!$E$197&amp;CalcC!$G22</f>
        <v xml:space="preserve">   9        8 - 1</v>
      </c>
      <c r="J3" s="85"/>
      <c r="K3" s="389" t="str">
        <f>CalcD!$D22</f>
        <v>Turkey</v>
      </c>
      <c r="L3" s="390" t="str">
        <f>"   "&amp;CalcD!$E22&amp;"        "&amp;CalcD!$F22&amp;Language!$E$197&amp;CalcD!$G22</f>
        <v xml:space="preserve">   9        8 - 2</v>
      </c>
      <c r="M3" s="85"/>
      <c r="N3" s="389" t="str">
        <f>CalcE!$D22</f>
        <v>Ecuador</v>
      </c>
      <c r="O3" s="390" t="str">
        <f>"   "&amp;CalcE!$E22&amp;"        "&amp;CalcE!$F22&amp;Language!$E$197&amp;CalcE!$G22</f>
        <v xml:space="preserve">   9        8 - 2</v>
      </c>
      <c r="P3" s="84"/>
      <c r="Q3" s="389" t="str">
        <f>CalcF!$D22</f>
        <v>Netherlands</v>
      </c>
      <c r="R3" s="390" t="str">
        <f>"   "&amp;CalcF!$E22&amp;"        "&amp;CalcF!$F22&amp;Language!$E$197&amp;CalcF!$G22</f>
        <v xml:space="preserve">   9        8 - 3</v>
      </c>
      <c r="S3" s="85"/>
      <c r="T3" s="389" t="str">
        <f>CalcG!$D22</f>
        <v>Belgium</v>
      </c>
      <c r="U3" s="390" t="str">
        <f>"   "&amp;CalcG!$E22&amp;"        "&amp;CalcG!$F22&amp;Language!$E$197&amp;CalcG!$G22</f>
        <v xml:space="preserve">   6        4 - 0</v>
      </c>
      <c r="V3" s="84"/>
      <c r="W3" s="389" t="str">
        <f>CalcH!$D22</f>
        <v>Spain</v>
      </c>
      <c r="X3" s="390" t="str">
        <f>"   "&amp;CalcH!$E22&amp;"        "&amp;CalcH!$F22&amp;Language!$E$197&amp;CalcH!$G22</f>
        <v xml:space="preserve">   6        8 - 0</v>
      </c>
      <c r="Y3" s="5"/>
      <c r="Z3" s="389" t="str">
        <f>CalcI!$D22</f>
        <v>France</v>
      </c>
      <c r="AA3" s="390" t="str">
        <f>"   "&amp;CalcI!$E22&amp;"        "&amp;CalcI!$F22&amp;Language!$E$197&amp;CalcI!$G22</f>
        <v xml:space="preserve">   9        7 - 1</v>
      </c>
      <c r="AB3" s="84"/>
      <c r="AC3" s="389" t="str">
        <f>CalcJ!$D22</f>
        <v>Austria</v>
      </c>
      <c r="AD3" s="390" t="str">
        <f>"   "&amp;CalcJ!$E22&amp;"        "&amp;CalcJ!$F22&amp;Language!$E$197&amp;CalcJ!$G22</f>
        <v xml:space="preserve">   9        6 - 2</v>
      </c>
      <c r="AE3" s="84"/>
      <c r="AF3" s="389" t="str">
        <f>CalcK!$D22</f>
        <v>Portugal</v>
      </c>
      <c r="AG3" s="390" t="str">
        <f>"   "&amp;CalcK!$E22&amp;"        "&amp;CalcK!$F22&amp;Language!$E$197&amp;CalcK!$G22</f>
        <v xml:space="preserve">   9        9 - 0</v>
      </c>
      <c r="AH3" s="85"/>
      <c r="AI3" s="389" t="str">
        <f>CalcL!$D22</f>
        <v>England</v>
      </c>
      <c r="AJ3" s="390" t="str">
        <f>"   "&amp;CalcL!$E22&amp;"        "&amp;CalcL!$F22&amp;Language!$E$197&amp;CalcL!$G22</f>
        <v xml:space="preserve">   9        8 - 2</v>
      </c>
      <c r="AK3" s="85"/>
      <c r="AL3" s="882"/>
      <c r="AM3" s="420"/>
      <c r="AN3" s="420"/>
      <c r="AO3" s="420"/>
      <c r="AP3" s="420"/>
      <c r="AQ3" s="420"/>
      <c r="AR3" s="420"/>
      <c r="AS3" s="420"/>
      <c r="AT3" s="420"/>
      <c r="AU3" s="420"/>
      <c r="AV3" s="420"/>
      <c r="AZ3" s="381"/>
    </row>
    <row r="4" spans="1:52" x14ac:dyDescent="0.2">
      <c r="A4" s="5"/>
      <c r="B4" s="391" t="str">
        <f>CalcA!$D23</f>
        <v>Czech Rep.</v>
      </c>
      <c r="C4" s="392" t="str">
        <f>"   "&amp;CalcA!$E23&amp;"        "&amp;CalcA!$F23&amp;Language!$E$197&amp;CalcA!$G23</f>
        <v xml:space="preserve">   6        6 - 3</v>
      </c>
      <c r="D4" s="84"/>
      <c r="E4" s="391" t="str">
        <f>CalcB!$D23</f>
        <v>Bosnia/Herzeg.</v>
      </c>
      <c r="F4" s="392" t="str">
        <f>"   "&amp;CalcB!$E23&amp;"        "&amp;CalcB!$F23&amp;Language!$E$197&amp;CalcB!$G23</f>
        <v xml:space="preserve">   6        5 - 5</v>
      </c>
      <c r="G4" s="84"/>
      <c r="H4" s="391" t="str">
        <f>CalcC!$D23</f>
        <v>Morocco</v>
      </c>
      <c r="I4" s="392" t="str">
        <f>"   "&amp;CalcC!$E23&amp;"        "&amp;CalcC!$F23&amp;Language!$E$197&amp;CalcC!$G23</f>
        <v xml:space="preserve">   6        6 - 3</v>
      </c>
      <c r="J4" s="85"/>
      <c r="K4" s="391" t="str">
        <f>CalcD!$D23</f>
        <v>USA</v>
      </c>
      <c r="L4" s="392" t="str">
        <f>"   "&amp;CalcD!$E23&amp;"        "&amp;CalcD!$F23&amp;Language!$E$197&amp;CalcD!$G23</f>
        <v xml:space="preserve">   4        5 - 4</v>
      </c>
      <c r="M4" s="85"/>
      <c r="N4" s="391" t="str">
        <f>CalcE!$D23</f>
        <v>Germany</v>
      </c>
      <c r="O4" s="392" t="str">
        <f>"   "&amp;CalcE!$E23&amp;"        "&amp;CalcE!$F23&amp;Language!$E$197&amp;CalcE!$G23</f>
        <v xml:space="preserve">   6        7 - 2</v>
      </c>
      <c r="P4" s="84"/>
      <c r="Q4" s="391" t="str">
        <f>CalcF!$D23</f>
        <v>Sweden</v>
      </c>
      <c r="R4" s="392" t="str">
        <f>"   "&amp;CalcF!$E23&amp;"        "&amp;CalcF!$F23&amp;Language!$E$197&amp;CalcF!$G23</f>
        <v xml:space="preserve">   6        5 - 2</v>
      </c>
      <c r="S4" s="85"/>
      <c r="T4" s="391" t="str">
        <f>CalcG!$D23</f>
        <v>Egypt</v>
      </c>
      <c r="U4" s="392" t="str">
        <f>"   "&amp;CalcG!$E23&amp;"        "&amp;CalcG!$F23&amp;Language!$E$197&amp;CalcG!$G23</f>
        <v xml:space="preserve">   6        4 - 4</v>
      </c>
      <c r="V4" s="84"/>
      <c r="W4" s="391" t="str">
        <f>CalcH!$D23</f>
        <v>Uruguay</v>
      </c>
      <c r="X4" s="392" t="str">
        <f>"   "&amp;CalcH!$E23&amp;"        "&amp;CalcH!$F23&amp;Language!$E$197&amp;CalcH!$G23</f>
        <v xml:space="preserve">   6        5 - 1</v>
      </c>
      <c r="Y4" s="5"/>
      <c r="Z4" s="391" t="str">
        <f>CalcI!$D23</f>
        <v>Norway</v>
      </c>
      <c r="AA4" s="392" t="str">
        <f>"   "&amp;CalcI!$E23&amp;"        "&amp;CalcI!$F23&amp;Language!$E$197&amp;CalcI!$G23</f>
        <v xml:space="preserve">   6        6 - 4</v>
      </c>
      <c r="AB4" s="84"/>
      <c r="AC4" s="391" t="str">
        <f>CalcJ!$D23</f>
        <v>Argentina</v>
      </c>
      <c r="AD4" s="392" t="str">
        <f>"   "&amp;CalcJ!$E23&amp;"        "&amp;CalcJ!$F23&amp;Language!$E$197&amp;CalcJ!$G23</f>
        <v xml:space="preserve">   3        5 - 3</v>
      </c>
      <c r="AE4" s="84"/>
      <c r="AF4" s="391" t="str">
        <f>CalcK!$D23</f>
        <v>Colombia</v>
      </c>
      <c r="AG4" s="392" t="str">
        <f>"   "&amp;CalcK!$E23&amp;"        "&amp;CalcK!$F23&amp;Language!$E$197&amp;CalcK!$G23</f>
        <v xml:space="preserve">   6        3 - 3</v>
      </c>
      <c r="AH4" s="85"/>
      <c r="AI4" s="391" t="str">
        <f>CalcL!$D23</f>
        <v>Croatia</v>
      </c>
      <c r="AJ4" s="392" t="str">
        <f>"   "&amp;CalcL!$E23&amp;"        "&amp;CalcL!$F23&amp;Language!$E$197&amp;CalcL!$G23</f>
        <v xml:space="preserve">   3        4 - 4</v>
      </c>
      <c r="AK4" s="85"/>
      <c r="AL4" s="883"/>
      <c r="AM4" s="420"/>
      <c r="AN4" s="420"/>
      <c r="AO4" s="420"/>
      <c r="AP4" s="420"/>
      <c r="AQ4" s="420"/>
      <c r="AR4" s="420"/>
      <c r="AS4" s="420"/>
      <c r="AT4" s="420"/>
      <c r="AU4" s="420"/>
      <c r="AV4" s="420"/>
      <c r="AZ4" s="381"/>
    </row>
    <row r="5" spans="1:52" x14ac:dyDescent="0.2">
      <c r="A5" s="5"/>
      <c r="B5" s="435" t="str">
        <f>CalcA!$D24</f>
        <v>Rep. of Korea</v>
      </c>
      <c r="C5" s="436" t="str">
        <f>"   "&amp;CalcA!$E24&amp;"        "&amp;CalcA!$F24&amp;Language!$E$197&amp;CalcA!$G24</f>
        <v xml:space="preserve">   3        2 - 5</v>
      </c>
      <c r="D5" s="84"/>
      <c r="E5" s="435" t="str">
        <f>CalcB!$D24</f>
        <v>Canada</v>
      </c>
      <c r="F5" s="436" t="str">
        <f>"   "&amp;CalcB!$E24&amp;"        "&amp;CalcB!$F24&amp;Language!$E$197&amp;CalcB!$G24</f>
        <v xml:space="preserve">   3        4 - 5</v>
      </c>
      <c r="G5" s="84"/>
      <c r="H5" s="435" t="str">
        <f>CalcC!$D24</f>
        <v>Scotland</v>
      </c>
      <c r="I5" s="436" t="str">
        <f>"   "&amp;CalcC!$E24&amp;"        "&amp;CalcC!$F24&amp;Language!$E$197&amp;CalcC!$G24</f>
        <v xml:space="preserve">   3        3 - 6</v>
      </c>
      <c r="J5" s="85"/>
      <c r="K5" s="435" t="str">
        <f>CalcD!$D24</f>
        <v>Paraguay</v>
      </c>
      <c r="L5" s="436" t="str">
        <f>"   "&amp;CalcD!$E24&amp;"        "&amp;CalcD!$F24&amp;Language!$E$197&amp;CalcD!$G24</f>
        <v xml:space="preserve">   4        5 - 6</v>
      </c>
      <c r="M5" s="85"/>
      <c r="N5" s="435" t="str">
        <f>CalcE!$D24</f>
        <v>Ivory Coast</v>
      </c>
      <c r="O5" s="436" t="str">
        <f>"   "&amp;CalcE!$E24&amp;"        "&amp;CalcE!$F24&amp;Language!$E$197&amp;CalcE!$G24</f>
        <v xml:space="preserve">   3        3 - 6</v>
      </c>
      <c r="P5" s="84"/>
      <c r="Q5" s="435" t="str">
        <f>CalcF!$D24</f>
        <v>Japan</v>
      </c>
      <c r="R5" s="436" t="str">
        <f>"   "&amp;CalcF!$E24&amp;"        "&amp;CalcF!$F24&amp;Language!$E$197&amp;CalcF!$G24</f>
        <v xml:space="preserve">   3        3 - 6</v>
      </c>
      <c r="S5" s="85"/>
      <c r="T5" s="435" t="str">
        <f>CalcG!$D24</f>
        <v>IR Iran</v>
      </c>
      <c r="U5" s="436" t="str">
        <f>"   "&amp;CalcG!$E24&amp;"        "&amp;CalcG!$F24&amp;Language!$E$197&amp;CalcG!$G24</f>
        <v xml:space="preserve">   3        2 - 4</v>
      </c>
      <c r="V5" s="84"/>
      <c r="W5" s="435" t="str">
        <f>CalcH!$D24</f>
        <v>Saudi Arabia</v>
      </c>
      <c r="X5" s="436" t="str">
        <f>"   "&amp;CalcH!$E24&amp;"        "&amp;CalcH!$F24&amp;Language!$E$197&amp;CalcH!$G24</f>
        <v xml:space="preserve">   3        3 - 5</v>
      </c>
      <c r="Y5" s="5"/>
      <c r="Z5" s="435" t="str">
        <f>CalcI!$D24</f>
        <v>Senegal</v>
      </c>
      <c r="AA5" s="436" t="str">
        <f>"   "&amp;CalcI!$E24&amp;"        "&amp;CalcI!$F24&amp;Language!$E$197&amp;CalcI!$G24</f>
        <v xml:space="preserve">   0        1 - 4</v>
      </c>
      <c r="AB5" s="84"/>
      <c r="AC5" s="435" t="str">
        <f>CalcJ!$D24</f>
        <v>Algeria</v>
      </c>
      <c r="AD5" s="436" t="str">
        <f>"   "&amp;CalcJ!$E24&amp;"        "&amp;CalcJ!$F24&amp;Language!$E$197&amp;CalcJ!$G24</f>
        <v xml:space="preserve">   3        1 - 4</v>
      </c>
      <c r="AE5" s="84"/>
      <c r="AF5" s="435" t="str">
        <f>CalcK!$D24</f>
        <v>Uzbekistan</v>
      </c>
      <c r="AG5" s="436" t="str">
        <f>"   "&amp;CalcK!$E24&amp;"        "&amp;CalcK!$F24&amp;Language!$E$197&amp;CalcK!$G24</f>
        <v xml:space="preserve">   0        0 - 4</v>
      </c>
      <c r="AH5" s="85"/>
      <c r="AI5" s="435" t="str">
        <f>CalcL!$D24</f>
        <v>Ghana</v>
      </c>
      <c r="AJ5" s="436" t="str">
        <f>"   "&amp;CalcL!$E24&amp;"        "&amp;CalcL!$F24&amp;Language!$E$197&amp;CalcL!$G24</f>
        <v xml:space="preserve">   3        3 - 3</v>
      </c>
      <c r="AK5" s="85"/>
      <c r="AL5" s="883"/>
      <c r="AM5" s="420"/>
      <c r="AN5" s="420"/>
      <c r="AO5" s="420"/>
      <c r="AP5" s="420"/>
      <c r="AQ5" s="420"/>
      <c r="AR5" s="420"/>
      <c r="AS5" s="420"/>
      <c r="AT5" s="420"/>
      <c r="AU5" s="420"/>
      <c r="AV5" s="420"/>
      <c r="AZ5" s="381"/>
    </row>
    <row r="6" spans="1:52" x14ac:dyDescent="0.2">
      <c r="A6" s="5"/>
      <c r="B6" s="95" t="str">
        <f>CalcA!$D25</f>
        <v>South Africa</v>
      </c>
      <c r="C6" s="376" t="str">
        <f>"   "&amp;CalcA!$E25&amp;"        "&amp;CalcA!$F25&amp;Language!$E$197&amp;CalcA!$G25</f>
        <v xml:space="preserve">   0        1 - 7</v>
      </c>
      <c r="D6" s="84"/>
      <c r="E6" s="95" t="str">
        <f>CalcB!$D25</f>
        <v>Qatar</v>
      </c>
      <c r="F6" s="376" t="str">
        <f>"   "&amp;CalcB!$E25&amp;"        "&amp;CalcB!$F25&amp;Language!$E$197&amp;CalcB!$G25</f>
        <v xml:space="preserve">   0        1 - 7</v>
      </c>
      <c r="G6" s="84"/>
      <c r="H6" s="95" t="str">
        <f>CalcC!$D25</f>
        <v>Haiti</v>
      </c>
      <c r="I6" s="376" t="str">
        <f>"   "&amp;CalcC!$E25&amp;"        "&amp;CalcC!$F25&amp;Language!$E$197&amp;CalcC!$G25</f>
        <v xml:space="preserve">   0        0 - 7</v>
      </c>
      <c r="J6" s="85"/>
      <c r="K6" s="95" t="str">
        <f>CalcD!$D25</f>
        <v>Australia</v>
      </c>
      <c r="L6" s="376" t="str">
        <f>"   "&amp;CalcD!$E25&amp;"        "&amp;CalcD!$F25&amp;Language!$E$197&amp;CalcD!$G25</f>
        <v xml:space="preserve">   0        1 - 7</v>
      </c>
      <c r="M6" s="85"/>
      <c r="N6" s="95" t="str">
        <f>CalcE!$D25</f>
        <v>Curaçao</v>
      </c>
      <c r="O6" s="376" t="str">
        <f>"   "&amp;CalcE!$E25&amp;"        "&amp;CalcE!$F25&amp;Language!$E$197&amp;CalcE!$G25</f>
        <v xml:space="preserve">   0        1 - 9</v>
      </c>
      <c r="P6" s="84"/>
      <c r="Q6" s="95" t="str">
        <f>CalcF!$D25</f>
        <v>Tunisia</v>
      </c>
      <c r="R6" s="376" t="str">
        <f>"   "&amp;CalcF!$E25&amp;"        "&amp;CalcF!$F25&amp;Language!$E$197&amp;CalcF!$G25</f>
        <v xml:space="preserve">   0        2 - 7</v>
      </c>
      <c r="S6" s="85"/>
      <c r="T6" s="95" t="str">
        <f>CalcG!$D25</f>
        <v>New Zealand</v>
      </c>
      <c r="U6" s="376" t="str">
        <f>"   "&amp;CalcG!$E25&amp;"        "&amp;CalcG!$F25&amp;Language!$E$197&amp;CalcG!$G25</f>
        <v xml:space="preserve">   0        1 - 3</v>
      </c>
      <c r="V6" s="84"/>
      <c r="W6" s="95" t="str">
        <f>CalcH!$D25</f>
        <v>Cape Verde</v>
      </c>
      <c r="X6" s="376" t="str">
        <f>"   "&amp;CalcH!$E25&amp;"        "&amp;CalcH!$F25&amp;Language!$E$197&amp;CalcH!$G25</f>
        <v xml:space="preserve">   0        0 - 10</v>
      </c>
      <c r="Y6" s="5"/>
      <c r="Z6" s="95" t="str">
        <f>CalcI!$D25</f>
        <v>Iraq</v>
      </c>
      <c r="AA6" s="376" t="str">
        <f>"   "&amp;CalcI!$E25&amp;"        "&amp;CalcI!$F25&amp;Language!$E$197&amp;CalcI!$G25</f>
        <v xml:space="preserve">   0        1 - 6</v>
      </c>
      <c r="AB6" s="84"/>
      <c r="AC6" s="95" t="str">
        <f>CalcJ!$D25</f>
        <v>Jordan</v>
      </c>
      <c r="AD6" s="376" t="str">
        <f>"   "&amp;CalcJ!$E25&amp;"        "&amp;CalcJ!$F25&amp;Language!$E$197&amp;CalcJ!$G25</f>
        <v xml:space="preserve">   0        0 - 3</v>
      </c>
      <c r="AE6" s="84"/>
      <c r="AF6" s="95" t="str">
        <f>CalcK!$D25</f>
        <v>DR Congo</v>
      </c>
      <c r="AG6" s="376" t="str">
        <f>"   "&amp;CalcK!$E25&amp;"        "&amp;CalcK!$F25&amp;Language!$E$197&amp;CalcK!$G25</f>
        <v xml:space="preserve">   0        0 - 5</v>
      </c>
      <c r="AH6" s="85"/>
      <c r="AI6" s="95" t="str">
        <f>CalcL!$D25</f>
        <v>Panama</v>
      </c>
      <c r="AJ6" s="376" t="str">
        <f>"   "&amp;CalcL!$E25&amp;"        "&amp;CalcL!$F25&amp;Language!$E$197&amp;CalcL!$G25</f>
        <v xml:space="preserve">   0        1 - 7</v>
      </c>
      <c r="AK6" s="85"/>
      <c r="AL6" s="883"/>
      <c r="AM6" s="420"/>
      <c r="AN6" s="420"/>
      <c r="AO6" s="420"/>
      <c r="AP6" s="420"/>
      <c r="AQ6" s="420"/>
      <c r="AR6" s="420"/>
      <c r="AS6" s="420"/>
      <c r="AT6" s="420"/>
      <c r="AU6" s="420"/>
      <c r="AV6" s="420"/>
    </row>
    <row r="7" spans="1:52" ht="13.5" customHeight="1" x14ac:dyDescent="0.2">
      <c r="A7" s="5"/>
      <c r="B7" s="907" t="str">
        <f>IF(Distinctness!$G$17=0,"",IF(Distinctness!$D$4&gt;0,Distinctness!$J$4,Distinctness!$J$5))</f>
        <v>The placement has been clarified in all groups.</v>
      </c>
      <c r="C7" s="907"/>
      <c r="D7" s="907"/>
      <c r="E7" s="907"/>
      <c r="F7" s="907"/>
      <c r="G7" s="907"/>
      <c r="H7" s="907"/>
      <c r="I7" s="907"/>
      <c r="J7" s="907"/>
      <c r="K7" s="907"/>
      <c r="L7" s="907"/>
      <c r="M7" s="907"/>
      <c r="N7" s="907"/>
      <c r="O7" s="907"/>
      <c r="P7" s="907"/>
      <c r="Q7" s="907"/>
      <c r="R7" s="907"/>
      <c r="S7" s="907"/>
      <c r="T7" s="907"/>
      <c r="U7" s="907"/>
      <c r="V7" s="907"/>
      <c r="W7" s="907"/>
      <c r="X7" s="907"/>
      <c r="Y7" s="5"/>
      <c r="Z7" s="907" t="str">
        <f>B7</f>
        <v>The placement has been clarified in all groups.</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x14ac:dyDescent="0.2">
      <c r="A8" s="4"/>
      <c r="B8" s="918" t="str">
        <f>IF(CalcA!$AU$14,"•","")</f>
        <v/>
      </c>
      <c r="C8" s="919"/>
      <c r="D8" s="102"/>
      <c r="E8" s="918" t="str">
        <f>IF(CalcB!$AU$14,"•","")</f>
        <v/>
      </c>
      <c r="F8" s="919"/>
      <c r="G8" s="102"/>
      <c r="H8" s="918" t="str">
        <f>IF(CalcC!$AU$14,"•","")</f>
        <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
      </c>
      <c r="X8" s="919"/>
      <c r="Y8" s="4"/>
      <c r="Z8" s="918" t="str">
        <f>IF(CalcI!$AU$14,"•","")</f>
        <v/>
      </c>
      <c r="AA8" s="919"/>
      <c r="AB8" s="102"/>
      <c r="AC8" s="918" t="str">
        <f>IF(CalcJ!$AU$14,"•","")</f>
        <v/>
      </c>
      <c r="AD8" s="919"/>
      <c r="AE8" s="102"/>
      <c r="AF8" s="918" t="str">
        <f>IF(CalcK!$AU$14,"•","")</f>
        <v/>
      </c>
      <c r="AG8" s="919"/>
      <c r="AH8" s="102"/>
      <c r="AI8" s="918" t="str">
        <f>IF(CalcL!$AU$14,"•","")</f>
        <v/>
      </c>
      <c r="AJ8" s="919"/>
      <c r="AK8" s="423"/>
      <c r="AL8" s="433"/>
      <c r="AM8" s="433"/>
      <c r="AN8" s="424"/>
      <c r="AO8" s="433"/>
      <c r="AP8" s="433"/>
      <c r="AQ8" s="425"/>
      <c r="AR8" s="433"/>
      <c r="AS8" s="433"/>
      <c r="AT8" s="424"/>
      <c r="AU8" s="433"/>
      <c r="AV8" s="433"/>
      <c r="AZ8" t="str">
        <f>DailySchedule!$N8</f>
        <v>USA</v>
      </c>
    </row>
    <row r="9" spans="1:52" ht="18.75" x14ac:dyDescent="0.25">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x14ac:dyDescent="0.3">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x14ac:dyDescent="0.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x14ac:dyDescent="0.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x14ac:dyDescent="0.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x14ac:dyDescent="0.25">
      <c r="A14" s="4"/>
      <c r="B14" s="1">
        <v>3</v>
      </c>
      <c r="C14" s="2">
        <v>0</v>
      </c>
      <c r="D14" s="4"/>
      <c r="E14" s="1">
        <v>2</v>
      </c>
      <c r="F14" s="2">
        <v>3</v>
      </c>
      <c r="G14" s="4"/>
      <c r="H14" s="1">
        <v>2</v>
      </c>
      <c r="I14" s="2">
        <v>1</v>
      </c>
      <c r="J14" s="4"/>
      <c r="K14" s="1">
        <v>2</v>
      </c>
      <c r="L14" s="2">
        <v>2</v>
      </c>
      <c r="M14" s="4"/>
      <c r="N14" s="1">
        <v>4</v>
      </c>
      <c r="O14" s="2">
        <v>0</v>
      </c>
      <c r="P14" s="4"/>
      <c r="Q14" s="1">
        <v>3</v>
      </c>
      <c r="R14" s="2">
        <v>1</v>
      </c>
      <c r="S14" s="4"/>
      <c r="T14" s="1">
        <v>2</v>
      </c>
      <c r="U14" s="2">
        <v>0</v>
      </c>
      <c r="V14" s="4"/>
      <c r="W14" s="1">
        <v>5</v>
      </c>
      <c r="X14" s="2">
        <v>0</v>
      </c>
      <c r="Y14" s="4"/>
      <c r="Z14" s="1">
        <v>2</v>
      </c>
      <c r="AA14" s="2">
        <v>0</v>
      </c>
      <c r="AB14" s="4"/>
      <c r="AC14" s="1">
        <v>3</v>
      </c>
      <c r="AD14" s="2">
        <v>0</v>
      </c>
      <c r="AE14" s="4"/>
      <c r="AF14" s="1">
        <v>3</v>
      </c>
      <c r="AG14" s="2">
        <v>0</v>
      </c>
      <c r="AH14" s="4"/>
      <c r="AI14" s="1">
        <v>3</v>
      </c>
      <c r="AJ14" s="2">
        <v>1</v>
      </c>
      <c r="AK14" s="18"/>
      <c r="AL14" s="23"/>
      <c r="AM14" s="23"/>
      <c r="AN14" s="18"/>
      <c r="AO14" s="23"/>
      <c r="AP14" s="23"/>
      <c r="AQ14" s="18"/>
      <c r="AR14" s="23"/>
      <c r="AS14" s="23"/>
      <c r="AT14" s="18"/>
      <c r="AU14" s="23"/>
      <c r="AV14" s="23"/>
    </row>
    <row r="15" spans="1:52" ht="15.75" thickBot="1" x14ac:dyDescent="0.25">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x14ac:dyDescent="0.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x14ac:dyDescent="0.2">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x14ac:dyDescent="0.2">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x14ac:dyDescent="0.25">
      <c r="A19" s="4"/>
      <c r="B19" s="1">
        <v>0</v>
      </c>
      <c r="C19" s="2">
        <v>2</v>
      </c>
      <c r="D19" s="4"/>
      <c r="E19" s="1">
        <v>0</v>
      </c>
      <c r="F19" s="2">
        <v>3</v>
      </c>
      <c r="G19" s="4"/>
      <c r="H19" s="1">
        <v>0</v>
      </c>
      <c r="I19" s="2">
        <v>2</v>
      </c>
      <c r="J19" s="4"/>
      <c r="K19" s="1">
        <v>0</v>
      </c>
      <c r="L19" s="2">
        <v>3</v>
      </c>
      <c r="M19" s="4"/>
      <c r="N19" s="1">
        <v>1</v>
      </c>
      <c r="O19" s="2">
        <v>3</v>
      </c>
      <c r="P19" s="4"/>
      <c r="Q19" s="1">
        <v>2</v>
      </c>
      <c r="R19" s="2">
        <v>0</v>
      </c>
      <c r="S19" s="4"/>
      <c r="T19" s="1">
        <v>1</v>
      </c>
      <c r="U19" s="2">
        <v>0</v>
      </c>
      <c r="V19" s="4"/>
      <c r="W19" s="1">
        <v>1</v>
      </c>
      <c r="X19" s="2">
        <v>2</v>
      </c>
      <c r="Y19" s="4"/>
      <c r="Z19" s="1">
        <v>1</v>
      </c>
      <c r="AA19" s="2">
        <v>3</v>
      </c>
      <c r="AB19" s="4"/>
      <c r="AC19" s="1">
        <v>2</v>
      </c>
      <c r="AD19" s="2">
        <v>0</v>
      </c>
      <c r="AE19" s="4"/>
      <c r="AF19" s="1">
        <v>0</v>
      </c>
      <c r="AG19" s="2">
        <v>1</v>
      </c>
      <c r="AH19" s="4"/>
      <c r="AI19" s="1">
        <v>2</v>
      </c>
      <c r="AJ19" s="2">
        <v>0</v>
      </c>
      <c r="AK19" s="18"/>
      <c r="AL19" s="23"/>
      <c r="AM19" s="23"/>
      <c r="AN19" s="18"/>
      <c r="AO19" s="23"/>
      <c r="AP19" s="23"/>
      <c r="AQ19" s="18"/>
      <c r="AR19" s="23"/>
      <c r="AS19" s="23"/>
      <c r="AT19" s="18"/>
      <c r="AU19" s="23"/>
      <c r="AV19" s="23"/>
    </row>
    <row r="20" spans="1:48" ht="15.75" thickBot="1" x14ac:dyDescent="0.25">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x14ac:dyDescent="0.2">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x14ac:dyDescent="0.2">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x14ac:dyDescent="0.2">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x14ac:dyDescent="0.25">
      <c r="A24" s="4"/>
      <c r="B24" s="1">
        <v>2</v>
      </c>
      <c r="C24" s="2">
        <v>0</v>
      </c>
      <c r="D24" s="4"/>
      <c r="E24" s="1">
        <v>2</v>
      </c>
      <c r="F24" s="2">
        <v>0</v>
      </c>
      <c r="G24" s="4"/>
      <c r="H24" s="1">
        <v>1</v>
      </c>
      <c r="I24" s="2">
        <v>3</v>
      </c>
      <c r="J24" s="4"/>
      <c r="K24" s="1">
        <v>2</v>
      </c>
      <c r="L24" s="2">
        <v>0</v>
      </c>
      <c r="M24" s="4"/>
      <c r="N24" s="1">
        <v>2</v>
      </c>
      <c r="O24" s="2">
        <v>0</v>
      </c>
      <c r="P24" s="4"/>
      <c r="Q24" s="1">
        <v>2</v>
      </c>
      <c r="R24" s="2">
        <v>1</v>
      </c>
      <c r="S24" s="4"/>
      <c r="T24" s="1">
        <v>2</v>
      </c>
      <c r="U24" s="2">
        <v>0</v>
      </c>
      <c r="V24" s="4"/>
      <c r="W24" s="1">
        <v>3</v>
      </c>
      <c r="X24" s="2">
        <v>0</v>
      </c>
      <c r="Y24" s="4"/>
      <c r="Z24" s="1">
        <v>3</v>
      </c>
      <c r="AA24" s="2">
        <v>0</v>
      </c>
      <c r="AB24" s="4"/>
      <c r="AC24" s="1">
        <v>2</v>
      </c>
      <c r="AD24" s="2">
        <v>3</v>
      </c>
      <c r="AE24" s="4"/>
      <c r="AF24" s="1">
        <v>3</v>
      </c>
      <c r="AG24" s="2">
        <v>0</v>
      </c>
      <c r="AH24" s="4"/>
      <c r="AI24" s="1">
        <v>3</v>
      </c>
      <c r="AJ24" s="2">
        <v>1</v>
      </c>
      <c r="AK24" s="18"/>
      <c r="AL24" s="23"/>
      <c r="AM24" s="23"/>
      <c r="AN24" s="18"/>
      <c r="AO24" s="23"/>
      <c r="AP24" s="23"/>
      <c r="AQ24" s="18"/>
      <c r="AR24" s="23"/>
      <c r="AS24" s="23"/>
      <c r="AT24" s="18"/>
      <c r="AU24" s="23"/>
      <c r="AV24" s="23"/>
    </row>
    <row r="25" spans="1:48" ht="19.5" thickBot="1" x14ac:dyDescent="0.3">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x14ac:dyDescent="0.2">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x14ac:dyDescent="0.2">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x14ac:dyDescent="0.2">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x14ac:dyDescent="0.25">
      <c r="A29" s="4"/>
      <c r="B29" s="1">
        <v>2</v>
      </c>
      <c r="C29" s="2">
        <v>0</v>
      </c>
      <c r="D29" s="4"/>
      <c r="E29" s="1">
        <v>2</v>
      </c>
      <c r="F29" s="2">
        <v>0</v>
      </c>
      <c r="G29" s="4"/>
      <c r="H29" s="1">
        <v>3</v>
      </c>
      <c r="I29" s="2">
        <v>0</v>
      </c>
      <c r="J29" s="4"/>
      <c r="K29" s="1">
        <v>3</v>
      </c>
      <c r="L29" s="2">
        <v>1</v>
      </c>
      <c r="M29" s="4"/>
      <c r="N29" s="1">
        <v>3</v>
      </c>
      <c r="O29" s="2">
        <v>0</v>
      </c>
      <c r="P29" s="4"/>
      <c r="Q29" s="1">
        <v>1</v>
      </c>
      <c r="R29" s="2">
        <v>2</v>
      </c>
      <c r="S29" s="4"/>
      <c r="T29" s="1">
        <v>1</v>
      </c>
      <c r="U29" s="2">
        <v>2</v>
      </c>
      <c r="V29" s="4"/>
      <c r="W29" s="1">
        <v>3</v>
      </c>
      <c r="X29" s="2">
        <v>0</v>
      </c>
      <c r="Y29" s="4"/>
      <c r="Z29" s="1">
        <v>2</v>
      </c>
      <c r="AA29" s="2">
        <v>1</v>
      </c>
      <c r="AB29" s="4"/>
      <c r="AC29" s="1">
        <v>0</v>
      </c>
      <c r="AD29" s="2">
        <v>1</v>
      </c>
      <c r="AE29" s="4"/>
      <c r="AF29" s="1">
        <v>2</v>
      </c>
      <c r="AG29" s="2">
        <v>0</v>
      </c>
      <c r="AH29" s="4"/>
      <c r="AI29" s="1">
        <v>1</v>
      </c>
      <c r="AJ29" s="2">
        <v>3</v>
      </c>
      <c r="AK29" s="18"/>
      <c r="AL29" s="23"/>
      <c r="AM29" s="23"/>
      <c r="AN29" s="18"/>
      <c r="AO29" s="23"/>
      <c r="AP29" s="23"/>
      <c r="AQ29" s="18"/>
      <c r="AR29" s="23"/>
      <c r="AS29" s="23"/>
      <c r="AT29" s="18"/>
      <c r="AU29" s="23"/>
      <c r="AV29" s="23"/>
    </row>
    <row r="30" spans="1:48" ht="15.75" thickBot="1" x14ac:dyDescent="0.25">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x14ac:dyDescent="0.2">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x14ac:dyDescent="0.2">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Paraguay</v>
      </c>
      <c r="AM32" s="527" t="str">
        <f>IF(AL32&lt;&gt;"","   "&amp;ThirdPlaced!$D17&amp;"        "&amp;ThirdPlaced!$F17&amp;Language!$E$197&amp;ThirdPlaced!$G17,"")</f>
        <v xml:space="preserve">   4        5 - 6</v>
      </c>
      <c r="AN32" s="533" t="str">
        <f>IF(AL32&lt;&gt;"",ThirdPlaced!$I17,"")</f>
        <v>D</v>
      </c>
      <c r="AO32" s="432"/>
      <c r="AP32" s="432"/>
      <c r="AQ32" s="18"/>
      <c r="AR32" s="432"/>
      <c r="AS32" s="432"/>
      <c r="AT32" s="18"/>
      <c r="AU32" s="432"/>
      <c r="AV32" s="432"/>
    </row>
    <row r="33" spans="1:49" x14ac:dyDescent="0.2">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Ghana</v>
      </c>
      <c r="AM33" s="527" t="str">
        <f>IF(AL33&lt;&gt;"","   "&amp;ThirdPlaced!$D18&amp;"        "&amp;ThirdPlaced!$F18&amp;Language!$E$197&amp;ThirdPlaced!$G18,"")</f>
        <v xml:space="preserve">   3        3 - 3</v>
      </c>
      <c r="AN33" s="533" t="str">
        <f>IF(AL33&lt;&gt;"",ThirdPlaced!$I18,"")</f>
        <v>L</v>
      </c>
      <c r="AO33" s="20"/>
      <c r="AP33" s="20"/>
      <c r="AQ33" s="18"/>
      <c r="AR33" s="20"/>
      <c r="AS33" s="20"/>
      <c r="AT33" s="18"/>
      <c r="AU33" s="20"/>
      <c r="AV33" s="20"/>
    </row>
    <row r="34" spans="1:49" ht="15.75" thickBot="1" x14ac:dyDescent="0.25">
      <c r="A34" s="4"/>
      <c r="B34" s="1">
        <v>2</v>
      </c>
      <c r="C34" s="2">
        <v>3</v>
      </c>
      <c r="D34" s="4"/>
      <c r="E34" s="1">
        <v>2</v>
      </c>
      <c r="F34" s="2">
        <v>0</v>
      </c>
      <c r="G34" s="4"/>
      <c r="H34" s="1">
        <v>0</v>
      </c>
      <c r="I34" s="2">
        <v>3</v>
      </c>
      <c r="J34" s="4"/>
      <c r="K34" s="1">
        <v>2</v>
      </c>
      <c r="L34" s="2">
        <v>1</v>
      </c>
      <c r="M34" s="4"/>
      <c r="N34" s="1">
        <v>1</v>
      </c>
      <c r="O34" s="2">
        <v>2</v>
      </c>
      <c r="P34" s="4"/>
      <c r="Q34" s="1">
        <v>0</v>
      </c>
      <c r="R34" s="2">
        <v>2</v>
      </c>
      <c r="S34" s="4"/>
      <c r="T34" s="1">
        <v>2</v>
      </c>
      <c r="U34" s="2">
        <v>1</v>
      </c>
      <c r="V34" s="4"/>
      <c r="W34" s="1">
        <v>0</v>
      </c>
      <c r="X34" s="2">
        <v>2</v>
      </c>
      <c r="Y34" s="4"/>
      <c r="Z34" s="1">
        <v>1</v>
      </c>
      <c r="AA34" s="2">
        <v>2</v>
      </c>
      <c r="AB34" s="4"/>
      <c r="AC34" s="1">
        <v>0</v>
      </c>
      <c r="AD34" s="2">
        <v>1</v>
      </c>
      <c r="AE34" s="4"/>
      <c r="AF34" s="1">
        <v>0</v>
      </c>
      <c r="AG34" s="2">
        <v>3</v>
      </c>
      <c r="AH34" s="4"/>
      <c r="AI34" s="1">
        <v>0</v>
      </c>
      <c r="AJ34" s="2">
        <v>2</v>
      </c>
      <c r="AK34" s="18"/>
      <c r="AL34" s="534" t="str">
        <f>IF(OR(ThirdPlaced!$D19&gt;0,ThirdPlaced!$G19&gt;0),ThirdPlaced!$C19,"")</f>
        <v>Canada</v>
      </c>
      <c r="AM34" s="527" t="str">
        <f>IF(AL34&lt;&gt;"","   "&amp;ThirdPlaced!$D19&amp;"        "&amp;ThirdPlaced!$F19&amp;Language!$E$197&amp;ThirdPlaced!$G19,"")</f>
        <v xml:space="preserve">   3        4 - 5</v>
      </c>
      <c r="AN34" s="533" t="str">
        <f>IF(AL34&lt;&gt;"",ThirdPlaced!$I19,"")</f>
        <v>B</v>
      </c>
      <c r="AO34" s="23"/>
      <c r="AP34" s="23"/>
      <c r="AQ34" s="18"/>
      <c r="AR34" s="23"/>
      <c r="AS34" s="23"/>
      <c r="AT34" s="18"/>
      <c r="AU34" s="23"/>
      <c r="AV34" s="23"/>
      <c r="AW34" s="4"/>
    </row>
    <row r="35" spans="1:49" ht="15.75" thickBot="1" x14ac:dyDescent="0.25">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Saudi Arabia</v>
      </c>
      <c r="AM35" s="527" t="str">
        <f>IF(AL35&lt;&gt;"","   "&amp;ThirdPlaced!$D20&amp;"        "&amp;ThirdPlaced!$F20&amp;Language!$E$197&amp;ThirdPlaced!$G20,"")</f>
        <v xml:space="preserve">   3        3 - 5</v>
      </c>
      <c r="AN35" s="533" t="str">
        <f>IF(AL35&lt;&gt;"",ThirdPlaced!$I20,"")</f>
        <v>H</v>
      </c>
      <c r="AO35" s="23"/>
      <c r="AP35" s="23"/>
      <c r="AQ35" s="18"/>
      <c r="AR35" s="23"/>
      <c r="AS35" s="23"/>
      <c r="AT35" s="18"/>
      <c r="AU35" s="23"/>
      <c r="AV35" s="23"/>
      <c r="AW35" s="4"/>
    </row>
    <row r="36" spans="1:49" x14ac:dyDescent="0.2">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IR Iran</v>
      </c>
      <c r="AM36" s="527" t="str">
        <f>IF(AL36&lt;&gt;"","   "&amp;ThirdPlaced!$D21&amp;"        "&amp;ThirdPlaced!$F21&amp;Language!$E$197&amp;ThirdPlaced!$G21,"")</f>
        <v xml:space="preserve">   3        2 - 4</v>
      </c>
      <c r="AN36" s="533" t="str">
        <f>IF(AL36&lt;&gt;"",ThirdPlaced!$I21,"")</f>
        <v>G</v>
      </c>
      <c r="AO36" s="18"/>
      <c r="AP36" s="18"/>
      <c r="AQ36" s="18"/>
      <c r="AR36" s="431"/>
      <c r="AS36" s="431"/>
      <c r="AT36" s="426"/>
      <c r="AU36" s="431"/>
      <c r="AV36" s="431"/>
      <c r="AW36" s="4"/>
    </row>
    <row r="37" spans="1:49" x14ac:dyDescent="0.2">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Japan</v>
      </c>
      <c r="AM37" s="527" t="str">
        <f>IF(AL37&lt;&gt;"","   "&amp;ThirdPlaced!$D22&amp;"        "&amp;ThirdPlaced!$F22&amp;Language!$E$197&amp;ThirdPlaced!$G22,"")</f>
        <v xml:space="preserve">   3        3 - 6</v>
      </c>
      <c r="AN37" s="533" t="str">
        <f>IF(AL37&lt;&gt;"",ThirdPlaced!$I22,"")</f>
        <v>F</v>
      </c>
      <c r="AO37" s="18"/>
      <c r="AP37" s="18"/>
      <c r="AQ37" s="49"/>
      <c r="AR37" s="432"/>
      <c r="AS37" s="432"/>
      <c r="AT37" s="18"/>
      <c r="AU37" s="432"/>
      <c r="AV37" s="432"/>
      <c r="AW37" s="4"/>
    </row>
    <row r="38" spans="1:49" x14ac:dyDescent="0.2">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Ivory Coast</v>
      </c>
      <c r="AM38" s="527" t="str">
        <f>IF(AL38&lt;&gt;"","   "&amp;ThirdPlaced!$D23&amp;"        "&amp;ThirdPlaced!$F23&amp;Language!$E$197&amp;ThirdPlaced!$G23,"")</f>
        <v xml:space="preserve">   3        3 - 6</v>
      </c>
      <c r="AN38" s="533" t="str">
        <f>IF(AL38&lt;&gt;"",ThirdPlaced!$I23,"")</f>
        <v>E</v>
      </c>
      <c r="AO38" s="18"/>
      <c r="AP38" s="18"/>
      <c r="AQ38" s="18"/>
      <c r="AR38" s="20"/>
      <c r="AS38" s="20"/>
      <c r="AT38" s="18"/>
      <c r="AU38" s="20"/>
      <c r="AV38" s="20"/>
      <c r="AW38" s="4"/>
    </row>
    <row r="39" spans="1:49" ht="15.75" thickBot="1" x14ac:dyDescent="0.25">
      <c r="A39" s="4"/>
      <c r="B39" s="1">
        <v>1</v>
      </c>
      <c r="C39" s="2">
        <v>2</v>
      </c>
      <c r="D39" s="4"/>
      <c r="E39" s="1">
        <v>2</v>
      </c>
      <c r="F39" s="2">
        <v>1</v>
      </c>
      <c r="G39" s="4"/>
      <c r="H39" s="1">
        <v>2</v>
      </c>
      <c r="I39" s="2">
        <v>0</v>
      </c>
      <c r="J39" s="4"/>
      <c r="K39" s="1">
        <v>2</v>
      </c>
      <c r="L39" s="2">
        <v>1</v>
      </c>
      <c r="M39" s="4"/>
      <c r="N39" s="1">
        <v>2</v>
      </c>
      <c r="O39" s="2">
        <v>1</v>
      </c>
      <c r="P39" s="4"/>
      <c r="Q39" s="1">
        <v>1</v>
      </c>
      <c r="R39" s="2">
        <v>3</v>
      </c>
      <c r="S39" s="4"/>
      <c r="T39" s="1"/>
      <c r="U39" s="2"/>
      <c r="V39" s="4"/>
      <c r="W39" s="1"/>
      <c r="X39" s="2"/>
      <c r="Y39" s="4"/>
      <c r="Z39" s="1"/>
      <c r="AA39" s="2"/>
      <c r="AB39" s="4"/>
      <c r="AC39" s="1"/>
      <c r="AD39" s="2"/>
      <c r="AE39" s="4"/>
      <c r="AF39" s="1"/>
      <c r="AG39" s="2"/>
      <c r="AH39" s="4"/>
      <c r="AI39" s="1"/>
      <c r="AJ39" s="2"/>
      <c r="AK39" s="18"/>
      <c r="AL39" s="539" t="str">
        <f>IF(OR(ThirdPlaced!$D24&gt;0,ThirdPlaced!$G24&gt;0),ThirdPlaced!$C24,"")</f>
        <v>Scotland</v>
      </c>
      <c r="AM39" s="540" t="str">
        <f>IF(AL39&lt;&gt;"","   "&amp;ThirdPlaced!$D24&amp;"        "&amp;ThirdPlaced!$F24&amp;Language!$E$197&amp;ThirdPlaced!$G24,"")</f>
        <v xml:space="preserve">   3        3 - 6</v>
      </c>
      <c r="AN39" s="541" t="str">
        <f>IF(AL39&lt;&gt;"",ThirdPlaced!$I24,"")</f>
        <v>C</v>
      </c>
      <c r="AO39" s="893"/>
      <c r="AP39" s="893"/>
      <c r="AQ39" s="49"/>
      <c r="AR39" s="23"/>
      <c r="AS39" s="23"/>
      <c r="AT39" s="18"/>
      <c r="AU39" s="23"/>
      <c r="AV39" s="23"/>
      <c r="AW39" s="4"/>
    </row>
    <row r="40" spans="1:49" x14ac:dyDescent="0.2">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Rep. of Korea</v>
      </c>
      <c r="AM40" s="537" t="str">
        <f>IF(AL40&lt;&gt;"","   "&amp;ThirdPlaced!$D25&amp;"        "&amp;ThirdPlaced!$F25&amp;Language!$E$197&amp;ThirdPlaced!$G25,"")</f>
        <v xml:space="preserve">   3        2 - 5</v>
      </c>
      <c r="AN40" s="538" t="str">
        <f>IF(AL40&lt;&gt;"",ThirdPlaced!$I25,"")</f>
        <v>A</v>
      </c>
      <c r="AO40" s="4"/>
      <c r="AP40" s="4"/>
      <c r="AQ40" s="4"/>
      <c r="AR40" s="422"/>
      <c r="AS40" s="422"/>
      <c r="AT40" s="18"/>
      <c r="AU40" s="18"/>
      <c r="AV40" s="18"/>
      <c r="AW40" s="4"/>
    </row>
    <row r="41" spans="1:49" x14ac:dyDescent="0.2">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Algeria</v>
      </c>
      <c r="AM41" s="529" t="str">
        <f>IF(AL41&lt;&gt;"","   "&amp;ThirdPlaced!$D26&amp;"        "&amp;ThirdPlaced!$F26&amp;Language!$E$197&amp;ThirdPlaced!$G26,"")</f>
        <v xml:space="preserve">   3        1 - 4</v>
      </c>
      <c r="AN41" s="530" t="str">
        <f>IF(AL41&lt;&gt;"",ThirdPlaced!$I26,"")</f>
        <v>J</v>
      </c>
      <c r="AO41" s="4"/>
      <c r="AP41" s="4"/>
      <c r="AQ41" s="4"/>
      <c r="AR41" s="430"/>
      <c r="AS41" s="430"/>
      <c r="AT41" s="49"/>
      <c r="AU41" s="430"/>
      <c r="AV41" s="430"/>
      <c r="AW41" s="4"/>
    </row>
    <row r="42" spans="1:49" x14ac:dyDescent="0.2">
      <c r="A42" s="86" t="s">
        <v>2</v>
      </c>
      <c r="B42" s="619" t="str">
        <f>IF(CalcA!$L22,B3,"")</f>
        <v>Mexico</v>
      </c>
      <c r="C42" s="618" t="str">
        <f>IF(CalcA!$L22,C3,"")</f>
        <v xml:space="preserve">   9        8 - 2</v>
      </c>
      <c r="D42" s="86" t="s">
        <v>3</v>
      </c>
      <c r="E42" s="617" t="str">
        <f>IF(CalcB!$L22,E3,"")</f>
        <v>Switzerland</v>
      </c>
      <c r="F42" s="618" t="str">
        <f>IF(CalcB!$L22,F3,"")</f>
        <v xml:space="preserve">   9        7 - 0</v>
      </c>
      <c r="G42" s="86" t="s">
        <v>4</v>
      </c>
      <c r="H42" s="617" t="str">
        <f>IF(CalcC!$L22,H3,"")</f>
        <v>Brazil</v>
      </c>
      <c r="I42" s="618" t="str">
        <f>IF(CalcC!$L22,I3,"")</f>
        <v xml:space="preserve">   9        8 - 1</v>
      </c>
      <c r="J42" s="86" t="s">
        <v>5</v>
      </c>
      <c r="K42" s="617" t="str">
        <f>IF(CalcD!$L22,K3,"")</f>
        <v>Turkey</v>
      </c>
      <c r="L42" s="618" t="str">
        <f>IF(CalcD!$L22,L3,"")</f>
        <v xml:space="preserve">   9        8 - 2</v>
      </c>
      <c r="M42" s="86" t="s">
        <v>6</v>
      </c>
      <c r="N42" s="617" t="str">
        <f>IF(CalcE!$L22,N3,"")</f>
        <v>Ecuador</v>
      </c>
      <c r="O42" s="618" t="str">
        <f>IF(CalcE!$L22,O3,"")</f>
        <v xml:space="preserve">   9        8 - 2</v>
      </c>
      <c r="P42" s="86" t="s">
        <v>7</v>
      </c>
      <c r="Q42" s="617" t="str">
        <f>IF(CalcF!$L22,Q3,"")</f>
        <v>Netherlands</v>
      </c>
      <c r="R42" s="618" t="str">
        <f>IF(CalcF!$L22,R3,"")</f>
        <v xml:space="preserve">   9        8 - 3</v>
      </c>
      <c r="S42" s="86" t="s">
        <v>93</v>
      </c>
      <c r="T42" s="617" t="str">
        <f>IF(CalcG!$L22,T3,"")</f>
        <v>Belgium</v>
      </c>
      <c r="U42" s="618" t="str">
        <f>IF(CalcG!$L22,U3,"")</f>
        <v xml:space="preserve">   6        4 - 0</v>
      </c>
      <c r="V42" s="86" t="s">
        <v>96</v>
      </c>
      <c r="W42" s="617" t="str">
        <f>IF(CalcH!$L22,W3,"")</f>
        <v>Spain</v>
      </c>
      <c r="X42" s="618" t="str">
        <f>IF(CalcH!$L22,X3,"")</f>
        <v xml:space="preserve">   6        8 - 0</v>
      </c>
      <c r="Y42" s="86" t="s">
        <v>855</v>
      </c>
      <c r="Z42" s="617" t="str">
        <f>IF(CalcI!$L22,Z3,"")</f>
        <v>France</v>
      </c>
      <c r="AA42" s="618" t="str">
        <f>IF(CalcI!$L22,AA3,"")</f>
        <v xml:space="preserve">   9        7 - 1</v>
      </c>
      <c r="AB42" s="86" t="s">
        <v>858</v>
      </c>
      <c r="AC42" s="617" t="str">
        <f>IF(CalcJ!$L22,AC3,"")</f>
        <v>Austria</v>
      </c>
      <c r="AD42" s="618" t="str">
        <f>IF(CalcJ!$L22,AD3,"")</f>
        <v xml:space="preserve">   9        6 - 2</v>
      </c>
      <c r="AE42" s="86" t="s">
        <v>861</v>
      </c>
      <c r="AF42" s="617" t="str">
        <f>IF(CalcK!$L22,AF3,"")</f>
        <v>Portugal</v>
      </c>
      <c r="AG42" s="618" t="str">
        <f>IF(CalcK!$L22,AG3,"")</f>
        <v xml:space="preserve">   9        9 - 0</v>
      </c>
      <c r="AH42" s="86" t="s">
        <v>864</v>
      </c>
      <c r="AI42" s="617" t="str">
        <f>IF(CalcL!$L22,AI3,"")</f>
        <v>England</v>
      </c>
      <c r="AJ42" s="618" t="str">
        <f>IF(CalcL!$L22,AJ3,"")</f>
        <v xml:space="preserve">   9        8 - 2</v>
      </c>
      <c r="AK42" s="427"/>
      <c r="AL42" s="528" t="str">
        <f>IF(OR(ThirdPlaced!$D27&gt;0,ThirdPlaced!$G27&gt;0),ThirdPlaced!$C27,"")</f>
        <v>Senegal</v>
      </c>
      <c r="AM42" s="529" t="str">
        <f>IF(AL42&lt;&gt;"","   "&amp;ThirdPlaced!$D27&amp;"        "&amp;ThirdPlaced!$F27&amp;Language!$E$197&amp;ThirdPlaced!$G27,"")</f>
        <v xml:space="preserve">   0        1 - 4</v>
      </c>
      <c r="AN42" s="530" t="str">
        <f>IF(AL42&lt;&gt;"",ThirdPlaced!$I27,"")</f>
        <v>I</v>
      </c>
      <c r="AO42" s="4"/>
      <c r="AP42" s="4"/>
      <c r="AQ42" s="4"/>
      <c r="AR42" s="429"/>
      <c r="AS42" s="429"/>
      <c r="AT42" s="427"/>
      <c r="AU42" s="429"/>
      <c r="AV42" s="429"/>
      <c r="AW42" s="4"/>
    </row>
    <row r="43" spans="1:49" ht="15.75" thickBot="1" x14ac:dyDescent="0.25">
      <c r="A43" s="86" t="s">
        <v>8</v>
      </c>
      <c r="B43" s="617" t="str">
        <f>IF(CalcA!$L23,B4,"")</f>
        <v>Czech Rep.</v>
      </c>
      <c r="C43" s="618" t="str">
        <f>IF(CalcA!$L23,C4,"")</f>
        <v xml:space="preserve">   6        6 - 3</v>
      </c>
      <c r="D43" s="86" t="s">
        <v>9</v>
      </c>
      <c r="E43" s="617" t="str">
        <f>IF(CalcB!$L23,E4,"")</f>
        <v>Bosnia/Herzeg.</v>
      </c>
      <c r="F43" s="618" t="str">
        <f>IF(CalcB!$L23,F4,"")</f>
        <v xml:space="preserve">   6        5 - 5</v>
      </c>
      <c r="G43" s="86" t="s">
        <v>10</v>
      </c>
      <c r="H43" s="617" t="str">
        <f>IF(CalcC!$L23,H4,"")</f>
        <v>Morocco</v>
      </c>
      <c r="I43" s="618" t="str">
        <f>IF(CalcC!$L23,I4,"")</f>
        <v xml:space="preserve">   6        6 - 3</v>
      </c>
      <c r="J43" s="86" t="s">
        <v>11</v>
      </c>
      <c r="K43" s="617" t="str">
        <f>IF(CalcD!$L23,K4,"")</f>
        <v>USA</v>
      </c>
      <c r="L43" s="618" t="str">
        <f>IF(CalcD!$L23,L4,"")</f>
        <v xml:space="preserve">   4        5 - 4</v>
      </c>
      <c r="M43" s="86" t="s">
        <v>12</v>
      </c>
      <c r="N43" s="617" t="str">
        <f>IF(CalcE!$L23,N4,"")</f>
        <v>Germany</v>
      </c>
      <c r="O43" s="618" t="str">
        <f>IF(CalcE!$L23,O4,"")</f>
        <v xml:space="preserve">   6        7 - 2</v>
      </c>
      <c r="P43" s="86" t="s">
        <v>13</v>
      </c>
      <c r="Q43" s="617" t="str">
        <f>IF(CalcF!$L23,Q4,"")</f>
        <v>Sweden</v>
      </c>
      <c r="R43" s="618" t="str">
        <f>IF(CalcF!$L23,R4,"")</f>
        <v xml:space="preserve">   6        5 - 2</v>
      </c>
      <c r="S43" s="86" t="s">
        <v>94</v>
      </c>
      <c r="T43" s="617" t="str">
        <f>IF(CalcG!$L23,T4,"")</f>
        <v>Egypt</v>
      </c>
      <c r="U43" s="618" t="str">
        <f>IF(CalcG!$L23,U4,"")</f>
        <v xml:space="preserve">   6        4 - 4</v>
      </c>
      <c r="V43" s="86" t="s">
        <v>97</v>
      </c>
      <c r="W43" s="617" t="str">
        <f>IF(CalcH!$L23,W4,"")</f>
        <v>Uruguay</v>
      </c>
      <c r="X43" s="618" t="str">
        <f>IF(CalcH!$L23,X4,"")</f>
        <v xml:space="preserve">   6        5 - 1</v>
      </c>
      <c r="Y43" s="86" t="s">
        <v>856</v>
      </c>
      <c r="Z43" s="617" t="str">
        <f>IF(CalcI!$L23,Z4,"")</f>
        <v>Norway</v>
      </c>
      <c r="AA43" s="618" t="str">
        <f>IF(CalcI!$L23,AA4,"")</f>
        <v xml:space="preserve">   6        6 - 4</v>
      </c>
      <c r="AB43" s="86" t="s">
        <v>859</v>
      </c>
      <c r="AC43" s="617" t="str">
        <f>IF(CalcJ!$L23,AC4,"")</f>
        <v>Argentina</v>
      </c>
      <c r="AD43" s="618" t="str">
        <f>IF(CalcJ!$L23,AD4,"")</f>
        <v xml:space="preserve">   3        5 - 3</v>
      </c>
      <c r="AE43" s="86" t="s">
        <v>862</v>
      </c>
      <c r="AF43" s="617" t="str">
        <f>IF(CalcK!$L23,AF4,"")</f>
        <v>Colombia</v>
      </c>
      <c r="AG43" s="618" t="str">
        <f>IF(CalcK!$L23,AG4,"")</f>
        <v xml:space="preserve">   6        3 - 3</v>
      </c>
      <c r="AH43" s="86" t="s">
        <v>865</v>
      </c>
      <c r="AI43" s="617" t="str">
        <f>IF(CalcL!$L23,AI4,"")</f>
        <v>Croatia</v>
      </c>
      <c r="AJ43" s="618" t="str">
        <f>IF(CalcL!$L23,AJ4,"")</f>
        <v xml:space="preserve">   3        4 - 4</v>
      </c>
      <c r="AK43" s="427"/>
      <c r="AL43" s="542" t="str">
        <f>IF(OR(ThirdPlaced!$D28&gt;0,ThirdPlaced!$G28&gt;0),ThirdPlaced!$C28,"")</f>
        <v>Uzbekistan</v>
      </c>
      <c r="AM43" s="543" t="str">
        <f>IF(AL43&lt;&gt;"","   "&amp;ThirdPlaced!$D28&amp;"        "&amp;ThirdPlaced!$F28&amp;Language!$E$197&amp;ThirdPlaced!$G28,"")</f>
        <v xml:space="preserve">   0        0 - 4</v>
      </c>
      <c r="AN43" s="544" t="str">
        <f>IF(AL43&lt;&gt;"",ThirdPlaced!$I28,"")</f>
        <v>K</v>
      </c>
      <c r="AO43" s="4"/>
      <c r="AP43" s="4"/>
      <c r="AQ43" s="4"/>
      <c r="AR43" s="429"/>
      <c r="AS43" s="429"/>
      <c r="AT43" s="427"/>
      <c r="AU43" s="429"/>
      <c r="AV43" s="429"/>
      <c r="AW43" s="4"/>
    </row>
    <row r="44" spans="1:49" x14ac:dyDescent="0.2">
      <c r="A44" s="87" t="s">
        <v>14</v>
      </c>
      <c r="B44" s="615" t="str">
        <f>IF(CalcA!$L24,B5,"")</f>
        <v>Rep. of Korea</v>
      </c>
      <c r="C44" s="616" t="str">
        <f>IF(CalcA!$L24,C5,"")</f>
        <v xml:space="preserve">   3        2 - 5</v>
      </c>
      <c r="D44" s="87" t="s">
        <v>15</v>
      </c>
      <c r="E44" s="615" t="str">
        <f>IF(CalcB!$L24,E5,"")</f>
        <v>Canada</v>
      </c>
      <c r="F44" s="616" t="str">
        <f>IF(CalcB!$L24,F5,"")</f>
        <v xml:space="preserve">   3        4 - 5</v>
      </c>
      <c r="G44" s="87" t="s">
        <v>16</v>
      </c>
      <c r="H44" s="615" t="str">
        <f>IF(CalcC!$L24,H5,"")</f>
        <v>Scotland</v>
      </c>
      <c r="I44" s="616" t="str">
        <f>IF(CalcC!$L24,I5,"")</f>
        <v xml:space="preserve">   3        3 - 6</v>
      </c>
      <c r="J44" s="87" t="s">
        <v>17</v>
      </c>
      <c r="K44" s="615" t="str">
        <f>IF(CalcD!$L24,K5,"")</f>
        <v>Paraguay</v>
      </c>
      <c r="L44" s="616" t="str">
        <f>IF(CalcD!$L24,L5,"")</f>
        <v xml:space="preserve">   4        5 - 6</v>
      </c>
      <c r="M44" s="87" t="s">
        <v>18</v>
      </c>
      <c r="N44" s="615" t="str">
        <f>IF(CalcE!$L24,N5,"")</f>
        <v>Ivory Coast</v>
      </c>
      <c r="O44" s="616" t="str">
        <f>IF(CalcE!$L24,O5,"")</f>
        <v xml:space="preserve">   3        3 - 6</v>
      </c>
      <c r="P44" s="87" t="s">
        <v>19</v>
      </c>
      <c r="Q44" s="615" t="str">
        <f>IF(CalcF!$L24,Q5,"")</f>
        <v>Japan</v>
      </c>
      <c r="R44" s="616" t="str">
        <f>IF(CalcF!$L24,R5,"")</f>
        <v xml:space="preserve">   3        3 - 6</v>
      </c>
      <c r="S44" s="87" t="s">
        <v>95</v>
      </c>
      <c r="T44" s="615" t="str">
        <f>IF(CalcG!$L24,T5,"")</f>
        <v>IR Iran</v>
      </c>
      <c r="U44" s="616" t="str">
        <f>IF(CalcG!$L24,U5,"")</f>
        <v xml:space="preserve">   3        2 - 4</v>
      </c>
      <c r="V44" s="87" t="s">
        <v>98</v>
      </c>
      <c r="W44" s="615" t="str">
        <f>IF(CalcH!$L24,W5,"")</f>
        <v>Saudi Arabia</v>
      </c>
      <c r="X44" s="616" t="str">
        <f>IF(CalcH!$L24,X5,"")</f>
        <v xml:space="preserve">   3        3 - 5</v>
      </c>
      <c r="Y44" s="87" t="s">
        <v>857</v>
      </c>
      <c r="Z44" s="615" t="str">
        <f>IF(CalcI!$L24,Z5,"")</f>
        <v>Senegal</v>
      </c>
      <c r="AA44" s="616" t="str">
        <f>IF(CalcI!$L24,AA5,"")</f>
        <v xml:space="preserve">   0        1 - 4</v>
      </c>
      <c r="AB44" s="87" t="s">
        <v>860</v>
      </c>
      <c r="AC44" s="615" t="str">
        <f>IF(CalcJ!$L24,AC5,"")</f>
        <v>Algeria</v>
      </c>
      <c r="AD44" s="616" t="str">
        <f>IF(CalcJ!$L24,AD5,"")</f>
        <v xml:space="preserve">   3        1 - 4</v>
      </c>
      <c r="AE44" s="87" t="s">
        <v>863</v>
      </c>
      <c r="AF44" s="615" t="str">
        <f>IF(CalcK!$L24,AF5,"")</f>
        <v>Uzbekistan</v>
      </c>
      <c r="AG44" s="616" t="str">
        <f>IF(CalcK!$L24,AG5,"")</f>
        <v xml:space="preserve">   0        0 - 4</v>
      </c>
      <c r="AH44" s="87" t="s">
        <v>866</v>
      </c>
      <c r="AI44" s="615" t="str">
        <f>IF(CalcL!$L24,AI5,"")</f>
        <v>Ghana</v>
      </c>
      <c r="AJ44" s="616" t="str">
        <f>IF(CalcL!$L24,AJ5,"")</f>
        <v xml:space="preserve">   3        3 - 3</v>
      </c>
      <c r="AK44" s="428"/>
      <c r="AL44" s="895" t="str">
        <f>Language!$E$182</f>
        <v>Group combination:</v>
      </c>
      <c r="AM44" s="896"/>
      <c r="AN44" s="897"/>
      <c r="AO44" s="429"/>
      <c r="AP44" s="429"/>
      <c r="AQ44" s="428"/>
      <c r="AR44" s="429"/>
      <c r="AS44" s="429"/>
      <c r="AT44" s="428"/>
      <c r="AU44" s="429"/>
      <c r="AV44" s="429"/>
      <c r="AW44" s="4"/>
    </row>
    <row r="45" spans="1:49" x14ac:dyDescent="0.2">
      <c r="A45" s="87" t="s">
        <v>1631</v>
      </c>
      <c r="B45" s="615" t="str">
        <f>IF(CalcA!$L25,B6,"")</f>
        <v>South Africa</v>
      </c>
      <c r="C45" s="616" t="str">
        <f>IF(CalcA!$L25,C6,"")</f>
        <v xml:space="preserve">   0        1 - 7</v>
      </c>
      <c r="D45" s="87" t="s">
        <v>1632</v>
      </c>
      <c r="E45" s="615" t="str">
        <f>IF(CalcB!$L25,E6,"")</f>
        <v>Qatar</v>
      </c>
      <c r="F45" s="616" t="str">
        <f>IF(CalcB!$L25,F6,"")</f>
        <v xml:space="preserve">   0        1 - 7</v>
      </c>
      <c r="G45" s="87" t="s">
        <v>1633</v>
      </c>
      <c r="H45" s="615" t="str">
        <f>IF(CalcC!$L25,H6,"")</f>
        <v>Haiti</v>
      </c>
      <c r="I45" s="616" t="str">
        <f>IF(CalcC!$L25,I6,"")</f>
        <v xml:space="preserve">   0        0 - 7</v>
      </c>
      <c r="J45" s="87" t="s">
        <v>1634</v>
      </c>
      <c r="K45" s="615" t="str">
        <f>IF(CalcD!$L25,K6,"")</f>
        <v>Australia</v>
      </c>
      <c r="L45" s="616" t="str">
        <f>IF(CalcD!$L25,L6,"")</f>
        <v xml:space="preserve">   0        1 - 7</v>
      </c>
      <c r="M45" s="87" t="s">
        <v>1635</v>
      </c>
      <c r="N45" s="615" t="str">
        <f>IF(CalcE!$L25,N6,"")</f>
        <v>Curaçao</v>
      </c>
      <c r="O45" s="616" t="str">
        <f>IF(CalcE!$L25,O6,"")</f>
        <v xml:space="preserve">   0        1 - 9</v>
      </c>
      <c r="P45" s="87" t="s">
        <v>1636</v>
      </c>
      <c r="Q45" s="615" t="str">
        <f>IF(CalcF!$L25,Q6,"")</f>
        <v>Tunisia</v>
      </c>
      <c r="R45" s="616" t="str">
        <f>IF(CalcF!$L25,R6,"")</f>
        <v xml:space="preserve">   0        2 - 7</v>
      </c>
      <c r="S45" s="87" t="s">
        <v>1637</v>
      </c>
      <c r="T45" s="615" t="str">
        <f>IF(CalcG!$L25,T6,"")</f>
        <v>New Zealand</v>
      </c>
      <c r="U45" s="616" t="str">
        <f>IF(CalcG!$L25,U6,"")</f>
        <v xml:space="preserve">   0        1 - 3</v>
      </c>
      <c r="V45" s="87" t="s">
        <v>1638</v>
      </c>
      <c r="W45" s="615" t="str">
        <f>IF(CalcH!$L25,W6,"")</f>
        <v>Cape Verde</v>
      </c>
      <c r="X45" s="616" t="str">
        <f>IF(CalcH!$L25,X6,"")</f>
        <v xml:space="preserve">   0        0 - 10</v>
      </c>
      <c r="Y45" s="87" t="s">
        <v>1639</v>
      </c>
      <c r="Z45" s="615" t="str">
        <f>IF(CalcI!$L25,Z6,"")</f>
        <v>Iraq</v>
      </c>
      <c r="AA45" s="616" t="str">
        <f>IF(CalcI!$L25,AA6,"")</f>
        <v xml:space="preserve">   0        1 - 6</v>
      </c>
      <c r="AB45" s="87" t="s">
        <v>1640</v>
      </c>
      <c r="AC45" s="615" t="str">
        <f>IF(CalcJ!$L25,AC6,"")</f>
        <v>Jordan</v>
      </c>
      <c r="AD45" s="616" t="str">
        <f>IF(CalcJ!$L25,AD6,"")</f>
        <v xml:space="preserve">   0        0 - 3</v>
      </c>
      <c r="AE45" s="87" t="s">
        <v>1641</v>
      </c>
      <c r="AF45" s="615" t="str">
        <f>IF(CalcK!$L25,AF6,"")</f>
        <v>DR Congo</v>
      </c>
      <c r="AG45" s="616" t="str">
        <f>IF(CalcK!$L25,AG6,"")</f>
        <v xml:space="preserve">   0        0 - 5</v>
      </c>
      <c r="AH45" s="87" t="s">
        <v>1642</v>
      </c>
      <c r="AI45" s="615" t="str">
        <f>IF(CalcL!$L25,AI6,"")</f>
        <v>Panama</v>
      </c>
      <c r="AJ45" s="616" t="str">
        <f>IF(CalcL!$L25,AJ6,"")</f>
        <v xml:space="preserve">   0        1 - 7</v>
      </c>
      <c r="AK45" s="428"/>
      <c r="AL45" s="898" t="str">
        <f>IF(Distinctness!$G$17&gt;0,ThirdPlaced!$I30,"")</f>
        <v>BCDEFGHL</v>
      </c>
      <c r="AM45" s="899"/>
      <c r="AN45" s="900"/>
      <c r="AO45" s="429"/>
      <c r="AP45" s="429"/>
      <c r="AQ45" s="428"/>
      <c r="AR45" s="429"/>
      <c r="AS45" s="429"/>
      <c r="AT45" s="428"/>
      <c r="AU45" s="429"/>
      <c r="AV45" s="429"/>
      <c r="AW45" s="4"/>
    </row>
    <row r="46" spans="1:49" ht="33"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row>
    <row r="47" spans="1:49" ht="15.75" thickBot="1" x14ac:dyDescent="0.25">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x14ac:dyDescent="0.2">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x14ac:dyDescent="0.2">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x14ac:dyDescent="0.2">
      <c r="A50" s="4"/>
      <c r="B50" s="45" t="str">
        <f>VLOOKUP(A48,Matches!$B$4:$K$113,8,0)</f>
        <v>Ecuador</v>
      </c>
      <c r="C50" s="46" t="str">
        <f>VLOOKUP(A48,Matches!$B$4:$K$113,9,0)</f>
        <v>Paraguay</v>
      </c>
      <c r="D50" s="4"/>
      <c r="E50" s="45" t="str">
        <f>VLOOKUP(D48,Matches!$B$4:$K$113,8,0)</f>
        <v>France</v>
      </c>
      <c r="F50" s="46" t="str">
        <f>VLOOKUP(D48,Matches!$B$4:$K$113,9,0)</f>
        <v>Japan</v>
      </c>
      <c r="G50" s="4"/>
      <c r="H50" s="45" t="str">
        <f>VLOOKUP(G48,Matches!$B$4:$K$113,8,0)</f>
        <v>Czech Rep.</v>
      </c>
      <c r="I50" s="46" t="str">
        <f>VLOOKUP(G48,Matches!$B$4:$K$113,9,0)</f>
        <v>Bosnia/Herzeg.</v>
      </c>
      <c r="J50" s="4"/>
      <c r="K50" s="45" t="str">
        <f>VLOOKUP(J48,Matches!$B$4:$K$113,8,0)</f>
        <v>Netherlands</v>
      </c>
      <c r="L50" s="46" t="str">
        <f>VLOOKUP(J48,Matches!$B$4:$K$113,9,0)</f>
        <v>Morocco</v>
      </c>
      <c r="M50" s="4"/>
      <c r="N50" s="45" t="str">
        <f>VLOOKUP(M48,Matches!$B$4:$K$113,8,0)</f>
        <v>Colombia</v>
      </c>
      <c r="O50" s="46" t="str">
        <f>VLOOKUP(M48,Matches!$B$4:$K$113,9,0)</f>
        <v>Croatia</v>
      </c>
      <c r="P50" s="4"/>
      <c r="Q50" s="45" t="str">
        <f>VLOOKUP(P48,Matches!$B$4:$K$113,8,0)</f>
        <v>Spain</v>
      </c>
      <c r="R50" s="46" t="str">
        <f>VLOOKUP(P48,Matches!$B$4:$K$113,9,0)</f>
        <v>Argentina</v>
      </c>
      <c r="S50" s="4"/>
      <c r="T50" s="45" t="str">
        <f>VLOOKUP(S48,Matches!$B$4:$K$113,8,0)</f>
        <v>Turkey</v>
      </c>
      <c r="U50" s="46" t="str">
        <f>VLOOKUP(S48,Matches!$B$4:$K$113,9,0)</f>
        <v>Canada</v>
      </c>
      <c r="V50" s="4"/>
      <c r="W50" s="45" t="str">
        <f>VLOOKUP(V48,Matches!$B$4:$K$113,8,0)</f>
        <v>Belgium</v>
      </c>
      <c r="X50" s="46" t="str">
        <f>VLOOKUP(V48,Matches!$B$4:$K$113,9,0)</f>
        <v>Saudi Arabia</v>
      </c>
      <c r="Y50" s="4"/>
      <c r="Z50" s="45" t="str">
        <f>VLOOKUP(Y48,Matches!$B$4:$K$113,8,0)</f>
        <v>Brazil</v>
      </c>
      <c r="AA50" s="46" t="str">
        <f>VLOOKUP(Y48,Matches!$B$4:$K$113,9,0)</f>
        <v>Sweden</v>
      </c>
      <c r="AB50" s="4"/>
      <c r="AC50" s="45" t="str">
        <f>VLOOKUP(AB48,Matches!$B$4:$K$113,8,0)</f>
        <v>Germany</v>
      </c>
      <c r="AD50" s="46" t="str">
        <f>VLOOKUP(AB48,Matches!$B$4:$K$113,9,0)</f>
        <v>Norway</v>
      </c>
      <c r="AE50" s="4"/>
      <c r="AF50" s="45" t="str">
        <f>VLOOKUP(AE48,Matches!$B$4:$K$113,8,0)</f>
        <v>Mexico</v>
      </c>
      <c r="AG50" s="46" t="str">
        <f>VLOOKUP(AE48,Matches!$B$4:$K$113,9,0)</f>
        <v>Scotland</v>
      </c>
      <c r="AH50" s="4"/>
      <c r="AI50" s="45" t="str">
        <f>VLOOKUP(AH48,Matches!$B$4:$K$113,8,0)</f>
        <v>England</v>
      </c>
      <c r="AJ50" s="46" t="str">
        <f>VLOOKUP(AH48,Matches!$B$4:$K$113,9,0)</f>
        <v>Ivory Coast</v>
      </c>
      <c r="AK50" s="4"/>
      <c r="AL50" s="45" t="str">
        <f>VLOOKUP(AK48,Matches!$B$4:$K$113,8,0)</f>
        <v>Austria</v>
      </c>
      <c r="AM50" s="46" t="str">
        <f>VLOOKUP(AK48,Matches!$B$4:$K$113,9,0)</f>
        <v>Uruguay</v>
      </c>
      <c r="AN50" s="4"/>
      <c r="AO50" s="45" t="str">
        <f>VLOOKUP(AN48,Matches!$B$4:$K$113,8,0)</f>
        <v>USA</v>
      </c>
      <c r="AP50" s="46" t="str">
        <f>VLOOKUP(AN48,Matches!$B$4:$K$113,9,0)</f>
        <v>Egypt</v>
      </c>
      <c r="AQ50" s="4"/>
      <c r="AR50" s="45" t="str">
        <f>VLOOKUP(AQ48,Matches!$B$4:$K$113,8,0)</f>
        <v>Switzerland</v>
      </c>
      <c r="AS50" s="46" t="str">
        <f>VLOOKUP(AQ48,Matches!$B$4:$K$113,9,0)</f>
        <v>IR Iran</v>
      </c>
      <c r="AT50" s="4"/>
      <c r="AU50" s="45" t="str">
        <f>VLOOKUP(AT48,Matches!$B$4:$K$113,8,0)</f>
        <v>Portugal</v>
      </c>
      <c r="AV50" s="46" t="str">
        <f>VLOOKUP(AT48,Matches!$B$4:$K$113,9,0)</f>
        <v>Ghana</v>
      </c>
      <c r="AW50" s="4"/>
    </row>
    <row r="51" spans="1:49" ht="15.75" thickBot="1" x14ac:dyDescent="0.25">
      <c r="A51" s="4"/>
      <c r="B51" s="1">
        <v>3</v>
      </c>
      <c r="C51" s="2">
        <v>0</v>
      </c>
      <c r="D51" s="222"/>
      <c r="E51" s="1">
        <v>2</v>
      </c>
      <c r="F51" s="2">
        <v>0</v>
      </c>
      <c r="G51" s="222"/>
      <c r="H51" s="1">
        <v>2</v>
      </c>
      <c r="I51" s="2">
        <v>2</v>
      </c>
      <c r="J51" s="222"/>
      <c r="K51" s="1">
        <v>3</v>
      </c>
      <c r="L51" s="2">
        <v>2</v>
      </c>
      <c r="M51" s="222"/>
      <c r="N51" s="1">
        <v>0</v>
      </c>
      <c r="O51" s="2">
        <v>2</v>
      </c>
      <c r="P51" s="222"/>
      <c r="Q51" s="1">
        <v>3</v>
      </c>
      <c r="R51" s="2">
        <v>0</v>
      </c>
      <c r="S51" s="222"/>
      <c r="T51" s="1">
        <v>2</v>
      </c>
      <c r="U51" s="2">
        <v>0</v>
      </c>
      <c r="V51" s="222"/>
      <c r="W51" s="1">
        <v>2</v>
      </c>
      <c r="X51" s="2">
        <v>0</v>
      </c>
      <c r="Y51" s="222"/>
      <c r="Z51" s="1">
        <v>3</v>
      </c>
      <c r="AA51" s="2">
        <v>1</v>
      </c>
      <c r="AB51" s="222"/>
      <c r="AC51" s="1">
        <v>2</v>
      </c>
      <c r="AD51" s="2">
        <v>3</v>
      </c>
      <c r="AE51" s="222"/>
      <c r="AF51" s="1">
        <v>2</v>
      </c>
      <c r="AG51" s="2">
        <v>0</v>
      </c>
      <c r="AH51" s="222"/>
      <c r="AI51" s="1">
        <v>3</v>
      </c>
      <c r="AJ51" s="2">
        <v>0</v>
      </c>
      <c r="AK51" s="222"/>
      <c r="AL51" s="1">
        <v>2</v>
      </c>
      <c r="AM51" s="2">
        <v>1</v>
      </c>
      <c r="AN51" s="222"/>
      <c r="AO51" s="1">
        <v>2</v>
      </c>
      <c r="AP51" s="2">
        <v>0</v>
      </c>
      <c r="AQ51" s="222"/>
      <c r="AR51" s="1">
        <v>2</v>
      </c>
      <c r="AS51" s="2">
        <v>0</v>
      </c>
      <c r="AT51" s="222"/>
      <c r="AU51" s="1">
        <v>3</v>
      </c>
      <c r="AV51" s="2">
        <v>0</v>
      </c>
      <c r="AW51" s="223"/>
    </row>
    <row r="52" spans="1:49" ht="9.9499999999999993" customHeight="1" x14ac:dyDescent="0.2">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75" thickBot="1" x14ac:dyDescent="0.25">
      <c r="A53" s="4"/>
      <c r="B53" s="216"/>
      <c r="C53" s="217"/>
      <c r="D53" s="4"/>
      <c r="E53" s="216"/>
      <c r="F53" s="217"/>
      <c r="G53" s="4"/>
      <c r="H53" s="216">
        <v>5</v>
      </c>
      <c r="I53" s="217">
        <v>4</v>
      </c>
      <c r="J53" s="4"/>
      <c r="K53" s="216"/>
      <c r="L53" s="217"/>
      <c r="M53" s="4"/>
      <c r="N53" s="216"/>
      <c r="O53" s="217"/>
      <c r="P53" s="4"/>
      <c r="Q53" s="216"/>
      <c r="R53" s="217"/>
      <c r="S53" s="4"/>
      <c r="T53" s="216"/>
      <c r="U53" s="217"/>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x14ac:dyDescent="0.2">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x14ac:dyDescent="0.2">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x14ac:dyDescent="0.2">
      <c r="A56" s="4"/>
      <c r="B56" s="4"/>
      <c r="C56" s="4"/>
      <c r="D56" s="4"/>
      <c r="E56" s="4"/>
      <c r="F56" s="4"/>
      <c r="G56" s="4"/>
      <c r="H56" s="4"/>
      <c r="I56" s="4"/>
      <c r="J56" s="4"/>
      <c r="K56" s="4"/>
      <c r="L56" s="4"/>
      <c r="M56" s="4"/>
      <c r="N56" s="4"/>
      <c r="O56" s="4"/>
      <c r="P56" s="4"/>
      <c r="Q56" s="4"/>
      <c r="R56" s="4"/>
      <c r="S56" s="4"/>
      <c r="T56" s="4"/>
      <c r="U56" s="4"/>
      <c r="V56" s="4"/>
      <c r="W56" s="4"/>
      <c r="X56" s="4"/>
      <c r="Y56" s="4"/>
    </row>
    <row r="57" spans="1:49" ht="15.75" thickBot="1" x14ac:dyDescent="0.25">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x14ac:dyDescent="0.2">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x14ac:dyDescent="0.2">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x14ac:dyDescent="0.2">
      <c r="A60" s="4"/>
      <c r="B60" s="45" t="str">
        <f>IF(AND(B51&lt;&gt;"",C51&lt;&gt;""),IF(B51&gt;C51,B50,IF(B51&lt;C51,C50,IF(AND(B53&lt;&gt;"",C53&lt;&gt;""),IF(B53&gt;C53,B50,IF(B53&lt;C53,C50,"")),""))),"")</f>
        <v>Ecuador</v>
      </c>
      <c r="C60" s="46" t="str">
        <f>IF(AND(E51&lt;&gt;"",F51&lt;&gt;""),IF(E51&gt;F51,E50,IF(E51&lt;F51,F50,IF(AND(E53&lt;&gt;"",F53&lt;&gt;""),IF(E53&gt;F53,E50,IF(E53&lt;F53,F50,"")),""))),"")</f>
        <v>France</v>
      </c>
      <c r="D60" s="4"/>
      <c r="E60" s="45" t="str">
        <f>IF(AND(H51&lt;&gt;"",I51&lt;&gt;""),IF(H51&gt;I51,H50,IF(H51&lt;I51,I50,IF(AND(H53&lt;&gt;"",I53&lt;&gt;""),IF(H53&gt;I53,H50,IF(H53&lt;I53,I50,"")),""))),"")</f>
        <v>Czech Rep.</v>
      </c>
      <c r="F60" s="46" t="str">
        <f>IF(AND(K51&lt;&gt;"",L51&lt;&gt;""),IF(K51&gt;L51,K50,IF(K51&lt;L51,L50,IF(AND(K53&lt;&gt;"",L53&lt;&gt;""),IF(K53&gt;L53,K50,IF(K53&lt;L53,L50,"")),""))),"")</f>
        <v>Netherlands</v>
      </c>
      <c r="G60" s="4"/>
      <c r="H60" s="45" t="str">
        <f>IF(AND(N51&lt;&gt;"",O51&lt;&gt;""),IF(N51&gt;O51,N50,IF(N51&lt;O51,O50,IF(AND(N53&lt;&gt;"",O53&lt;&gt;""),IF(N53&gt;O53,N50,IF(N53&lt;O53,O50,"")),""))),"")</f>
        <v>Croatia</v>
      </c>
      <c r="I60" s="46" t="str">
        <f>IF(AND(Q51&lt;&gt;"",R51&lt;&gt;""),IF(Q51&gt;R51,Q50,IF(Q51&lt;R51,R50,IF(AND(Q53&lt;&gt;"",R53&lt;&gt;""),IF(Q53&gt;R53,Q50,IF(Q53&lt;R53,R50,"")),""))),"")</f>
        <v>Spain</v>
      </c>
      <c r="J60" s="4"/>
      <c r="K60" s="45" t="str">
        <f>IF(AND(T51&lt;&gt;"",U51&lt;&gt;""),IF(T51&gt;U51,T50,IF(T51&lt;U51,U50,IF(AND(T53&lt;&gt;"",U53&lt;&gt;""),IF(T53&gt;U53,T50,IF(T53&lt;U53,U50,"")),""))),"")</f>
        <v>Turkey</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Norway</v>
      </c>
      <c r="P60" s="4"/>
      <c r="Q60" s="45" t="str">
        <f>IF(AND(AF51&lt;&gt;"",AG51&lt;&gt;""),IF(AF51&gt;AG51,AF50,IF(AF51&lt;AG51,AG50,IF(AND(AF53&lt;&gt;"",AG53&lt;&gt;""),IF(AF53&gt;AG53,AF50,IF(AF53&lt;AG53,AG50,"")),""))),"")</f>
        <v>Mexico</v>
      </c>
      <c r="R60" s="46" t="str">
        <f>IF(AND(AI51&lt;&gt;"",AJ51&lt;&gt;""),IF(AI51&gt;AJ51,AI50,IF(AI51&lt;AJ51,AJ50,IF(AND(AI53&lt;&gt;"",AJ53&lt;&gt;""),IF(AI53&gt;AJ53,AI50,IF(AI53&lt;AJ53,AJ50,"")),""))),"")</f>
        <v>England</v>
      </c>
      <c r="S60" s="4"/>
      <c r="T60" s="45" t="str">
        <f>IF(AND(AL51&lt;&gt;"",AM51&lt;&gt;""),IF(AL51&gt;AM51,AL50,IF(AL51&lt;AM51,AM50,IF(AND(AL53&lt;&gt;"",AM53&lt;&gt;""),IF(AL53&gt;AM53,AL50,IF(AL53&lt;AM53,AM50,"")),""))),"")</f>
        <v>Austria</v>
      </c>
      <c r="U60" s="46" t="str">
        <f>IF(AND(AO51&lt;&gt;"",AP51&lt;&gt;""),IF(AO51&gt;AP51,AO50,IF(AO51&lt;AP51,AP50,IF(AND(AO53&lt;&gt;"",AP53&lt;&gt;""),IF(AO53&gt;AP53,AO50,IF(AO53&lt;AP53,AP50,"")),""))),"")</f>
        <v>USA</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75" thickBot="1" x14ac:dyDescent="0.25">
      <c r="A61" s="4"/>
      <c r="B61" s="1">
        <v>2</v>
      </c>
      <c r="C61" s="2">
        <v>3</v>
      </c>
      <c r="D61" s="222"/>
      <c r="E61" s="1">
        <v>0</v>
      </c>
      <c r="F61" s="2">
        <v>2</v>
      </c>
      <c r="G61" s="222"/>
      <c r="H61" s="1">
        <v>0</v>
      </c>
      <c r="I61" s="2">
        <v>3</v>
      </c>
      <c r="J61" s="222"/>
      <c r="K61" s="1">
        <v>1</v>
      </c>
      <c r="L61" s="2">
        <v>2</v>
      </c>
      <c r="M61" s="222"/>
      <c r="N61" s="1">
        <v>2</v>
      </c>
      <c r="O61" s="2">
        <v>1</v>
      </c>
      <c r="P61" s="222"/>
      <c r="Q61" s="1">
        <v>1</v>
      </c>
      <c r="R61" s="2">
        <v>3</v>
      </c>
      <c r="S61" s="222"/>
      <c r="T61" s="1">
        <v>2</v>
      </c>
      <c r="U61" s="2">
        <v>1</v>
      </c>
      <c r="V61" s="222"/>
      <c r="W61" s="1">
        <v>2</v>
      </c>
      <c r="X61" s="2">
        <v>3</v>
      </c>
      <c r="Y61" s="223"/>
    </row>
    <row r="62" spans="1:49" ht="9.9499999999999993" customHeight="1" x14ac:dyDescent="0.2">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75" thickBot="1" x14ac:dyDescent="0.25">
      <c r="A63" s="4"/>
      <c r="B63" s="216"/>
      <c r="C63" s="217"/>
      <c r="D63" s="4"/>
      <c r="E63" s="216"/>
      <c r="F63" s="217"/>
      <c r="G63" s="4"/>
      <c r="H63" s="216"/>
      <c r="I63" s="217"/>
      <c r="J63" s="4"/>
      <c r="K63" s="216"/>
      <c r="L63" s="217"/>
      <c r="M63" s="4"/>
      <c r="N63" s="216"/>
      <c r="O63" s="217"/>
      <c r="P63" s="4"/>
      <c r="Q63" s="216"/>
      <c r="R63" s="217"/>
      <c r="S63" s="4"/>
      <c r="T63" s="216"/>
      <c r="U63" s="217"/>
      <c r="V63" s="4"/>
      <c r="W63" s="216"/>
      <c r="X63" s="217"/>
      <c r="Y63" s="4"/>
    </row>
    <row r="64" spans="1:49" x14ac:dyDescent="0.2">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x14ac:dyDescent="0.2">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x14ac:dyDescent="0.2">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x14ac:dyDescent="0.2">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x14ac:dyDescent="0.2">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x14ac:dyDescent="0.2">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x14ac:dyDescent="0.2">
      <c r="A70" s="4"/>
      <c r="B70" s="4"/>
      <c r="C70" s="8" t="str">
        <f>IF(AND(B61&lt;&gt;"",C61&lt;&gt;""),IF(B61&gt;C61,B60,IF(B61&lt;C61,C60,IF(AND(B63&lt;&gt;"",C63&lt;&gt;""),IF(B63&gt;C63,B60,IF(B63&lt;C63,C60,"")),""))),"")</f>
        <v>France</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Austria</v>
      </c>
      <c r="V70" s="13"/>
      <c r="W70" s="9" t="str">
        <f>IF(AND(W61&lt;&gt;"",X61&lt;&gt;""),IF(W61&gt;X61,W60,IF(W61&lt;X61,X60,IF(AND(W63&lt;&gt;"",X63&lt;&gt;""),IF(W63&gt;X63,W60,IF(W63&lt;X63,X60,"")),""))),"")</f>
        <v>Portugal</v>
      </c>
      <c r="X70" s="4"/>
      <c r="Y70" s="4"/>
    </row>
    <row r="71" spans="1:25" ht="15.75" thickBot="1" x14ac:dyDescent="0.25">
      <c r="A71" s="4"/>
      <c r="B71" s="4"/>
      <c r="C71" s="1">
        <v>3</v>
      </c>
      <c r="D71" s="14"/>
      <c r="E71" s="3">
        <v>2</v>
      </c>
      <c r="F71" s="223"/>
      <c r="G71" s="4"/>
      <c r="H71" s="4"/>
      <c r="I71" s="1">
        <v>3</v>
      </c>
      <c r="J71" s="14"/>
      <c r="K71" s="3">
        <v>0</v>
      </c>
      <c r="L71" s="223"/>
      <c r="M71" s="4"/>
      <c r="N71" s="4"/>
      <c r="O71" s="1">
        <v>2</v>
      </c>
      <c r="P71" s="14"/>
      <c r="Q71" s="3">
        <v>2</v>
      </c>
      <c r="R71" s="223"/>
      <c r="S71" s="4"/>
      <c r="T71" s="4"/>
      <c r="U71" s="1">
        <v>1</v>
      </c>
      <c r="V71" s="14"/>
      <c r="W71" s="3">
        <v>3</v>
      </c>
      <c r="X71" s="223"/>
      <c r="Y71" s="4"/>
    </row>
    <row r="72" spans="1:25" ht="9.9499999999999993" customHeight="1" x14ac:dyDescent="0.2">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75" thickBot="1" x14ac:dyDescent="0.25">
      <c r="A73" s="4"/>
      <c r="B73" s="4"/>
      <c r="C73" s="219"/>
      <c r="D73" s="14"/>
      <c r="E73" s="220"/>
      <c r="F73" s="4"/>
      <c r="G73" s="4"/>
      <c r="H73" s="4"/>
      <c r="I73" s="219"/>
      <c r="J73" s="14"/>
      <c r="K73" s="220"/>
      <c r="L73" s="4"/>
      <c r="M73" s="4"/>
      <c r="N73" s="4"/>
      <c r="O73" s="219">
        <v>4</v>
      </c>
      <c r="P73" s="14"/>
      <c r="Q73" s="220">
        <v>2</v>
      </c>
      <c r="R73" s="4"/>
      <c r="S73" s="4"/>
      <c r="T73" s="4"/>
      <c r="U73" s="219"/>
      <c r="V73" s="14"/>
      <c r="W73" s="220"/>
      <c r="X73" s="4"/>
      <c r="Y73" s="4"/>
    </row>
    <row r="74" spans="1:25" x14ac:dyDescent="0.2">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x14ac:dyDescent="0.2">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x14ac:dyDescent="0.2">
      <c r="A76" s="4"/>
      <c r="B76" s="4"/>
      <c r="C76" s="4"/>
      <c r="D76" s="4"/>
      <c r="E76" s="4"/>
      <c r="F76" s="4"/>
      <c r="G76" s="4"/>
      <c r="H76" s="4"/>
      <c r="I76" s="4"/>
      <c r="J76" s="4"/>
      <c r="K76" s="4"/>
      <c r="L76" s="4"/>
      <c r="M76" s="4"/>
      <c r="N76" s="4"/>
      <c r="O76" s="4"/>
      <c r="P76" s="4"/>
      <c r="Q76" s="4"/>
      <c r="R76" s="4"/>
      <c r="S76" s="4"/>
      <c r="T76" s="4"/>
      <c r="U76" s="4"/>
      <c r="V76" s="4"/>
      <c r="W76" s="4"/>
      <c r="X76" s="4"/>
      <c r="Y76" s="4"/>
    </row>
    <row r="77" spans="1:25" x14ac:dyDescent="0.2">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x14ac:dyDescent="0.2">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x14ac:dyDescent="0.2">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x14ac:dyDescent="0.2">
      <c r="A80" s="4"/>
      <c r="B80" s="4"/>
      <c r="C80" s="4"/>
      <c r="D80" s="4"/>
      <c r="E80" s="4"/>
      <c r="F80" s="8" t="str">
        <f>IF(AND(C71&lt;&gt;"",E71&lt;&gt;""),IF(C71&gt;E71,C70,IF(C71&lt;E71,E70,IF(AND(C73&lt;&gt;"",E73&lt;&gt;""),IF(C73&gt;E73,C70,IF(C73&lt;E73,E70,"")),""))),"")</f>
        <v>France</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Brazil</v>
      </c>
      <c r="S80" s="13"/>
      <c r="T80" s="9" t="str">
        <f>IF(AND(U71&lt;&gt;"",W71&lt;&gt;""),IF(U71&gt;W71,U70,IF(U71&lt;W71,W70,IF(AND(U73&lt;&gt;"",W73&lt;&gt;""),IF(U73&gt;W73,U70,IF(U73&lt;W73,W70,"")),""))),"")</f>
        <v>Portugal</v>
      </c>
      <c r="U80" s="4"/>
      <c r="V80" s="4"/>
      <c r="W80" s="4"/>
      <c r="X80" s="4"/>
      <c r="Y80" s="4"/>
    </row>
    <row r="81" spans="1:25" ht="15.75" thickBot="1" x14ac:dyDescent="0.25">
      <c r="A81" s="4"/>
      <c r="B81" s="4"/>
      <c r="C81" s="4"/>
      <c r="D81" s="4"/>
      <c r="E81" s="4"/>
      <c r="F81" s="1">
        <v>3</v>
      </c>
      <c r="G81" s="14"/>
      <c r="H81" s="3">
        <v>2</v>
      </c>
      <c r="I81" s="223"/>
      <c r="J81" s="4"/>
      <c r="K81" s="4"/>
      <c r="L81" s="19"/>
      <c r="M81" s="18"/>
      <c r="N81" s="4"/>
      <c r="O81" s="4"/>
      <c r="P81" s="4"/>
      <c r="Q81" s="4"/>
      <c r="R81" s="1">
        <v>3</v>
      </c>
      <c r="S81" s="14"/>
      <c r="T81" s="3">
        <v>3</v>
      </c>
      <c r="U81" s="223"/>
      <c r="V81" s="4"/>
      <c r="W81" s="4"/>
      <c r="X81" s="4"/>
      <c r="Y81" s="4"/>
    </row>
    <row r="82" spans="1:25" ht="9.9499999999999993" customHeight="1" x14ac:dyDescent="0.2">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75" thickBot="1" x14ac:dyDescent="0.25">
      <c r="A83" s="4"/>
      <c r="B83" s="4"/>
      <c r="C83" s="4"/>
      <c r="D83" s="4"/>
      <c r="E83" s="4"/>
      <c r="F83" s="219"/>
      <c r="G83" s="221"/>
      <c r="H83" s="220"/>
      <c r="I83" s="4"/>
      <c r="J83" s="4"/>
      <c r="K83" s="4"/>
      <c r="L83" s="19"/>
      <c r="M83" s="18"/>
      <c r="N83" s="4"/>
      <c r="O83" s="4"/>
      <c r="P83" s="4"/>
      <c r="Q83" s="4"/>
      <c r="R83" s="219">
        <v>3</v>
      </c>
      <c r="S83" s="221"/>
      <c r="T83" s="220">
        <v>5</v>
      </c>
      <c r="U83" s="4"/>
      <c r="V83" s="4"/>
      <c r="W83" s="4"/>
      <c r="X83" s="4"/>
      <c r="Y83" s="4"/>
    </row>
    <row r="84" spans="1:25" x14ac:dyDescent="0.2">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x14ac:dyDescent="0.2">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x14ac:dyDescent="0.2">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x14ac:dyDescent="0.2">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x14ac:dyDescent="0.2">
      <c r="A88" s="4"/>
      <c r="B88" s="4"/>
      <c r="C88" s="4"/>
      <c r="D88" s="4"/>
      <c r="E88" s="4"/>
      <c r="F88" s="4"/>
      <c r="G88" s="4"/>
      <c r="H88" s="4"/>
      <c r="I88" s="4"/>
      <c r="J88" s="4"/>
      <c r="K88" s="4"/>
      <c r="L88" s="8" t="str">
        <f>IF(AND(F81&lt;&gt;"",H81&lt;&gt;""),IF(F81&lt;H81,F80,IF(F81&gt;H81,H80,IF(AND(F83&lt;&gt;"",H83&lt;&gt;""),IF(F83&lt;H83,F80,IF(F83&gt;H83,H80,"")),""))),"")</f>
        <v>Spain</v>
      </c>
      <c r="M88" s="13"/>
      <c r="N88" s="9" t="str">
        <f>IF(AND(R81&lt;&gt;"",T81&lt;&gt;""),IF(R81&lt;T81,R80,IF(R81&gt;T81,T80,IF(AND(R83&lt;&gt;"",T83&lt;&gt;""),IF(R83&lt;T83,R80,IF(R83&gt;T83,T80,"")),""))),"")</f>
        <v>Brazil</v>
      </c>
      <c r="O88" s="4"/>
      <c r="P88" s="4"/>
      <c r="Q88" s="4"/>
      <c r="R88" s="4"/>
      <c r="S88" s="4"/>
      <c r="T88" s="4"/>
      <c r="U88" s="4"/>
      <c r="V88" s="4"/>
      <c r="W88" s="4"/>
      <c r="X88" s="4"/>
      <c r="Y88" s="4"/>
    </row>
    <row r="89" spans="1:25" ht="15.75" thickBot="1" x14ac:dyDescent="0.25">
      <c r="A89" s="4"/>
      <c r="B89" s="4"/>
      <c r="C89" s="4"/>
      <c r="D89" s="4"/>
      <c r="E89" s="4"/>
      <c r="F89" s="4"/>
      <c r="G89" s="4"/>
      <c r="H89" s="4"/>
      <c r="I89" s="4"/>
      <c r="J89" s="4"/>
      <c r="K89" s="4"/>
      <c r="L89" s="1">
        <v>2</v>
      </c>
      <c r="M89" s="14"/>
      <c r="N89" s="3">
        <v>0</v>
      </c>
      <c r="O89" s="223"/>
      <c r="P89" s="4"/>
      <c r="Q89" s="4"/>
      <c r="R89" s="4"/>
      <c r="S89" s="4"/>
      <c r="T89" s="4"/>
      <c r="U89" s="4"/>
      <c r="V89" s="4"/>
      <c r="W89" s="4"/>
      <c r="X89" s="4"/>
      <c r="Y89" s="4"/>
    </row>
    <row r="90" spans="1:25" ht="9.9499999999999993" customHeight="1" x14ac:dyDescent="0.2">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75" thickBot="1" x14ac:dyDescent="0.25">
      <c r="A91" s="4"/>
      <c r="B91" s="4"/>
      <c r="C91" s="4"/>
      <c r="D91" s="4"/>
      <c r="E91" s="4"/>
      <c r="F91" s="4"/>
      <c r="G91" s="4"/>
      <c r="H91" s="4"/>
      <c r="I91" s="4"/>
      <c r="J91" s="4"/>
      <c r="K91" s="4"/>
      <c r="L91" s="219"/>
      <c r="M91" s="221"/>
      <c r="N91" s="220"/>
      <c r="O91" s="4"/>
      <c r="P91" s="4"/>
      <c r="Q91" s="4"/>
      <c r="R91" s="4"/>
      <c r="S91" s="4"/>
      <c r="T91" s="4"/>
      <c r="U91" s="4"/>
      <c r="V91" s="4"/>
      <c r="W91" s="4"/>
      <c r="X91" s="4"/>
      <c r="Y91" s="4"/>
    </row>
    <row r="92" spans="1:25" x14ac:dyDescent="0.2">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x14ac:dyDescent="0.2">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x14ac:dyDescent="0.2">
      <c r="A94" s="4"/>
      <c r="B94" s="4"/>
      <c r="C94" s="4"/>
      <c r="D94" s="4"/>
      <c r="E94" s="4"/>
      <c r="F94" s="4"/>
      <c r="G94" s="4"/>
      <c r="H94" s="4"/>
      <c r="I94" s="4"/>
      <c r="J94" s="4"/>
      <c r="K94" s="4"/>
      <c r="L94" s="4"/>
      <c r="M94" s="4"/>
      <c r="N94" s="4"/>
      <c r="O94" s="4"/>
      <c r="P94" s="4"/>
      <c r="Q94" s="4"/>
      <c r="R94" s="4"/>
      <c r="S94" s="4"/>
      <c r="T94" s="4"/>
      <c r="U94" s="4"/>
      <c r="V94" s="4"/>
      <c r="W94" s="4"/>
      <c r="X94" s="4"/>
      <c r="Y94" s="4"/>
    </row>
    <row r="95" spans="1:25" ht="31.5" x14ac:dyDescent="0.2">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x14ac:dyDescent="0.2">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x14ac:dyDescent="0.2">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x14ac:dyDescent="0.2">
      <c r="A98" s="4"/>
      <c r="B98" s="4"/>
      <c r="C98" s="4"/>
      <c r="D98" s="4"/>
      <c r="E98" s="4"/>
      <c r="F98" s="4"/>
      <c r="G98" s="4"/>
      <c r="H98" s="4"/>
      <c r="I98" s="4"/>
      <c r="J98" s="4"/>
      <c r="K98" s="4"/>
      <c r="L98" s="8" t="str">
        <f>IF(AND(F81&lt;&gt;"",H81&lt;&gt;""),IF(F81&gt;H81,F80,IF(F81&lt;H81,H80,IF(AND(F83&lt;&gt;"",H83&lt;&gt;""),IF(F83&gt;H83,F80,IF(F83&lt;H83,H80,"")),""))),"")</f>
        <v>France</v>
      </c>
      <c r="M98" s="13"/>
      <c r="N98" s="9" t="str">
        <f>IF(AND(R81&lt;&gt;"",T81&lt;&gt;""),IF(R81&gt;T81,R80,IF(R81&lt;T81,T80,IF(AND(R83&lt;&gt;"",T83&lt;&gt;""),IF(R83&gt;T83,R80,IF(R83&lt;T83,T80,"")),""))),"")</f>
        <v>Portugal</v>
      </c>
      <c r="O98" s="4"/>
      <c r="P98" s="4"/>
      <c r="Q98" s="4"/>
      <c r="R98" s="934" t="str">
        <f>IF(AND(L99&lt;&gt;"",N99&lt;&gt;""),IF(L99&gt;N99,L98,IF(L99&lt;N99,N98,IF(AND(L101&lt;&gt;"",N101&lt;&gt;""),IF(L101&gt;N101,L98,IF(L101&lt;N101,N98,"")),""))),"")</f>
        <v>Portugal</v>
      </c>
      <c r="S98" s="934"/>
      <c r="T98" s="934"/>
      <c r="U98" s="934"/>
      <c r="V98" s="934"/>
      <c r="W98" s="934"/>
      <c r="X98" s="4"/>
      <c r="Y98" s="4"/>
    </row>
    <row r="99" spans="1:25" ht="15.75" thickBot="1" x14ac:dyDescent="0.25">
      <c r="A99" s="4"/>
      <c r="B99" s="17"/>
      <c r="C99" s="4"/>
      <c r="D99" s="4"/>
      <c r="E99" s="4"/>
      <c r="F99" s="4"/>
      <c r="G99" s="4"/>
      <c r="H99" s="4"/>
      <c r="I99" s="4"/>
      <c r="J99" s="4"/>
      <c r="K99" s="4"/>
      <c r="L99" s="1">
        <v>2</v>
      </c>
      <c r="M99" s="91"/>
      <c r="N99" s="3">
        <v>3</v>
      </c>
      <c r="O99" s="223"/>
      <c r="P99" s="4"/>
      <c r="Q99" s="4"/>
      <c r="R99" s="934"/>
      <c r="S99" s="934"/>
      <c r="T99" s="934"/>
      <c r="U99" s="934"/>
      <c r="V99" s="934"/>
      <c r="W99" s="934"/>
      <c r="X99" s="4"/>
      <c r="Y99" s="4"/>
    </row>
    <row r="100" spans="1:25" ht="9.9499999999999993" customHeight="1" x14ac:dyDescent="0.2">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x14ac:dyDescent="0.25">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x14ac:dyDescent="0.2">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x14ac:dyDescent="0.2">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x14ac:dyDescent="0.2">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x14ac:dyDescent="0.2">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x14ac:dyDescent="0.2"/>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x14ac:dyDescent="0.2"/>
  <cols>
    <col min="1" max="1" width="11.43359375" customWidth="1"/>
    <col min="2" max="2" width="21.5234375" style="579" customWidth="1"/>
    <col min="3" max="3" width="10.22265625" style="4" customWidth="1"/>
    <col min="4" max="4" width="18.0234375" style="4" customWidth="1"/>
    <col min="5" max="5" width="18.96484375" style="4" customWidth="1"/>
    <col min="6" max="6" width="9.28125" style="4" customWidth="1"/>
    <col min="7" max="7" width="8.7421875" style="231" customWidth="1"/>
    <col min="8" max="8" width="9.81640625" style="231" customWidth="1"/>
    <col min="9" max="9" width="22.05859375" style="231" customWidth="1"/>
    <col min="10" max="10" width="12.64453125" customWidth="1"/>
    <col min="11" max="12" width="11.43359375" customWidth="1"/>
    <col min="13" max="13" width="5.6484375" customWidth="1"/>
    <col min="14" max="14" width="19.234375" customWidth="1"/>
    <col min="15" max="15" width="11.43359375" customWidth="1"/>
    <col min="16" max="16384" width="11.43359375" hidden="1"/>
  </cols>
  <sheetData>
    <row r="1" spans="1:14" ht="29.25" x14ac:dyDescent="0.4">
      <c r="A1" s="548"/>
      <c r="B1" s="945" t="str">
        <f>Language!$E$250</f>
        <v>Daily schedule</v>
      </c>
      <c r="C1" s="945"/>
      <c r="D1" s="945"/>
      <c r="E1" s="945"/>
      <c r="F1" s="945"/>
      <c r="G1" s="945"/>
      <c r="H1" s="945"/>
      <c r="I1" s="626"/>
    </row>
    <row r="2" spans="1:14" ht="30" thickBot="1" x14ac:dyDescent="0.45">
      <c r="A2" s="549"/>
      <c r="B2" s="233"/>
      <c r="C2" s="233"/>
      <c r="D2" s="233"/>
      <c r="E2" s="233"/>
      <c r="F2" s="233"/>
      <c r="G2" s="233"/>
      <c r="H2" s="233"/>
      <c r="I2" s="233"/>
      <c r="M2" s="946" t="str">
        <f>Language!$E$261</f>
        <v>Color favorites</v>
      </c>
      <c r="N2" s="946"/>
    </row>
    <row r="3" spans="1:14" ht="16.5" thickTop="1" thickBot="1" x14ac:dyDescent="0.25">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x14ac:dyDescent="0.2">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x14ac:dyDescent="0.2">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x14ac:dyDescent="0.25">
      <c r="A6" s="4"/>
      <c r="B6" s="558"/>
      <c r="C6" s="559"/>
      <c r="D6" s="560"/>
      <c r="E6" s="560"/>
      <c r="F6" s="561"/>
      <c r="G6" s="562"/>
      <c r="H6" s="562"/>
      <c r="I6" s="562"/>
      <c r="J6" s="562"/>
      <c r="K6" s="563"/>
      <c r="M6" s="564" t="s">
        <v>1644</v>
      </c>
    </row>
    <row r="7" spans="1:14" x14ac:dyDescent="0.2">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x14ac:dyDescent="0.2">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x14ac:dyDescent="0.2">
      <c r="A9" s="4"/>
      <c r="B9" s="558"/>
      <c r="C9" s="559"/>
      <c r="D9" s="560"/>
      <c r="E9" s="560"/>
      <c r="F9" s="561"/>
      <c r="G9" s="562"/>
      <c r="H9" s="562"/>
      <c r="I9" s="562"/>
      <c r="J9" s="562"/>
      <c r="K9" s="563"/>
      <c r="M9" s="567" t="s">
        <v>174</v>
      </c>
      <c r="N9" s="569" t="str">
        <f>IFERROR(VLOOKUP(M9,Groups!$B$7:$D$65,3,0),"")</f>
        <v>Canada</v>
      </c>
    </row>
    <row r="10" spans="1:14" ht="15.75" thickBot="1" x14ac:dyDescent="0.25">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x14ac:dyDescent="0.2">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x14ac:dyDescent="0.2">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x14ac:dyDescent="0.2">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x14ac:dyDescent="0.2">
      <c r="A14" s="4"/>
      <c r="B14" s="558"/>
      <c r="C14" s="559"/>
      <c r="D14" s="560"/>
      <c r="E14" s="560"/>
      <c r="F14" s="561"/>
      <c r="G14" s="562"/>
      <c r="H14" s="562"/>
      <c r="I14" s="562"/>
      <c r="J14" s="562"/>
      <c r="K14" s="563"/>
    </row>
    <row r="15" spans="1:14" x14ac:dyDescent="0.2">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x14ac:dyDescent="0.2">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x14ac:dyDescent="0.2">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x14ac:dyDescent="0.2">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x14ac:dyDescent="0.2">
      <c r="A19" s="4"/>
      <c r="B19" s="558"/>
      <c r="C19" s="559"/>
      <c r="D19" s="560"/>
      <c r="E19" s="560"/>
      <c r="F19" s="561"/>
      <c r="G19" s="562"/>
      <c r="H19" s="562"/>
      <c r="I19" s="562"/>
      <c r="J19" s="562"/>
      <c r="K19" s="563"/>
    </row>
    <row r="20" spans="1:11" x14ac:dyDescent="0.2">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x14ac:dyDescent="0.2">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x14ac:dyDescent="0.2">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x14ac:dyDescent="0.2">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x14ac:dyDescent="0.2">
      <c r="A24" s="4"/>
      <c r="B24" s="558"/>
      <c r="C24" s="559"/>
      <c r="D24" s="560"/>
      <c r="E24" s="560"/>
      <c r="F24" s="561"/>
      <c r="G24" s="562"/>
      <c r="H24" s="562"/>
      <c r="I24" s="562"/>
      <c r="J24" s="562"/>
      <c r="K24" s="563"/>
    </row>
    <row r="25" spans="1:11" x14ac:dyDescent="0.2">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x14ac:dyDescent="0.2">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x14ac:dyDescent="0.2">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x14ac:dyDescent="0.2">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x14ac:dyDescent="0.2">
      <c r="A29" s="4"/>
      <c r="B29" s="558"/>
      <c r="C29" s="559"/>
      <c r="D29" s="560"/>
      <c r="E29" s="560"/>
      <c r="F29" s="561"/>
      <c r="G29" s="562"/>
      <c r="H29" s="562"/>
      <c r="I29" s="562"/>
      <c r="J29" s="562"/>
      <c r="K29" s="563"/>
    </row>
    <row r="30" spans="1:11" x14ac:dyDescent="0.2">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x14ac:dyDescent="0.2">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x14ac:dyDescent="0.2">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x14ac:dyDescent="0.2">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x14ac:dyDescent="0.2">
      <c r="A34" s="4"/>
      <c r="B34" s="558"/>
      <c r="C34" s="559"/>
      <c r="D34" s="560"/>
      <c r="E34" s="560"/>
      <c r="F34" s="561"/>
      <c r="G34" s="562"/>
      <c r="H34" s="562"/>
      <c r="I34" s="562"/>
      <c r="J34" s="562"/>
      <c r="K34" s="563"/>
    </row>
    <row r="35" spans="1:11" x14ac:dyDescent="0.2">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x14ac:dyDescent="0.2">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x14ac:dyDescent="0.2">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x14ac:dyDescent="0.2">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x14ac:dyDescent="0.2">
      <c r="A39" s="4"/>
      <c r="B39" s="558"/>
      <c r="C39" s="559"/>
      <c r="D39" s="560"/>
      <c r="E39" s="560"/>
      <c r="F39" s="561"/>
      <c r="G39" s="562"/>
      <c r="H39" s="562"/>
      <c r="I39" s="562"/>
      <c r="J39" s="562"/>
      <c r="K39" s="563"/>
    </row>
    <row r="40" spans="1:11" x14ac:dyDescent="0.2">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x14ac:dyDescent="0.2">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x14ac:dyDescent="0.2">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x14ac:dyDescent="0.2">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x14ac:dyDescent="0.2">
      <c r="A44" s="4"/>
      <c r="B44" s="558"/>
      <c r="C44" s="559"/>
      <c r="D44" s="560"/>
      <c r="E44" s="560"/>
      <c r="F44" s="561"/>
      <c r="G44" s="562"/>
      <c r="H44" s="562"/>
      <c r="I44" s="562"/>
      <c r="J44" s="562"/>
      <c r="K44" s="563"/>
    </row>
    <row r="45" spans="1:11" x14ac:dyDescent="0.2">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x14ac:dyDescent="0.2">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x14ac:dyDescent="0.2">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x14ac:dyDescent="0.2">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x14ac:dyDescent="0.2">
      <c r="A49" s="4"/>
      <c r="B49" s="558"/>
      <c r="C49" s="559"/>
      <c r="D49" s="560"/>
      <c r="E49" s="560"/>
      <c r="F49" s="561"/>
      <c r="G49" s="562"/>
      <c r="H49" s="562"/>
      <c r="I49" s="562"/>
      <c r="J49" s="562"/>
      <c r="K49" s="563"/>
    </row>
    <row r="50" spans="1:11" x14ac:dyDescent="0.2">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x14ac:dyDescent="0.2">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x14ac:dyDescent="0.2">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x14ac:dyDescent="0.2">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x14ac:dyDescent="0.2">
      <c r="A54" s="4"/>
      <c r="B54" s="558"/>
      <c r="C54" s="559"/>
      <c r="D54" s="560"/>
      <c r="E54" s="560"/>
      <c r="F54" s="561"/>
      <c r="G54" s="562"/>
      <c r="H54" s="562"/>
      <c r="I54" s="562"/>
      <c r="J54" s="562"/>
      <c r="K54" s="563"/>
    </row>
    <row r="55" spans="1:11" x14ac:dyDescent="0.2">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x14ac:dyDescent="0.2">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x14ac:dyDescent="0.2">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x14ac:dyDescent="0.2">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x14ac:dyDescent="0.2">
      <c r="A59" s="4"/>
      <c r="B59" s="558"/>
      <c r="C59" s="559"/>
      <c r="D59" s="560"/>
      <c r="E59" s="560"/>
      <c r="F59" s="561"/>
      <c r="G59" s="562"/>
      <c r="H59" s="562"/>
      <c r="I59" s="562"/>
      <c r="J59" s="562"/>
      <c r="K59" s="563"/>
    </row>
    <row r="60" spans="1:11" x14ac:dyDescent="0.2">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x14ac:dyDescent="0.2">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x14ac:dyDescent="0.2">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x14ac:dyDescent="0.2">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x14ac:dyDescent="0.2">
      <c r="A64" s="572"/>
      <c r="B64" s="558"/>
      <c r="C64" s="559"/>
      <c r="D64" s="560"/>
      <c r="E64" s="560"/>
      <c r="F64" s="561"/>
      <c r="G64" s="562"/>
      <c r="H64" s="562"/>
      <c r="I64" s="562"/>
      <c r="J64" s="562"/>
      <c r="K64" s="563"/>
    </row>
    <row r="65" spans="1:11" x14ac:dyDescent="0.2">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x14ac:dyDescent="0.2">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x14ac:dyDescent="0.2">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x14ac:dyDescent="0.2">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x14ac:dyDescent="0.2">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x14ac:dyDescent="0.2">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x14ac:dyDescent="0.2">
      <c r="A71" s="4"/>
      <c r="B71" s="558"/>
      <c r="C71" s="559"/>
      <c r="D71" s="560"/>
      <c r="E71" s="560"/>
      <c r="F71" s="561"/>
      <c r="G71" s="562"/>
      <c r="H71" s="562"/>
      <c r="I71" s="562"/>
      <c r="J71" s="562"/>
      <c r="K71" s="563"/>
    </row>
    <row r="72" spans="1:11" x14ac:dyDescent="0.2">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x14ac:dyDescent="0.2">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x14ac:dyDescent="0.2">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x14ac:dyDescent="0.2">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x14ac:dyDescent="0.2">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x14ac:dyDescent="0.2">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x14ac:dyDescent="0.2">
      <c r="A78" s="572"/>
      <c r="B78" s="558"/>
      <c r="C78" s="559"/>
      <c r="D78" s="560"/>
      <c r="E78" s="560"/>
      <c r="F78" s="561"/>
      <c r="G78" s="562"/>
      <c r="H78" s="562"/>
      <c r="I78" s="562"/>
      <c r="J78" s="562"/>
      <c r="K78" s="563"/>
    </row>
    <row r="79" spans="1:11" x14ac:dyDescent="0.2">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x14ac:dyDescent="0.2">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x14ac:dyDescent="0.2">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x14ac:dyDescent="0.2">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x14ac:dyDescent="0.2">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x14ac:dyDescent="0.2">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x14ac:dyDescent="0.2">
      <c r="A85" s="572"/>
      <c r="B85" s="558"/>
      <c r="C85" s="559"/>
      <c r="D85" s="560"/>
      <c r="E85" s="560"/>
      <c r="F85" s="561"/>
      <c r="G85" s="562"/>
      <c r="H85" s="562"/>
      <c r="I85" s="562"/>
      <c r="J85" s="562"/>
      <c r="K85" s="563"/>
    </row>
    <row r="86" spans="1:11" x14ac:dyDescent="0.2">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x14ac:dyDescent="0.2">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x14ac:dyDescent="0.2">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x14ac:dyDescent="0.2">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x14ac:dyDescent="0.2">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x14ac:dyDescent="0.2">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x14ac:dyDescent="0.2">
      <c r="A92" s="572"/>
      <c r="B92" s="558"/>
      <c r="C92" s="559"/>
      <c r="D92" s="560"/>
      <c r="E92" s="560"/>
      <c r="F92" s="561"/>
      <c r="G92" s="562"/>
      <c r="H92" s="641"/>
      <c r="I92" s="641"/>
      <c r="J92" s="641"/>
      <c r="K92" s="642"/>
    </row>
    <row r="93" spans="1:11" x14ac:dyDescent="0.2">
      <c r="A93" s="572"/>
      <c r="B93" s="643" t="str">
        <f>Language!$E$256</f>
        <v>Round of 32</v>
      </c>
      <c r="C93" s="644"/>
      <c r="D93" s="645"/>
      <c r="E93" s="645"/>
      <c r="F93" s="646"/>
      <c r="G93" s="647"/>
      <c r="H93" s="648"/>
      <c r="I93" s="648"/>
      <c r="J93" s="649"/>
      <c r="K93" s="650"/>
    </row>
    <row r="94" spans="1:11" x14ac:dyDescent="0.2">
      <c r="A94" s="572"/>
      <c r="B94" s="552">
        <f>INDEX(Matches!$B$4:$J$113,MATCH($F94,Matches!$B$4:$B$113,0),5)</f>
        <v>46201.875</v>
      </c>
      <c r="C94" s="553">
        <f>INDEX(Matches!$B$4:$J$113,MATCH($F94,Matches!$B$4:$B$113,0),5)</f>
        <v>46201.875</v>
      </c>
      <c r="D94" s="554" t="str">
        <f>INDEX(Matches!$B$4:$J$113,MATCH($F94,Matches!$B$4:$B$113,0),8)</f>
        <v>Czech Rep.</v>
      </c>
      <c r="E94" s="554" t="str">
        <f>INDEX(Matches!$B$4:$J$113,MATCH($F94,Matches!$B$4:$B$113,0),9)</f>
        <v>Bosnia/Herzeg.</v>
      </c>
      <c r="F94" s="557">
        <v>73</v>
      </c>
      <c r="G94" s="556" t="str">
        <f>INDEX(Matches!$B$4:$J$113,MATCH($F94,Matches!$B$4:$B$113,0),2)</f>
        <v>2A</v>
      </c>
      <c r="H94" s="556" t="str">
        <f>INDEX(Matches!$B$4:$J$113,MATCH($F94,Matches!$B$4:$B$113,0),3)</f>
        <v>2B</v>
      </c>
      <c r="I94" s="556" t="str">
        <f>IFERROR(VLOOKUP($F94,Matches!$B$4:$H$113,7,0),"")</f>
        <v>Los Angeles</v>
      </c>
      <c r="J94" s="809"/>
      <c r="K94" s="810"/>
    </row>
    <row r="95" spans="1:11" x14ac:dyDescent="0.2">
      <c r="A95" s="572"/>
      <c r="B95" s="552"/>
      <c r="C95" s="553"/>
      <c r="D95" s="889"/>
      <c r="E95" s="889"/>
      <c r="F95" s="557"/>
      <c r="G95" s="556"/>
      <c r="H95" s="556"/>
      <c r="I95" s="556"/>
      <c r="J95" s="555"/>
      <c r="K95" s="892"/>
    </row>
    <row r="96" spans="1:11" x14ac:dyDescent="0.2">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Sweden</v>
      </c>
      <c r="F96" s="557">
        <v>76</v>
      </c>
      <c r="G96" s="556" t="str">
        <f>INDEX(Matches!$B$4:$J$113,MATCH($F96,Matches!$B$4:$B$113,0),2)</f>
        <v>1C</v>
      </c>
      <c r="H96" s="556" t="str">
        <f>INDEX(Matches!$B$4:$J$113,MATCH($F96,Matches!$B$4:$B$113,0),3)</f>
        <v>2F</v>
      </c>
      <c r="I96" s="556" t="str">
        <f>IFERROR(VLOOKUP($F96,Matches!$B$4:$H$113,7,0),"")</f>
        <v>Houston</v>
      </c>
      <c r="J96" s="809"/>
      <c r="K96" s="810"/>
    </row>
    <row r="97" spans="1:11" x14ac:dyDescent="0.2">
      <c r="A97" s="572"/>
      <c r="B97" s="552">
        <f>INDEX(Matches!$B$4:$J$113,MATCH($F97,Matches!$B$4:$B$113,0),5)</f>
        <v>46202.9375</v>
      </c>
      <c r="C97" s="553">
        <f>INDEX(Matches!$B$4:$J$113,MATCH($F97,Matches!$B$4:$B$113,0),5)</f>
        <v>46202.9375</v>
      </c>
      <c r="D97" s="554" t="str">
        <f>INDEX(Matches!$B$4:$J$113,MATCH($F97,Matches!$B$4:$B$113,0),8)</f>
        <v>Ecuador</v>
      </c>
      <c r="E97" s="554" t="str">
        <f>INDEX(Matches!$B$4:$J$113,MATCH($F97,Matches!$B$4:$B$113,0),9)</f>
        <v>Paraguay</v>
      </c>
      <c r="F97" s="557">
        <v>74</v>
      </c>
      <c r="G97" s="556" t="str">
        <f>INDEX(Matches!$B$4:$J$113,MATCH($F97,Matches!$B$4:$B$113,0),2)</f>
        <v>1E</v>
      </c>
      <c r="H97" s="556" t="str">
        <f>INDEX(Matches!$B$4:$J$113,MATCH($F97,Matches!$B$4:$B$113,0),3)</f>
        <v>3-ABCDF</v>
      </c>
      <c r="I97" s="556" t="str">
        <f>IFERROR(VLOOKUP($F97,Matches!$B$4:$H$113,7,0),"")</f>
        <v>Boston</v>
      </c>
      <c r="J97" s="809"/>
      <c r="K97" s="810"/>
    </row>
    <row r="98" spans="1:11" x14ac:dyDescent="0.2">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Morocco</v>
      </c>
      <c r="F98" s="557">
        <v>75</v>
      </c>
      <c r="G98" s="556" t="str">
        <f>INDEX(Matches!$B$4:$J$113,MATCH($F98,Matches!$B$4:$B$113,0),2)</f>
        <v>1F</v>
      </c>
      <c r="H98" s="556" t="str">
        <f>INDEX(Matches!$B$4:$J$113,MATCH($F98,Matches!$B$4:$B$113,0),3)</f>
        <v>2C</v>
      </c>
      <c r="I98" s="556" t="str">
        <f>IFERROR(VLOOKUP($F98,Matches!$B$4:$H$113,7,0),"")</f>
        <v>Monterrey</v>
      </c>
      <c r="J98" s="809"/>
      <c r="K98" s="810"/>
    </row>
    <row r="99" spans="1:11" x14ac:dyDescent="0.2">
      <c r="A99" s="572"/>
      <c r="B99" s="558"/>
      <c r="C99" s="559"/>
      <c r="D99" s="560"/>
      <c r="E99" s="560"/>
      <c r="F99" s="561"/>
      <c r="G99" s="562"/>
      <c r="H99" s="562"/>
      <c r="I99" s="562"/>
      <c r="J99" s="562"/>
      <c r="K99" s="563"/>
    </row>
    <row r="100" spans="1:11" x14ac:dyDescent="0.2">
      <c r="A100" s="572"/>
      <c r="B100" s="552">
        <f>INDEX(Matches!$B$4:$J$113,MATCH($F100,Matches!$B$4:$B$113,0),5)</f>
        <v>46203.791666666664</v>
      </c>
      <c r="C100" s="553">
        <f>INDEX(Matches!$B$4:$J$113,MATCH($F100,Matches!$B$4:$B$113,0),5)</f>
        <v>46203.791666666664</v>
      </c>
      <c r="D100" s="554" t="str">
        <f>INDEX(Matches!$B$4:$J$113,MATCH($F100,Matches!$B$4:$B$113,0),8)</f>
        <v>Germany</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x14ac:dyDescent="0.2">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Japan</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x14ac:dyDescent="0.2">
      <c r="A102" s="572"/>
      <c r="B102" s="552">
        <f>INDEX(Matches!$B$4:$J$113,MATCH($F102,Matches!$B$4:$B$113,0),5)</f>
        <v>46204.125</v>
      </c>
      <c r="C102" s="553">
        <f>INDEX(Matches!$B$4:$J$113,MATCH($F102,Matches!$B$4:$B$113,0),5)</f>
        <v>46204.125</v>
      </c>
      <c r="D102" s="554" t="str">
        <f>INDEX(Matches!$B$4:$J$113,MATCH($F102,Matches!$B$4:$B$113,0),8)</f>
        <v>Mexico</v>
      </c>
      <c r="E102" s="554" t="str">
        <f>INDEX(Matches!$B$4:$J$113,MATCH($F102,Matches!$B$4:$B$113,0),9)</f>
        <v>Scotland</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x14ac:dyDescent="0.2">
      <c r="A103" s="572"/>
      <c r="B103" s="552"/>
      <c r="C103" s="553"/>
      <c r="D103" s="889"/>
      <c r="E103" s="889"/>
      <c r="F103" s="557"/>
      <c r="G103" s="556"/>
      <c r="H103" s="556"/>
      <c r="I103" s="556"/>
      <c r="J103" s="555"/>
      <c r="K103" s="892"/>
    </row>
    <row r="104" spans="1:11" x14ac:dyDescent="0.2">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Ivory Coast</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x14ac:dyDescent="0.2">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Saudi Arabia</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x14ac:dyDescent="0.2">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Canada</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x14ac:dyDescent="0.2">
      <c r="A107" s="572"/>
      <c r="B107" s="558"/>
      <c r="C107" s="559"/>
      <c r="D107" s="560"/>
      <c r="E107" s="560"/>
      <c r="F107" s="561"/>
      <c r="G107" s="562"/>
      <c r="H107" s="562"/>
      <c r="I107" s="562"/>
      <c r="J107" s="562"/>
      <c r="K107" s="563"/>
    </row>
    <row r="108" spans="1:11" x14ac:dyDescent="0.2">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Argentina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x14ac:dyDescent="0.2">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x14ac:dyDescent="0.2">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IR Iran</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x14ac:dyDescent="0.2">
      <c r="A111" s="572"/>
      <c r="B111" s="552"/>
      <c r="C111" s="890"/>
      <c r="D111" s="889"/>
      <c r="E111" s="889"/>
      <c r="F111" s="557"/>
      <c r="G111" s="556"/>
      <c r="H111" s="556"/>
      <c r="I111" s="556"/>
      <c r="J111" s="555"/>
      <c r="K111" s="892"/>
    </row>
    <row r="112" spans="1:11" x14ac:dyDescent="0.2">
      <c r="A112" s="572"/>
      <c r="B112" s="552">
        <f>INDEX(Matches!$B$4:$J$113,MATCH($F112,Matches!$B$4:$B$113,0),5)</f>
        <v>46206.833333333336</v>
      </c>
      <c r="C112" s="553">
        <f>INDEX(Matches!$B$4:$J$113,MATCH($F112,Matches!$B$4:$B$113,0),5)</f>
        <v>46206.833333333336</v>
      </c>
      <c r="D112" s="554" t="str">
        <f>INDEX(Matches!$B$4:$J$113,MATCH($F112,Matches!$B$4:$B$113,0),8)</f>
        <v>USA</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x14ac:dyDescent="0.2">
      <c r="A113" s="572"/>
      <c r="B113" s="552">
        <f>INDEX(Matches!$B$4:$J$113,MATCH($F113,Matches!$B$4:$B$113,0),5)</f>
        <v>46207</v>
      </c>
      <c r="C113" s="553">
        <f>INDEX(Matches!$B$4:$J$113,MATCH($F113,Matches!$B$4:$B$113,0),5)</f>
        <v>46207</v>
      </c>
      <c r="D113" s="554" t="str">
        <f>INDEX(Matches!$B$4:$J$113,MATCH($F113,Matches!$B$4:$B$113,0),8)</f>
        <v>Austria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x14ac:dyDescent="0.2">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Ghana</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x14ac:dyDescent="0.2">
      <c r="A115" s="572"/>
      <c r="B115" s="558"/>
      <c r="C115" s="559"/>
      <c r="D115" s="560"/>
      <c r="E115" s="560"/>
      <c r="F115" s="561"/>
      <c r="G115" s="562"/>
      <c r="H115" s="562"/>
      <c r="I115" s="562"/>
      <c r="J115" s="562"/>
      <c r="K115" s="563"/>
    </row>
    <row r="116" spans="1:11" x14ac:dyDescent="0.2">
      <c r="A116" s="572"/>
      <c r="B116" s="643" t="str">
        <f>Language!$E$257</f>
        <v>Round of 16</v>
      </c>
      <c r="C116" s="644"/>
      <c r="D116" s="645"/>
      <c r="E116" s="645"/>
      <c r="F116" s="646"/>
      <c r="G116" s="647"/>
      <c r="H116" s="648"/>
      <c r="I116" s="648"/>
      <c r="J116" s="649"/>
      <c r="K116" s="650"/>
    </row>
    <row r="117" spans="1:11" x14ac:dyDescent="0.2">
      <c r="A117" s="572"/>
      <c r="B117" s="552">
        <f>INDEX(Matches!$B$4:$J$113,MATCH($F117,Matches!$B$4:$B$113,0),5)</f>
        <v>46207.791666666664</v>
      </c>
      <c r="C117" s="553">
        <f>INDEX(Matches!$B$4:$J$113,MATCH($F117,Matches!$B$4:$B$113,0),5)</f>
        <v>46207.791666666664</v>
      </c>
      <c r="D117" s="623" t="str">
        <f>'World Cup'!$E$60</f>
        <v>Czech Rep.</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x14ac:dyDescent="0.2">
      <c r="A118" s="572"/>
      <c r="B118" s="552">
        <f>INDEX(Matches!$B$4:$J$113,MATCH($F118,Matches!$B$4:$B$113,0),5)</f>
        <v>46207.958333333336</v>
      </c>
      <c r="C118" s="553">
        <f>INDEX(Matches!$B$4:$J$113,MATCH($F118,Matches!$B$4:$B$113,0),5)</f>
        <v>46207.958333333336</v>
      </c>
      <c r="D118" s="620" t="str">
        <f>'World Cup'!$B$60</f>
        <v>Ecuador</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x14ac:dyDescent="0.2">
      <c r="A119" s="572"/>
      <c r="B119" s="558"/>
      <c r="C119" s="559"/>
      <c r="D119" s="560"/>
      <c r="E119" s="560"/>
      <c r="F119" s="561"/>
      <c r="G119" s="562"/>
      <c r="H119" s="562"/>
      <c r="I119" s="562"/>
      <c r="J119" s="562"/>
      <c r="K119" s="563"/>
    </row>
    <row r="120" spans="1:11" x14ac:dyDescent="0.2">
      <c r="A120" s="572"/>
      <c r="B120" s="552">
        <f>INDEX(Matches!$B$4:$J$113,MATCH($F120,Matches!$B$4:$B$113,0),5)</f>
        <v>46208.916666666664</v>
      </c>
      <c r="C120" s="553">
        <f>INDEX(Matches!$B$4:$J$113,MATCH($F120,Matches!$B$4:$B$113,0),5)</f>
        <v>46208.916666666664</v>
      </c>
      <c r="D120" s="620" t="str">
        <f>'World Cup'!$N$60</f>
        <v>Brazil</v>
      </c>
      <c r="E120" s="620" t="str">
        <f>'World Cup'!$O$60</f>
        <v>Norway</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x14ac:dyDescent="0.2">
      <c r="A121" s="572"/>
      <c r="B121" s="552">
        <f>INDEX(Matches!$B$4:$J$113,MATCH($F121,Matches!$B$4:$B$113,0),5)</f>
        <v>46209.083333333336</v>
      </c>
      <c r="C121" s="553">
        <f>INDEX(Matches!$B$4:$J$113,MATCH($F121,Matches!$B$4:$B$113,0),5)</f>
        <v>46209.083333333336</v>
      </c>
      <c r="D121" s="620" t="str">
        <f>'World Cup'!$Q$60</f>
        <v>Mexico</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x14ac:dyDescent="0.2">
      <c r="A122" s="572"/>
      <c r="B122" s="558"/>
      <c r="C122" s="559"/>
      <c r="D122" s="560"/>
      <c r="E122" s="560"/>
      <c r="F122" s="561"/>
      <c r="G122" s="562"/>
      <c r="H122" s="562"/>
      <c r="I122" s="562"/>
      <c r="J122" s="562"/>
      <c r="K122" s="563"/>
    </row>
    <row r="123" spans="1:11" x14ac:dyDescent="0.2">
      <c r="A123" s="572"/>
      <c r="B123" s="552">
        <f>INDEX(Matches!$B$4:$J$113,MATCH($F123,Matches!$B$4:$B$113,0),5)</f>
        <v>46209.875</v>
      </c>
      <c r="C123" s="553">
        <f>INDEX(Matches!$B$4:$J$113,MATCH($F123,Matches!$B$4:$B$113,0),5)</f>
        <v>46209.875</v>
      </c>
      <c r="D123" s="620" t="str">
        <f>'World Cup'!$H$60</f>
        <v>Croatia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x14ac:dyDescent="0.2">
      <c r="A124" s="572"/>
      <c r="B124" s="552">
        <f>INDEX(Matches!$B$4:$J$113,MATCH($F124,Matches!$B$4:$B$113,0),5)</f>
        <v>46210.083333333336</v>
      </c>
      <c r="C124" s="553">
        <f>INDEX(Matches!$B$4:$J$113,MATCH($F124,Matches!$B$4:$B$113,0),5)</f>
        <v>46210.083333333336</v>
      </c>
      <c r="D124" s="620" t="str">
        <f>'World Cup'!$K$60</f>
        <v>Turkey</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x14ac:dyDescent="0.2">
      <c r="A125" s="572"/>
      <c r="B125" s="558"/>
      <c r="C125" s="559"/>
      <c r="D125" s="560"/>
      <c r="E125" s="560"/>
      <c r="F125" s="561"/>
      <c r="G125" s="562"/>
      <c r="H125" s="562"/>
      <c r="I125" s="562"/>
      <c r="J125" s="562"/>
      <c r="K125" s="563"/>
    </row>
    <row r="126" spans="1:11" x14ac:dyDescent="0.2">
      <c r="A126" s="572"/>
      <c r="B126" s="552">
        <f>INDEX(Matches!$B$4:$J$113,MATCH($F126,Matches!$B$4:$B$113,0),5)</f>
        <v>46210.75</v>
      </c>
      <c r="C126" s="553">
        <f>INDEX(Matches!$B$4:$J$113,MATCH($F126,Matches!$B$4:$B$113,0),5)</f>
        <v>46210.75</v>
      </c>
      <c r="D126" s="620" t="str">
        <f>'World Cup'!$T$60</f>
        <v>Austria</v>
      </c>
      <c r="E126" s="620" t="str">
        <f>'World Cup'!$U$60</f>
        <v>USA</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x14ac:dyDescent="0.2">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x14ac:dyDescent="0.2">
      <c r="A128" s="572"/>
      <c r="B128" s="558"/>
      <c r="C128" s="559"/>
      <c r="D128" s="560"/>
      <c r="E128" s="560"/>
      <c r="F128" s="561"/>
      <c r="G128" s="562"/>
      <c r="H128" s="562"/>
      <c r="I128" s="562"/>
      <c r="J128" s="562"/>
      <c r="K128" s="563"/>
    </row>
    <row r="129" spans="1:11" x14ac:dyDescent="0.2">
      <c r="A129" s="4"/>
      <c r="B129" s="643" t="str">
        <f>Language!$E$258</f>
        <v>Quarter final</v>
      </c>
      <c r="C129" s="644"/>
      <c r="D129" s="645"/>
      <c r="E129" s="645"/>
      <c r="F129" s="646"/>
      <c r="G129" s="647"/>
      <c r="H129" s="648"/>
      <c r="I129" s="648"/>
      <c r="J129" s="649"/>
      <c r="K129" s="650"/>
    </row>
    <row r="130" spans="1:11" x14ac:dyDescent="0.2">
      <c r="A130" s="4"/>
      <c r="B130" s="552">
        <f>INDEX(Matches!$B$4:$J$113,MATCH($F130,Matches!$B$4:$B$113,0),5)</f>
        <v>46212.916666666664</v>
      </c>
      <c r="C130" s="553">
        <f>INDEX(Matches!$B$4:$J$113,MATCH($F130,Matches!$B$4:$B$113,0),5)</f>
        <v>46212.916666666664</v>
      </c>
      <c r="D130" s="620" t="str">
        <f>'World Cup'!$C$70</f>
        <v>France</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x14ac:dyDescent="0.2">
      <c r="A131" s="572"/>
      <c r="B131" s="552"/>
      <c r="C131" s="890"/>
      <c r="D131" s="891"/>
      <c r="E131" s="891"/>
      <c r="F131" s="557"/>
      <c r="G131" s="556"/>
      <c r="H131" s="556"/>
      <c r="I131" s="556"/>
      <c r="J131" s="555"/>
      <c r="K131" s="892"/>
    </row>
    <row r="132" spans="1:11" x14ac:dyDescent="0.2">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x14ac:dyDescent="0.2">
      <c r="A133" s="4"/>
      <c r="B133" s="558"/>
      <c r="C133" s="559"/>
      <c r="D133" s="560"/>
      <c r="E133" s="560"/>
      <c r="F133" s="561"/>
      <c r="G133" s="562"/>
      <c r="H133" s="562"/>
      <c r="I133" s="562"/>
      <c r="J133" s="562"/>
      <c r="K133" s="563"/>
    </row>
    <row r="134" spans="1:11" x14ac:dyDescent="0.2">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x14ac:dyDescent="0.2">
      <c r="A135" s="4"/>
      <c r="B135" s="552">
        <f>INDEX(Matches!$B$4:$J$113,MATCH($F135,Matches!$B$4:$B$113,0),5)</f>
        <v>46215.125</v>
      </c>
      <c r="C135" s="553">
        <f>INDEX(Matches!$B$4:$J$113,MATCH($F135,Matches!$B$4:$B$113,0),5)</f>
        <v>46215.125</v>
      </c>
      <c r="D135" s="620" t="str">
        <f>'World Cup'!$U$70</f>
        <v>Austria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x14ac:dyDescent="0.2">
      <c r="A136" s="572"/>
      <c r="B136" s="558"/>
      <c r="C136" s="559"/>
      <c r="D136" s="560"/>
      <c r="E136" s="560"/>
      <c r="F136" s="561"/>
      <c r="G136" s="562"/>
      <c r="H136" s="562"/>
      <c r="I136" s="562"/>
      <c r="J136" s="562"/>
      <c r="K136" s="563"/>
    </row>
    <row r="137" spans="1:11" x14ac:dyDescent="0.2">
      <c r="A137" s="4"/>
      <c r="B137" s="643" t="str">
        <f>Language!$E$259</f>
        <v>Semi-Final</v>
      </c>
      <c r="C137" s="644"/>
      <c r="D137" s="645"/>
      <c r="E137" s="645"/>
      <c r="F137" s="646"/>
      <c r="G137" s="647"/>
      <c r="H137" s="648"/>
      <c r="I137" s="648"/>
      <c r="J137" s="649"/>
      <c r="K137" s="650"/>
    </row>
    <row r="138" spans="1:11" x14ac:dyDescent="0.2">
      <c r="A138" s="4"/>
      <c r="B138" s="552">
        <f>INDEX(Matches!$B$4:$J$113,MATCH($F138,Matches!$B$4:$B$113,0),5)</f>
        <v>46217.875</v>
      </c>
      <c r="C138" s="553">
        <f>INDEX(Matches!$B$4:$J$113,MATCH($F138,Matches!$B$4:$B$113,0),5)</f>
        <v>46217.875</v>
      </c>
      <c r="D138" s="620" t="str">
        <f>'World Cup'!$F$80</f>
        <v>France</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x14ac:dyDescent="0.2">
      <c r="A139" s="4"/>
      <c r="B139" s="558"/>
      <c r="C139" s="559"/>
      <c r="D139" s="560"/>
      <c r="E139" s="560"/>
      <c r="F139" s="561"/>
      <c r="G139" s="562"/>
      <c r="H139" s="562"/>
      <c r="I139" s="562"/>
      <c r="J139" s="562"/>
      <c r="K139" s="563"/>
    </row>
    <row r="140" spans="1:11" x14ac:dyDescent="0.2">
      <c r="A140" s="4"/>
      <c r="B140" s="573">
        <f>INDEX(Matches!$B$4:$J$113,MATCH($F140,Matches!$B$4:$B$113,0),5)</f>
        <v>46218.875</v>
      </c>
      <c r="C140" s="574">
        <f>INDEX(Matches!$B$4:$J$113,MATCH($F140,Matches!$B$4:$B$113,0),5)</f>
        <v>46218.875</v>
      </c>
      <c r="D140" s="621" t="str">
        <f>'World Cup'!$R$80</f>
        <v>Brazil</v>
      </c>
      <c r="E140" s="621" t="str">
        <f>'World Cup'!$T$80</f>
        <v>Portugal</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x14ac:dyDescent="0.2">
      <c r="A141" s="572"/>
      <c r="B141" s="558"/>
      <c r="C141" s="559"/>
      <c r="D141" s="560"/>
      <c r="E141" s="560"/>
      <c r="F141" s="561"/>
      <c r="G141" s="562"/>
      <c r="H141" s="562"/>
      <c r="I141" s="562"/>
      <c r="J141" s="562"/>
      <c r="K141" s="563"/>
    </row>
    <row r="142" spans="1:11" x14ac:dyDescent="0.2">
      <c r="A142" s="4"/>
      <c r="B142" s="643" t="str">
        <f>Language!$E$172</f>
        <v>Third place</v>
      </c>
      <c r="C142" s="644"/>
      <c r="D142" s="645"/>
      <c r="E142" s="645"/>
      <c r="F142" s="646"/>
      <c r="G142" s="647"/>
      <c r="H142" s="648"/>
      <c r="I142" s="648"/>
      <c r="J142" s="649"/>
      <c r="K142" s="650"/>
    </row>
    <row r="143" spans="1:11" x14ac:dyDescent="0.2">
      <c r="A143" s="4"/>
      <c r="B143" s="552">
        <f>INDEX(Matches!$B$4:$J$113,MATCH($F143,Matches!$B$4:$B$113,0),5)</f>
        <v>46221.958333333336</v>
      </c>
      <c r="C143" s="553">
        <f>INDEX(Matches!$B$4:$J$113,MATCH($F143,Matches!$B$4:$B$113,0),5)</f>
        <v>46221.958333333336</v>
      </c>
      <c r="D143" s="620" t="str">
        <f>'World Cup'!$L$88</f>
        <v>Spain</v>
      </c>
      <c r="E143" s="620" t="str">
        <f>'World Cup'!$N$88</f>
        <v>Brazil</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x14ac:dyDescent="0.2">
      <c r="A144" s="572"/>
      <c r="B144" s="558"/>
      <c r="C144" s="559"/>
      <c r="D144" s="560"/>
      <c r="E144" s="560"/>
      <c r="F144" s="561"/>
      <c r="G144" s="562"/>
      <c r="H144" s="562"/>
      <c r="I144" s="562"/>
      <c r="J144" s="562"/>
      <c r="K144" s="563"/>
    </row>
    <row r="145" spans="1:11" x14ac:dyDescent="0.2">
      <c r="A145" s="4"/>
      <c r="B145" s="643" t="str">
        <f>Language!$E$173</f>
        <v>Final</v>
      </c>
      <c r="C145" s="644"/>
      <c r="D145" s="645"/>
      <c r="E145" s="645"/>
      <c r="F145" s="646"/>
      <c r="G145" s="647"/>
      <c r="H145" s="648"/>
      <c r="I145" s="648"/>
      <c r="J145" s="649"/>
      <c r="K145" s="650"/>
    </row>
    <row r="146" spans="1:11" ht="15.75" thickBot="1" x14ac:dyDescent="0.25">
      <c r="A146" s="4"/>
      <c r="B146" s="575">
        <f>INDEX(Matches!$B$4:$J$113,MATCH($F146,Matches!$B$4:$B$113,0),5)</f>
        <v>46222.875</v>
      </c>
      <c r="C146" s="576">
        <f>INDEX(Matches!$B$4:$J$113,MATCH($F146,Matches!$B$4:$B$113,0),5)</f>
        <v>46222.875</v>
      </c>
      <c r="D146" s="622" t="str">
        <f>'World Cup'!$L$98</f>
        <v>France</v>
      </c>
      <c r="E146" s="622" t="str">
        <f>'World Cup'!$N$98</f>
        <v>Portugal</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x14ac:dyDescent="0.2"/>
    <row r="148" spans="1:11" x14ac:dyDescent="0.2"/>
    <row r="149" spans="1:11" x14ac:dyDescent="0.2"/>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x14ac:dyDescent="0.2"/>
  <cols>
    <col min="1" max="1" width="11.43359375" customWidth="1"/>
    <col min="2" max="3" width="16.6796875" customWidth="1"/>
    <col min="4" max="4" width="11.43359375" customWidth="1"/>
    <col min="5" max="6" width="16.6796875" customWidth="1"/>
    <col min="7" max="7" width="11.43359375" customWidth="1"/>
    <col min="8" max="9" width="16.6796875" customWidth="1"/>
    <col min="10" max="10" width="11.43359375" customWidth="1"/>
    <col min="11" max="16384" width="11.43359375" hidden="1"/>
  </cols>
  <sheetData>
    <row r="1" spans="1:9" x14ac:dyDescent="0.2"/>
    <row r="2" spans="1:9" ht="38.25" customHeight="1" x14ac:dyDescent="0.2">
      <c r="B2" s="949" t="str">
        <f>Language!$E$123</f>
        <v>Fair play</v>
      </c>
      <c r="C2" s="950"/>
      <c r="D2" s="950"/>
      <c r="E2" s="950"/>
      <c r="F2" s="950"/>
    </row>
    <row r="3" spans="1:9" ht="75.75" customHeight="1" x14ac:dyDescent="0.2">
      <c r="B3" s="951" t="str">
        <f>Language!$E$193</f>
        <v>Here, the penalty points for the fair play rating can be entered.</v>
      </c>
      <c r="C3" s="951"/>
      <c r="D3" s="951"/>
      <c r="E3" s="951"/>
      <c r="F3" s="951"/>
    </row>
    <row r="4" spans="1:9" ht="18" customHeight="1" x14ac:dyDescent="0.2">
      <c r="B4" s="67"/>
      <c r="C4" s="67"/>
      <c r="D4" s="67"/>
      <c r="E4" s="67"/>
      <c r="F4" s="67"/>
    </row>
    <row r="5" spans="1:9" ht="19.5" thickBot="1" x14ac:dyDescent="0.3">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x14ac:dyDescent="0.2">
      <c r="B6" s="28" t="str">
        <f>VLOOKUP(A5&amp;"1",Groups!$B$7:$D$65,3,0)</f>
        <v>Mexico</v>
      </c>
      <c r="C6" s="68">
        <v>0</v>
      </c>
      <c r="E6" s="28" t="str">
        <f>VLOOKUP(D5&amp;"1",Groups!$B$7:$D$65,3,0)</f>
        <v>Germany</v>
      </c>
      <c r="F6" s="68">
        <v>0</v>
      </c>
      <c r="H6" s="28" t="str">
        <f>VLOOKUP(G5&amp;"1",Groups!$B$7:$D$65,3,0)</f>
        <v>France</v>
      </c>
      <c r="I6" s="68">
        <v>0</v>
      </c>
    </row>
    <row r="7" spans="1:9" x14ac:dyDescent="0.2">
      <c r="B7" s="28" t="str">
        <f>VLOOKUP(A5&amp;"2",Groups!$B$7:$D$65,3,0)</f>
        <v>South Africa</v>
      </c>
      <c r="C7" s="69">
        <v>0</v>
      </c>
      <c r="E7" s="28" t="str">
        <f>VLOOKUP(D5&amp;"2",Groups!$B$7:$D$65,3,0)</f>
        <v>Curaçao</v>
      </c>
      <c r="F7" s="69">
        <v>0</v>
      </c>
      <c r="H7" s="28" t="str">
        <f>VLOOKUP(G5&amp;"2",Groups!$B$7:$D$65,3,0)</f>
        <v>Senegal</v>
      </c>
      <c r="I7" s="69">
        <v>0</v>
      </c>
    </row>
    <row r="8" spans="1:9" x14ac:dyDescent="0.2">
      <c r="B8" s="28" t="str">
        <f>VLOOKUP(A5&amp;"3",Groups!$B$7:$D$65,3,0)</f>
        <v>Rep. of Korea</v>
      </c>
      <c r="C8" s="69">
        <v>0</v>
      </c>
      <c r="E8" s="28" t="str">
        <f>VLOOKUP(D5&amp;"3",Groups!$B$7:$D$65,3,0)</f>
        <v>Ivory Coast</v>
      </c>
      <c r="F8" s="69">
        <v>0</v>
      </c>
      <c r="H8" s="28" t="str">
        <f>VLOOKUP(G5&amp;"3",Groups!$B$7:$D$65,3,0)</f>
        <v>Iraq</v>
      </c>
      <c r="I8" s="69">
        <v>0</v>
      </c>
    </row>
    <row r="9" spans="1:9" x14ac:dyDescent="0.2">
      <c r="B9" s="28" t="str">
        <f>VLOOKUP(A5&amp;"4",Groups!$B$7:$D$65,3,0)</f>
        <v>Czech Rep.</v>
      </c>
      <c r="C9" s="69">
        <v>0</v>
      </c>
      <c r="E9" s="28" t="str">
        <f>VLOOKUP(D5&amp;"4",Groups!$B$7:$D$65,3,0)</f>
        <v>Ecuador</v>
      </c>
      <c r="F9" s="69">
        <v>0</v>
      </c>
      <c r="H9" s="28" t="str">
        <f>VLOOKUP(G5&amp;"4",Groups!$B$7:$D$65,3,0)</f>
        <v>Norway</v>
      </c>
      <c r="I9" s="69">
        <v>0</v>
      </c>
    </row>
    <row r="10" spans="1:9" x14ac:dyDescent="0.2">
      <c r="C10" s="26"/>
      <c r="F10" s="26"/>
      <c r="I10" s="382"/>
    </row>
    <row r="11" spans="1:9" ht="19.5" thickBot="1" x14ac:dyDescent="0.3">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x14ac:dyDescent="0.2">
      <c r="B12" s="28" t="str">
        <f>VLOOKUP(A11&amp;"1",Groups!$B$7:$D$65,3,0)</f>
        <v>Canada</v>
      </c>
      <c r="C12" s="68">
        <v>0</v>
      </c>
      <c r="E12" s="28" t="str">
        <f>VLOOKUP(D11&amp;"1",Groups!$B$7:$D$65,3,0)</f>
        <v>Netherlands</v>
      </c>
      <c r="F12" s="68">
        <v>0</v>
      </c>
      <c r="H12" s="28" t="str">
        <f>VLOOKUP(G11&amp;"1",Groups!$B$7:$D$65,3,0)</f>
        <v>Argentina</v>
      </c>
      <c r="I12" s="68">
        <v>0</v>
      </c>
    </row>
    <row r="13" spans="1:9" x14ac:dyDescent="0.2">
      <c r="B13" s="28" t="str">
        <f>VLOOKUP(A11&amp;"2",Groups!$B$7:$D$65,3,0)</f>
        <v>Bosnia/Herzeg.</v>
      </c>
      <c r="C13" s="69">
        <v>0</v>
      </c>
      <c r="E13" s="28" t="str">
        <f>VLOOKUP(D11&amp;"2",Groups!$B$7:$D$65,3,0)</f>
        <v>Japan</v>
      </c>
      <c r="F13" s="69">
        <v>0</v>
      </c>
      <c r="H13" s="28" t="str">
        <f>VLOOKUP(G11&amp;"2",Groups!$B$7:$D$65,3,0)</f>
        <v>Algeria</v>
      </c>
      <c r="I13" s="69">
        <v>0</v>
      </c>
    </row>
    <row r="14" spans="1:9" x14ac:dyDescent="0.2">
      <c r="B14" s="28" t="str">
        <f>VLOOKUP(A11&amp;"3",Groups!$B$7:$D$65,3,0)</f>
        <v>Qatar</v>
      </c>
      <c r="C14" s="69">
        <v>0</v>
      </c>
      <c r="E14" s="28" t="str">
        <f>VLOOKUP(D11&amp;"3",Groups!$B$7:$D$65,3,0)</f>
        <v>Sweden</v>
      </c>
      <c r="F14" s="69">
        <v>0</v>
      </c>
      <c r="H14" s="28" t="str">
        <f>VLOOKUP(G11&amp;"3",Groups!$B$7:$D$65,3,0)</f>
        <v>Austria</v>
      </c>
      <c r="I14" s="69">
        <v>0</v>
      </c>
    </row>
    <row r="15" spans="1:9" x14ac:dyDescent="0.2">
      <c r="B15" s="28" t="str">
        <f>VLOOKUP(A11&amp;"4",Groups!$B$7:$D$65,3,0)</f>
        <v>Switzerland</v>
      </c>
      <c r="C15" s="69">
        <v>0</v>
      </c>
      <c r="E15" s="28" t="str">
        <f>VLOOKUP(D11&amp;"4",Groups!$B$7:$D$65,3,0)</f>
        <v>Tunisia</v>
      </c>
      <c r="F15" s="69">
        <v>0</v>
      </c>
      <c r="H15" s="28" t="str">
        <f>VLOOKUP(G11&amp;"4",Groups!$B$7:$D$65,3,0)</f>
        <v>Jordan</v>
      </c>
      <c r="I15" s="69">
        <v>0</v>
      </c>
    </row>
    <row r="16" spans="1:9" x14ac:dyDescent="0.2">
      <c r="C16" s="26"/>
      <c r="F16" s="26"/>
      <c r="I16" s="382"/>
    </row>
    <row r="17" spans="1:9" ht="19.5" thickBot="1" x14ac:dyDescent="0.3">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x14ac:dyDescent="0.2">
      <c r="B18" s="28" t="str">
        <f>VLOOKUP(A17&amp;"1",Groups!$B$7:$D$65,3,0)</f>
        <v>Brazil</v>
      </c>
      <c r="C18" s="68">
        <v>0</v>
      </c>
      <c r="E18" s="28" t="str">
        <f>VLOOKUP(D17&amp;"1",Groups!$B$7:$D$65,3,0)</f>
        <v>Belgium</v>
      </c>
      <c r="F18" s="68">
        <v>0</v>
      </c>
      <c r="H18" s="28" t="str">
        <f>VLOOKUP(G17&amp;"1",Groups!$B$7:$D$65,3,0)</f>
        <v>Portugal</v>
      </c>
      <c r="I18" s="68">
        <v>0</v>
      </c>
    </row>
    <row r="19" spans="1:9" x14ac:dyDescent="0.2">
      <c r="B19" s="28" t="str">
        <f>VLOOKUP(A17&amp;"2",Groups!$B$7:$D$65,3,0)</f>
        <v>Morocco</v>
      </c>
      <c r="C19" s="69">
        <v>0</v>
      </c>
      <c r="E19" s="28" t="str">
        <f>VLOOKUP(D17&amp;"2",Groups!$B$7:$D$65,3,0)</f>
        <v>Egypt</v>
      </c>
      <c r="F19" s="69">
        <v>0</v>
      </c>
      <c r="H19" s="28" t="str">
        <f>VLOOKUP(G17&amp;"2",Groups!$B$7:$D$65,3,0)</f>
        <v>DR Congo</v>
      </c>
      <c r="I19" s="69">
        <v>0</v>
      </c>
    </row>
    <row r="20" spans="1:9" x14ac:dyDescent="0.2">
      <c r="B20" s="28" t="str">
        <f>VLOOKUP(A17&amp;"3",Groups!$B$7:$D$65,3,0)</f>
        <v>Haiti</v>
      </c>
      <c r="C20" s="69">
        <v>0</v>
      </c>
      <c r="E20" s="28" t="str">
        <f>VLOOKUP(D17&amp;"3",Groups!$B$7:$D$65,3,0)</f>
        <v>IR Iran</v>
      </c>
      <c r="F20" s="69">
        <v>0</v>
      </c>
      <c r="H20" s="28" t="str">
        <f>VLOOKUP(G17&amp;"3",Groups!$B$7:$D$65,3,0)</f>
        <v>Uzbekistan</v>
      </c>
      <c r="I20" s="69">
        <v>0</v>
      </c>
    </row>
    <row r="21" spans="1:9" x14ac:dyDescent="0.2">
      <c r="B21" s="28" t="str">
        <f>VLOOKUP(A17&amp;"4",Groups!$B$7:$D$65,3,0)</f>
        <v>Scotland</v>
      </c>
      <c r="C21" s="69">
        <v>0</v>
      </c>
      <c r="E21" s="28" t="str">
        <f>VLOOKUP(D17&amp;"4",Groups!$B$7:$D$65,3,0)</f>
        <v>New Zealand</v>
      </c>
      <c r="F21" s="69">
        <v>0</v>
      </c>
      <c r="H21" s="28" t="str">
        <f>VLOOKUP(G17&amp;"4",Groups!$B$7:$D$65,3,0)</f>
        <v>Colombia</v>
      </c>
      <c r="I21" s="69">
        <v>0</v>
      </c>
    </row>
    <row r="22" spans="1:9" x14ac:dyDescent="0.2">
      <c r="C22" s="26"/>
      <c r="F22" s="26"/>
      <c r="I22" s="382"/>
    </row>
    <row r="23" spans="1:9" ht="19.5" thickBot="1" x14ac:dyDescent="0.3">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x14ac:dyDescent="0.2">
      <c r="B24" s="28" t="str">
        <f>VLOOKUP(A23&amp;"1",Groups!$B$7:$D$65,3,0)</f>
        <v>USA</v>
      </c>
      <c r="C24" s="68">
        <v>0</v>
      </c>
      <c r="E24" s="28" t="str">
        <f>VLOOKUP(D23&amp;"1",Groups!$B$7:$D$65,3,0)</f>
        <v>Spain</v>
      </c>
      <c r="F24" s="68">
        <v>0</v>
      </c>
      <c r="H24" s="28" t="str">
        <f>VLOOKUP(G23&amp;"1",Groups!$B$7:$D$65,3,0)</f>
        <v>England</v>
      </c>
      <c r="I24" s="68">
        <v>0</v>
      </c>
    </row>
    <row r="25" spans="1:9" x14ac:dyDescent="0.2">
      <c r="B25" s="28" t="str">
        <f>VLOOKUP(A23&amp;"2",Groups!$B$7:$D$65,3,0)</f>
        <v>Paraguay</v>
      </c>
      <c r="C25" s="69">
        <v>0</v>
      </c>
      <c r="E25" s="28" t="str">
        <f>VLOOKUP(D23&amp;"2",Groups!$B$7:$D$65,3,0)</f>
        <v>Cape Verde</v>
      </c>
      <c r="F25" s="69">
        <v>0</v>
      </c>
      <c r="H25" s="28" t="str">
        <f>VLOOKUP(G23&amp;"2",Groups!$B$7:$D$65,3,0)</f>
        <v>Croatia</v>
      </c>
      <c r="I25" s="69">
        <v>0</v>
      </c>
    </row>
    <row r="26" spans="1:9" x14ac:dyDescent="0.2">
      <c r="B26" s="28" t="str">
        <f>VLOOKUP(A23&amp;"3",Groups!$B$7:$D$65,3,0)</f>
        <v>Australia</v>
      </c>
      <c r="C26" s="69">
        <v>0</v>
      </c>
      <c r="E26" s="28" t="str">
        <f>VLOOKUP(D23&amp;"3",Groups!$B$7:$D$65,3,0)</f>
        <v>Saudi Arabia</v>
      </c>
      <c r="F26" s="69">
        <v>0</v>
      </c>
      <c r="H26" s="28" t="str">
        <f>VLOOKUP(G23&amp;"3",Groups!$B$7:$D$65,3,0)</f>
        <v>Ghana</v>
      </c>
      <c r="I26" s="69">
        <v>0</v>
      </c>
    </row>
    <row r="27" spans="1:9" x14ac:dyDescent="0.2">
      <c r="B27" s="28" t="str">
        <f>VLOOKUP(A23&amp;"4",Groups!$B$7:$D$65,3,0)</f>
        <v>Turkey</v>
      </c>
      <c r="C27" s="69">
        <v>0</v>
      </c>
      <c r="E27" s="28" t="str">
        <f>VLOOKUP(D23&amp;"4",Groups!$B$7:$D$65,3,0)</f>
        <v>Uruguay</v>
      </c>
      <c r="F27" s="69">
        <v>0</v>
      </c>
      <c r="H27" s="28" t="str">
        <f>VLOOKUP(G23&amp;"4",Groups!$B$7:$D$65,3,0)</f>
        <v>Panama</v>
      </c>
      <c r="I27" s="69">
        <v>0</v>
      </c>
    </row>
    <row r="28" spans="1:9" x14ac:dyDescent="0.2"/>
    <row r="29" spans="1:9" x14ac:dyDescent="0.2"/>
    <row r="30" spans="1:9" x14ac:dyDescent="0.2"/>
    <row r="31" spans="1:9" x14ac:dyDescent="0.2"/>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x14ac:dyDescent="0.2"/>
  <cols>
    <col min="1" max="1" width="2.6875" customWidth="1"/>
    <col min="2" max="2" width="5.109375" customWidth="1"/>
    <col min="3" max="3" width="1.4765625" customWidth="1"/>
    <col min="4" max="4" width="14.2578125" customWidth="1"/>
    <col min="5" max="6" width="4.70703125" customWidth="1"/>
    <col min="7" max="7" width="3.765625" customWidth="1"/>
    <col min="8" max="8" width="1.4765625" customWidth="1"/>
    <col min="9" max="9" width="3.765625" customWidth="1"/>
    <col min="10" max="13" width="6.72265625" customWidth="1"/>
    <col min="14" max="14" width="2.6875" customWidth="1"/>
    <col min="15" max="15" width="14.2578125" customWidth="1"/>
    <col min="16" max="17" width="4.70703125" customWidth="1"/>
    <col min="18" max="18" width="3.765625" style="808" customWidth="1"/>
    <col min="19" max="19" width="1.4765625" customWidth="1"/>
    <col min="20" max="20" width="3.765625" style="31" customWidth="1"/>
    <col min="21" max="24" width="6.72265625" customWidth="1"/>
    <col min="25" max="25" width="2.6875" customWidth="1"/>
    <col min="26" max="26" width="14.2578125" customWidth="1"/>
    <col min="27" max="28" width="4.70703125" customWidth="1"/>
    <col min="29" max="29" width="3.765625" customWidth="1"/>
    <col min="30" max="30" width="1.4765625" customWidth="1"/>
    <col min="31" max="31" width="3.765625" customWidth="1"/>
    <col min="32" max="35" width="6.72265625" customWidth="1"/>
    <col min="36" max="36" width="2.6875" customWidth="1"/>
    <col min="37" max="37" width="14.2578125" customWidth="1"/>
    <col min="38" max="39" width="4.70703125" customWidth="1"/>
    <col min="40" max="40" width="3.765625" customWidth="1"/>
    <col min="41" max="41" width="1.4765625" customWidth="1"/>
    <col min="42" max="42" width="3.765625" customWidth="1"/>
    <col min="43" max="46" width="6.72265625" customWidth="1"/>
    <col min="47" max="47" width="2.6875" customWidth="1"/>
    <col min="48" max="49" width="5.6484375" customWidth="1"/>
    <col min="50" max="50" width="2.6875" customWidth="1"/>
    <col min="51" max="16384" width="11.43359375" hidden="1"/>
  </cols>
  <sheetData>
    <row r="1" spans="2:49" ht="34.5" customHeight="1" x14ac:dyDescent="0.4">
      <c r="C1" s="822"/>
      <c r="D1" s="865" t="str">
        <f>Language!$E$122</f>
        <v>Direct comparisons</v>
      </c>
    </row>
    <row r="2" spans="2:49" x14ac:dyDescent="0.2"/>
    <row r="3" spans="2:49" ht="18.75" x14ac:dyDescent="0.25">
      <c r="D3" s="853" t="str">
        <f>Language!$E$140</f>
        <v>Overall table</v>
      </c>
      <c r="O3" s="853" t="str">
        <f>Language!$E$137</f>
        <v>head-to-head record 1</v>
      </c>
      <c r="Z3" s="853" t="str">
        <f>Language!$E$138</f>
        <v>head-to-head record 2</v>
      </c>
      <c r="AK3" s="853" t="str">
        <f>Language!$E$139</f>
        <v>head-to-head record 3</v>
      </c>
    </row>
    <row r="4" spans="2:49" ht="15.75" thickBot="1" x14ac:dyDescent="0.25">
      <c r="D4" s="854">
        <v>7</v>
      </c>
      <c r="Z4" s="885" t="str">
        <f>IF(COUNTBLANK(CalcA!$BN$14:$BN$17)&lt;4,Language!$E$136,"")</f>
        <v/>
      </c>
      <c r="AK4" s="885" t="str">
        <f>IF(COUNTBLANK(CalcA!$BZ$14:$BZ$17)&lt;4,Language!$E$136,"")</f>
        <v/>
      </c>
    </row>
    <row r="5" spans="2:49" ht="25.5" thickTop="1" x14ac:dyDescent="0.3">
      <c r="B5" s="859" t="s">
        <v>24</v>
      </c>
      <c r="C5" s="828"/>
      <c r="D5" s="841"/>
      <c r="E5" s="852" t="str">
        <f>Language!$E$131</f>
        <v>Pts.</v>
      </c>
      <c r="F5" s="852" t="str">
        <f>Language!$E$132</f>
        <v>GD</v>
      </c>
      <c r="G5" s="952" t="str">
        <f>Language!$E$133</f>
        <v>Goals</v>
      </c>
      <c r="H5" s="953"/>
      <c r="I5" s="953"/>
      <c r="J5" s="844" t="str">
        <f t="array" ref="J5:M5">LEFT(CalcA!$H$21:$K$21,$D$4)</f>
        <v>Mexico</v>
      </c>
      <c r="K5" s="842" t="str">
        <v>Czech R</v>
      </c>
      <c r="L5" s="842" t="str">
        <v>Rep. of</v>
      </c>
      <c r="M5" s="843" t="str">
        <v>South A</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x14ac:dyDescent="0.2">
      <c r="B6" s="862" t="str">
        <f t="array" ref="B6:B9">IF(CalcA!$M$22:$M$25,"•","")</f>
        <v/>
      </c>
      <c r="D6" s="856" t="str">
        <f t="array" ref="D6:D9">CalcA!$D$22:$D$25</f>
        <v>Mexico</v>
      </c>
      <c r="E6" s="838">
        <f t="array" ref="E6:E9">CalcA!$E$22:$E$25</f>
        <v>9</v>
      </c>
      <c r="F6" s="838">
        <f>G6-I6</f>
        <v>6</v>
      </c>
      <c r="G6" s="839">
        <f t="array" ref="G6:G9">CalcA!$F$22:$F$25</f>
        <v>8</v>
      </c>
      <c r="H6" s="851" t="str">
        <f>Language!$E$197</f>
        <v xml:space="preserve"> - </v>
      </c>
      <c r="I6" s="848">
        <f t="array" ref="I6:I9">CalcA!$G$22:$G$25</f>
        <v>2</v>
      </c>
      <c r="J6" s="845" t="str">
        <f t="array" ref="J6:M9">CalcA!$H$22:$K$25</f>
        <v/>
      </c>
      <c r="K6" s="838" t="str">
        <v>3 - 2</v>
      </c>
      <c r="L6" s="838" t="str">
        <v>2 - 0</v>
      </c>
      <c r="M6" s="840" t="str">
        <v>3 - 0</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x14ac:dyDescent="0.2">
      <c r="B7" s="862" t="str">
        <v/>
      </c>
      <c r="D7" s="857" t="str">
        <v>Czech Rep.</v>
      </c>
      <c r="E7" s="829">
        <v>6</v>
      </c>
      <c r="F7" s="829">
        <f t="shared" ref="F7:F9" si="1">G7-I7</f>
        <v>3</v>
      </c>
      <c r="G7" s="834">
        <v>6</v>
      </c>
      <c r="H7" s="836" t="str">
        <f>Language!$E$197</f>
        <v xml:space="preserve"> - </v>
      </c>
      <c r="I7" s="849">
        <v>3</v>
      </c>
      <c r="J7" s="846" t="str">
        <v>2 - 3</v>
      </c>
      <c r="K7" s="830" t="str">
        <v/>
      </c>
      <c r="L7" s="829" t="str">
        <v>2 - 0</v>
      </c>
      <c r="M7" s="831" t="str">
        <v>2 - 0</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41</v>
      </c>
    </row>
    <row r="8" spans="2:49" x14ac:dyDescent="0.2">
      <c r="B8" s="862" t="str">
        <v/>
      </c>
      <c r="D8" s="857" t="str">
        <v>Rep. of Korea</v>
      </c>
      <c r="E8" s="829">
        <v>3</v>
      </c>
      <c r="F8" s="829">
        <f t="shared" si="1"/>
        <v>-3</v>
      </c>
      <c r="G8" s="834">
        <v>2</v>
      </c>
      <c r="H8" s="836" t="str">
        <f>Language!$E$197</f>
        <v xml:space="preserve"> - </v>
      </c>
      <c r="I8" s="849">
        <v>5</v>
      </c>
      <c r="J8" s="846" t="str">
        <v>0 - 2</v>
      </c>
      <c r="K8" s="829" t="str">
        <v>0 - 2</v>
      </c>
      <c r="L8" s="830" t="str">
        <v/>
      </c>
      <c r="M8" s="831" t="str">
        <v>2 - 1</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25</v>
      </c>
    </row>
    <row r="9" spans="2:49" ht="15.75" thickBot="1" x14ac:dyDescent="0.25">
      <c r="B9" s="862" t="str">
        <v/>
      </c>
      <c r="D9" s="858" t="str">
        <v>South Africa</v>
      </c>
      <c r="E9" s="832">
        <v>0</v>
      </c>
      <c r="F9" s="832">
        <f t="shared" si="1"/>
        <v>-6</v>
      </c>
      <c r="G9" s="835">
        <v>1</v>
      </c>
      <c r="H9" s="837" t="str">
        <f>Language!$E$197</f>
        <v xml:space="preserve"> - </v>
      </c>
      <c r="I9" s="850">
        <v>7</v>
      </c>
      <c r="J9" s="847" t="str">
        <v>0 - 3</v>
      </c>
      <c r="K9" s="832" t="str">
        <v>0 - 2</v>
      </c>
      <c r="L9" s="832" t="str">
        <v>1 - 2</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60</v>
      </c>
    </row>
    <row r="10" spans="2:49" ht="15.75" thickTop="1" x14ac:dyDescent="0.2"/>
    <row r="11" spans="2:49" x14ac:dyDescent="0.2"/>
    <row r="12" spans="2:49" ht="15.75" thickBot="1" x14ac:dyDescent="0.25">
      <c r="D12" s="855"/>
      <c r="Z12" s="885" t="str">
        <f>IF(COUNTBLANK(CalcB!$BN$14:$BN$17)&lt;4,Language!$E$136,"")</f>
        <v/>
      </c>
      <c r="AK12" s="885" t="str">
        <f>IF(COUNTBLANK(CalcB!$BZ$14:$BZ$17)&lt;4,Language!$E$136,"")</f>
        <v/>
      </c>
    </row>
    <row r="13" spans="2:49" ht="25.5" thickTop="1" x14ac:dyDescent="0.3">
      <c r="B13" s="859" t="s">
        <v>20</v>
      </c>
      <c r="C13" s="828"/>
      <c r="D13" s="841"/>
      <c r="E13" s="852" t="str">
        <f>Language!$E$131</f>
        <v>Pts.</v>
      </c>
      <c r="F13" s="852" t="str">
        <f>Language!$E$132</f>
        <v>GD</v>
      </c>
      <c r="G13" s="952" t="str">
        <f>Language!$E$133</f>
        <v>Goals</v>
      </c>
      <c r="H13" s="953"/>
      <c r="I13" s="953"/>
      <c r="J13" s="844" t="str">
        <f t="array" ref="J13:M13">LEFT(CalcB!$H$21:$K$21,$D$4)</f>
        <v>Switzer</v>
      </c>
      <c r="K13" s="842" t="str">
        <v>Bosnia/</v>
      </c>
      <c r="L13" s="842" t="str">
        <v>Canada</v>
      </c>
      <c r="M13" s="843" t="str">
        <v>Qatar</v>
      </c>
      <c r="O13" s="841"/>
      <c r="P13" s="852" t="str">
        <f>Language!$E$131</f>
        <v>Pts.</v>
      </c>
      <c r="Q13" s="852" t="str">
        <f>Language!$E$132</f>
        <v>GD</v>
      </c>
      <c r="R13" s="952" t="str">
        <f>Language!$E$133</f>
        <v>Goals</v>
      </c>
      <c r="S13" s="953"/>
      <c r="T13" s="953"/>
      <c r="U13" s="844" t="str">
        <f t="array" ref="U13:X13">LEFT(CalcB!$BE$13:$BH$13,$D$4)</f>
        <v/>
      </c>
      <c r="V13" s="842" t="str">
        <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x14ac:dyDescent="0.2">
      <c r="B14" s="862" t="str">
        <f t="array" ref="B14:B17">IF(CalcB!$M$22:$M$25,"•","")</f>
        <v/>
      </c>
      <c r="D14" s="856" t="str">
        <f t="array" ref="D14:D17">CalcB!$D$22:$D$25</f>
        <v>Switzerland</v>
      </c>
      <c r="E14" s="838">
        <f t="array" ref="E14:E17">CalcB!$E$22:$E$25</f>
        <v>9</v>
      </c>
      <c r="F14" s="838">
        <f>G14-I14</f>
        <v>7</v>
      </c>
      <c r="G14" s="839">
        <f t="array" ref="G14:G17">CalcB!$F$22:$F$25</f>
        <v>7</v>
      </c>
      <c r="H14" s="851" t="str">
        <f>Language!$E$197</f>
        <v xml:space="preserve"> - </v>
      </c>
      <c r="I14" s="848">
        <f t="array" ref="I14:I17">CalcB!$G$22:$G$25</f>
        <v>0</v>
      </c>
      <c r="J14" s="845" t="str">
        <f t="array" ref="J14:M17">CalcB!$H$22:$K$25</f>
        <v/>
      </c>
      <c r="K14" s="838" t="str">
        <v>2 - 0</v>
      </c>
      <c r="L14" s="838" t="str">
        <v>2 - 0</v>
      </c>
      <c r="M14" s="840" t="str">
        <v>3 - 0</v>
      </c>
      <c r="O14" s="856" t="str">
        <f t="array" ref="O14:O17">CalcB!$AZ$14:$AZ$17</f>
        <v/>
      </c>
      <c r="P14" s="838" t="str">
        <f t="array" ref="P14:P17">CalcB!$BA$14:$BA$17</f>
        <v/>
      </c>
      <c r="Q14" s="838" t="str">
        <f t="array" ref="Q14:Q17">CalcB!$BB$14:$BB$17</f>
        <v/>
      </c>
      <c r="R14" s="839" t="str">
        <f t="array" ref="R14:R17">CalcB!$BC$14:$BC$17</f>
        <v/>
      </c>
      <c r="S14" s="851" t="str">
        <f>Language!$E$197</f>
        <v xml:space="preserve"> - </v>
      </c>
      <c r="T14" s="848" t="str">
        <f t="shared" ref="T14:T17" si="4">IF(O14="","",R14-Q14)</f>
        <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x14ac:dyDescent="0.2">
      <c r="B15" s="862" t="str">
        <v/>
      </c>
      <c r="D15" s="857" t="str">
        <v>Bosnia/Herzeg.</v>
      </c>
      <c r="E15" s="829">
        <v>6</v>
      </c>
      <c r="F15" s="829">
        <f t="shared" ref="F15:F17" si="7">G15-I15</f>
        <v>0</v>
      </c>
      <c r="G15" s="834">
        <v>5</v>
      </c>
      <c r="H15" s="836" t="str">
        <f>Language!$E$197</f>
        <v xml:space="preserve"> - </v>
      </c>
      <c r="I15" s="849">
        <v>5</v>
      </c>
      <c r="J15" s="846" t="str">
        <v>0 - 2</v>
      </c>
      <c r="K15" s="830" t="str">
        <v/>
      </c>
      <c r="L15" s="829" t="str">
        <v>3 - 2</v>
      </c>
      <c r="M15" s="831" t="str">
        <v>2 - 1</v>
      </c>
      <c r="O15" s="857" t="str">
        <v/>
      </c>
      <c r="P15" s="829" t="str">
        <v/>
      </c>
      <c r="Q15" s="829" t="str">
        <v/>
      </c>
      <c r="R15" s="834" t="str">
        <v/>
      </c>
      <c r="S15" s="836" t="str">
        <f>Language!$E$197</f>
        <v xml:space="preserve"> - </v>
      </c>
      <c r="T15" s="849" t="str">
        <f t="shared" si="4"/>
        <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65</v>
      </c>
    </row>
    <row r="16" spans="2:49" x14ac:dyDescent="0.2">
      <c r="B16" s="862" t="str">
        <v/>
      </c>
      <c r="D16" s="857" t="str">
        <v>Canada</v>
      </c>
      <c r="E16" s="829">
        <v>3</v>
      </c>
      <c r="F16" s="829">
        <f t="shared" si="7"/>
        <v>-1</v>
      </c>
      <c r="G16" s="834">
        <v>4</v>
      </c>
      <c r="H16" s="836" t="str">
        <f>Language!$E$197</f>
        <v xml:space="preserve"> - </v>
      </c>
      <c r="I16" s="849">
        <v>5</v>
      </c>
      <c r="J16" s="846" t="str">
        <v>0 - 2</v>
      </c>
      <c r="K16" s="829" t="str">
        <v>2 - 3</v>
      </c>
      <c r="L16" s="830" t="str">
        <v/>
      </c>
      <c r="M16" s="831" t="str">
        <v>2 - 0</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30</v>
      </c>
    </row>
    <row r="17" spans="2:49" ht="15.75" thickBot="1" x14ac:dyDescent="0.25">
      <c r="B17" s="862" t="str">
        <v/>
      </c>
      <c r="D17" s="858" t="str">
        <v>Qatar</v>
      </c>
      <c r="E17" s="832">
        <v>0</v>
      </c>
      <c r="F17" s="832">
        <f t="shared" si="7"/>
        <v>-6</v>
      </c>
      <c r="G17" s="835">
        <v>1</v>
      </c>
      <c r="H17" s="837" t="str">
        <f>Language!$E$197</f>
        <v xml:space="preserve"> - </v>
      </c>
      <c r="I17" s="850">
        <v>7</v>
      </c>
      <c r="J17" s="847" t="str">
        <v>0 - 3</v>
      </c>
      <c r="K17" s="832" t="str">
        <v>1 - 2</v>
      </c>
      <c r="L17" s="832" t="str">
        <v>0 - 2</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75" thickTop="1" x14ac:dyDescent="0.2"/>
    <row r="19" spans="2:49" x14ac:dyDescent="0.2"/>
    <row r="20" spans="2:49" ht="15.75" thickBot="1" x14ac:dyDescent="0.25">
      <c r="D20" s="855"/>
      <c r="Z20" s="885" t="str">
        <f>IF(COUNTBLANK(CalcC!$BN$14:$BN$17)&lt;4,Language!$E$136,"")</f>
        <v/>
      </c>
      <c r="AK20" s="885" t="str">
        <f>IF(COUNTBLANK(CalcC!$BZ$14:$BZ$17)&lt;4,Language!$E$136,"")</f>
        <v/>
      </c>
    </row>
    <row r="21" spans="2:49" ht="25.5" thickTop="1" x14ac:dyDescent="0.3">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Scotlan</v>
      </c>
      <c r="M21" s="843" t="str">
        <v>Haiti</v>
      </c>
      <c r="O21" s="841"/>
      <c r="P21" s="852" t="str">
        <f>Language!$E$131</f>
        <v>Pts.</v>
      </c>
      <c r="Q21" s="852" t="str">
        <f>Language!$E$132</f>
        <v>GD</v>
      </c>
      <c r="R21" s="952" t="str">
        <f>Language!$E$133</f>
        <v>Goals</v>
      </c>
      <c r="S21" s="953"/>
      <c r="T21" s="953"/>
      <c r="U21" s="844" t="str">
        <f t="array" ref="U21:X21">LEFT(CalcC!$BE$13:$BH$13,$D$4)</f>
        <v/>
      </c>
      <c r="V21" s="842" t="str">
        <v/>
      </c>
      <c r="W21" s="842" t="str">
        <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x14ac:dyDescent="0.2">
      <c r="B22" s="862" t="str">
        <f t="array" ref="B22:B25">IF(CalcC!$M$22:$M$25,"•","")</f>
        <v/>
      </c>
      <c r="D22" s="856" t="str">
        <f t="array" ref="D22:D25">CalcC!$D$22:$D$25</f>
        <v>Brazil</v>
      </c>
      <c r="E22" s="838">
        <f t="array" ref="E22:E25">CalcC!$E$22:$E$25</f>
        <v>9</v>
      </c>
      <c r="F22" s="838">
        <f>G22-I22</f>
        <v>7</v>
      </c>
      <c r="G22" s="839">
        <f t="array" ref="G22:G25">CalcC!$F$22:$F$25</f>
        <v>8</v>
      </c>
      <c r="H22" s="851" t="str">
        <f>Language!$E$197</f>
        <v xml:space="preserve"> - </v>
      </c>
      <c r="I22" s="848">
        <f t="array" ref="I22:I25">CalcC!$G$22:$G$25</f>
        <v>1</v>
      </c>
      <c r="J22" s="845" t="str">
        <f t="array" ref="J22:M25">CalcC!$H$22:$K$25</f>
        <v/>
      </c>
      <c r="K22" s="838" t="str">
        <v>2 - 1</v>
      </c>
      <c r="L22" s="838" t="str">
        <v>3 - 0</v>
      </c>
      <c r="M22" s="840" t="str">
        <v>3 - 0</v>
      </c>
      <c r="O22" s="856" t="str">
        <f t="array" ref="O22:O25">CalcC!$AZ$14:$AZ$17</f>
        <v/>
      </c>
      <c r="P22" s="838" t="str">
        <f t="array" ref="P22:P25">CalcC!$BA$14:$BA$17</f>
        <v/>
      </c>
      <c r="Q22" s="838" t="str">
        <f t="array" ref="Q22:Q25">CalcC!$BB$14:$BB$17</f>
        <v/>
      </c>
      <c r="R22" s="839" t="str">
        <f t="array" ref="R22:R25">CalcC!$BC$14:$BC$17</f>
        <v/>
      </c>
      <c r="S22" s="851" t="str">
        <f>Language!$E$197</f>
        <v xml:space="preserve"> - </v>
      </c>
      <c r="T22" s="848" t="str">
        <f t="shared" ref="T22:T25" si="8">IF(O22="","",R22-Q22)</f>
        <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x14ac:dyDescent="0.2">
      <c r="B23" s="862" t="str">
        <v/>
      </c>
      <c r="D23" s="857" t="str">
        <v>Morocco</v>
      </c>
      <c r="E23" s="829">
        <v>6</v>
      </c>
      <c r="F23" s="829">
        <f t="shared" ref="F23:F25" si="11">G23-I23</f>
        <v>3</v>
      </c>
      <c r="G23" s="834">
        <v>6</v>
      </c>
      <c r="H23" s="836" t="str">
        <f>Language!$E$197</f>
        <v xml:space="preserve"> - </v>
      </c>
      <c r="I23" s="849">
        <v>3</v>
      </c>
      <c r="J23" s="846" t="str">
        <v>1 - 2</v>
      </c>
      <c r="K23" s="830" t="str">
        <v/>
      </c>
      <c r="L23" s="829" t="str">
        <v>3 - 1</v>
      </c>
      <c r="M23" s="831" t="str">
        <v>2 - 0</v>
      </c>
      <c r="O23" s="857" t="str">
        <v/>
      </c>
      <c r="P23" s="829" t="str">
        <v/>
      </c>
      <c r="Q23" s="829" t="str">
        <v/>
      </c>
      <c r="R23" s="834" t="str">
        <v/>
      </c>
      <c r="S23" s="836" t="str">
        <f>Language!$E$197</f>
        <v xml:space="preserve"> - </v>
      </c>
      <c r="T23" s="849" t="str">
        <f t="shared" si="8"/>
        <v/>
      </c>
      <c r="U23" s="846" t="str">
        <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x14ac:dyDescent="0.2">
      <c r="B24" s="862" t="str">
        <v/>
      </c>
      <c r="D24" s="857" t="str">
        <v>Scotland</v>
      </c>
      <c r="E24" s="829">
        <v>3</v>
      </c>
      <c r="F24" s="829">
        <f t="shared" si="11"/>
        <v>-3</v>
      </c>
      <c r="G24" s="834">
        <v>3</v>
      </c>
      <c r="H24" s="836" t="str">
        <f>Language!$E$197</f>
        <v xml:space="preserve"> - </v>
      </c>
      <c r="I24" s="849">
        <v>6</v>
      </c>
      <c r="J24" s="846" t="str">
        <v>0 - 3</v>
      </c>
      <c r="K24" s="829" t="str">
        <v>1 - 3</v>
      </c>
      <c r="L24" s="830" t="str">
        <v/>
      </c>
      <c r="M24" s="831" t="str">
        <v>2 - 0</v>
      </c>
      <c r="O24" s="857" t="str">
        <v/>
      </c>
      <c r="P24" s="829" t="str">
        <v/>
      </c>
      <c r="Q24" s="829" t="str">
        <v/>
      </c>
      <c r="R24" s="834" t="str">
        <v/>
      </c>
      <c r="S24" s="836" t="str">
        <f>Language!$E$197</f>
        <v xml:space="preserve"> - </v>
      </c>
      <c r="T24" s="849" t="str">
        <f t="shared" si="8"/>
        <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43</v>
      </c>
    </row>
    <row r="25" spans="2:49" ht="15.75" thickBot="1" x14ac:dyDescent="0.25">
      <c r="B25" s="862" t="str">
        <v/>
      </c>
      <c r="D25" s="858" t="str">
        <v>Haiti</v>
      </c>
      <c r="E25" s="832">
        <v>0</v>
      </c>
      <c r="F25" s="832">
        <f t="shared" si="11"/>
        <v>-7</v>
      </c>
      <c r="G25" s="835">
        <v>0</v>
      </c>
      <c r="H25" s="837" t="str">
        <f>Language!$E$197</f>
        <v xml:space="preserve"> - </v>
      </c>
      <c r="I25" s="850">
        <v>7</v>
      </c>
      <c r="J25" s="847" t="str">
        <v>0 - 3</v>
      </c>
      <c r="K25" s="832" t="str">
        <v>0 - 2</v>
      </c>
      <c r="L25" s="832" t="str">
        <v>0 - 2</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75" thickTop="1" x14ac:dyDescent="0.2"/>
    <row r="27" spans="2:49" x14ac:dyDescent="0.2"/>
    <row r="28" spans="2:49" ht="15.75" thickBot="1" x14ac:dyDescent="0.25">
      <c r="D28" s="855"/>
      <c r="Z28" s="885" t="str">
        <f>IF(COUNTBLANK(CalcD!$BN$14:$BN$17)&lt;4,Language!$E$136,"")</f>
        <v/>
      </c>
      <c r="AK28" s="885" t="str">
        <f>IF(COUNTBLANK(CalcD!$BZ$14:$BZ$17)&lt;4,Language!$E$136,"")</f>
        <v/>
      </c>
    </row>
    <row r="29" spans="2:49" ht="25.5" thickTop="1" x14ac:dyDescent="0.3">
      <c r="B29" s="859" t="s">
        <v>25</v>
      </c>
      <c r="C29" s="828"/>
      <c r="D29" s="841"/>
      <c r="E29" s="852" t="str">
        <f>Language!$E$131</f>
        <v>Pts.</v>
      </c>
      <c r="F29" s="852" t="str">
        <f>Language!$E$132</f>
        <v>GD</v>
      </c>
      <c r="G29" s="952" t="str">
        <f>Language!$E$133</f>
        <v>Goals</v>
      </c>
      <c r="H29" s="953"/>
      <c r="I29" s="953"/>
      <c r="J29" s="844" t="str">
        <f t="array" ref="J29:M29">LEFT(CalcD!$H$21:$K$21,$D$4)</f>
        <v>Turkey</v>
      </c>
      <c r="K29" s="842" t="str">
        <v>USA</v>
      </c>
      <c r="L29" s="842" t="str">
        <v>Paragua</v>
      </c>
      <c r="M29" s="843" t="str">
        <v>Austral</v>
      </c>
      <c r="O29" s="841"/>
      <c r="P29" s="852" t="str">
        <f>Language!$E$131</f>
        <v>Pts.</v>
      </c>
      <c r="Q29" s="852" t="str">
        <f>Language!$E$132</f>
        <v>GD</v>
      </c>
      <c r="R29" s="952" t="str">
        <f>Language!$E$133</f>
        <v>Goals</v>
      </c>
      <c r="S29" s="953"/>
      <c r="T29" s="953"/>
      <c r="U29" s="844" t="str">
        <f t="array" ref="U29:X29">LEFT(CalcD!$BE$13:$BH$13,$D$4)</f>
        <v/>
      </c>
      <c r="V29" s="842" t="str">
        <v>USA</v>
      </c>
      <c r="W29" s="842" t="str">
        <v>Paragua</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x14ac:dyDescent="0.2">
      <c r="B30" s="862" t="str">
        <f t="array" ref="B30:B33">IF(CalcD!$M$22:$M$25,"•","")</f>
        <v/>
      </c>
      <c r="D30" s="856" t="str">
        <f t="array" ref="D30:D33">CalcD!$D$22:$D$25</f>
        <v>Turkey</v>
      </c>
      <c r="E30" s="838">
        <f t="array" ref="E30:E33">CalcD!$E$22:$E$25</f>
        <v>9</v>
      </c>
      <c r="F30" s="838">
        <f>G30-I30</f>
        <v>6</v>
      </c>
      <c r="G30" s="839">
        <f t="array" ref="G30:G33">CalcD!$F$22:$F$25</f>
        <v>8</v>
      </c>
      <c r="H30" s="851" t="str">
        <f>Language!$E$197</f>
        <v xml:space="preserve"> - </v>
      </c>
      <c r="I30" s="848">
        <f t="array" ref="I30:I33">CalcD!$G$22:$G$25</f>
        <v>2</v>
      </c>
      <c r="J30" s="845" t="str">
        <f t="array" ref="J30:M33">CalcD!$H$22:$K$25</f>
        <v/>
      </c>
      <c r="K30" s="838" t="str">
        <v>2 - 1</v>
      </c>
      <c r="L30" s="838" t="str">
        <v>3 - 1</v>
      </c>
      <c r="M30" s="840" t="str">
        <v>3 - 0</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x14ac:dyDescent="0.2">
      <c r="B31" s="862" t="str">
        <v/>
      </c>
      <c r="D31" s="857" t="str">
        <v>USA</v>
      </c>
      <c r="E31" s="829">
        <v>4</v>
      </c>
      <c r="F31" s="829">
        <f t="shared" ref="F31:F33" si="15">G31-I31</f>
        <v>1</v>
      </c>
      <c r="G31" s="834">
        <v>5</v>
      </c>
      <c r="H31" s="836" t="str">
        <f>Language!$E$197</f>
        <v xml:space="preserve"> - </v>
      </c>
      <c r="I31" s="849">
        <v>4</v>
      </c>
      <c r="J31" s="846" t="str">
        <v>1 - 2</v>
      </c>
      <c r="K31" s="830" t="str">
        <v/>
      </c>
      <c r="L31" s="829" t="str">
        <v>2 - 2</v>
      </c>
      <c r="M31" s="831" t="str">
        <v>2 - 0</v>
      </c>
      <c r="O31" s="857" t="str">
        <v>USA</v>
      </c>
      <c r="P31" s="829">
        <v>1</v>
      </c>
      <c r="Q31" s="829">
        <v>0</v>
      </c>
      <c r="R31" s="834">
        <v>2</v>
      </c>
      <c r="S31" s="836" t="str">
        <f>Language!$E$197</f>
        <v xml:space="preserve"> - </v>
      </c>
      <c r="T31" s="849">
        <f t="shared" si="12"/>
        <v>2</v>
      </c>
      <c r="U31" s="846" t="str">
        <v/>
      </c>
      <c r="V31" s="830" t="str">
        <v/>
      </c>
      <c r="W31" s="829" t="str">
        <v>2 - 2</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16</v>
      </c>
    </row>
    <row r="32" spans="2:49" x14ac:dyDescent="0.2">
      <c r="B32" s="862" t="str">
        <v/>
      </c>
      <c r="D32" s="857" t="str">
        <v>Paraguay</v>
      </c>
      <c r="E32" s="829">
        <v>4</v>
      </c>
      <c r="F32" s="829">
        <f t="shared" si="15"/>
        <v>-1</v>
      </c>
      <c r="G32" s="834">
        <v>5</v>
      </c>
      <c r="H32" s="836" t="str">
        <f>Language!$E$197</f>
        <v xml:space="preserve"> - </v>
      </c>
      <c r="I32" s="849">
        <v>6</v>
      </c>
      <c r="J32" s="846" t="str">
        <v>1 - 3</v>
      </c>
      <c r="K32" s="829" t="str">
        <v>2 - 2</v>
      </c>
      <c r="L32" s="830" t="str">
        <v/>
      </c>
      <c r="M32" s="831" t="str">
        <v>2 - 1</v>
      </c>
      <c r="O32" s="857" t="str">
        <v>Paraguay</v>
      </c>
      <c r="P32" s="829">
        <v>1</v>
      </c>
      <c r="Q32" s="829">
        <v>0</v>
      </c>
      <c r="R32" s="834">
        <v>2</v>
      </c>
      <c r="S32" s="836" t="str">
        <f>Language!$E$197</f>
        <v xml:space="preserve"> - </v>
      </c>
      <c r="T32" s="849">
        <f t="shared" si="12"/>
        <v>2</v>
      </c>
      <c r="U32" s="846" t="str">
        <v/>
      </c>
      <c r="V32" s="829" t="str">
        <v>2 - 2</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40</v>
      </c>
    </row>
    <row r="33" spans="2:49" ht="15.75" thickBot="1" x14ac:dyDescent="0.25">
      <c r="B33" s="862" t="str">
        <v/>
      </c>
      <c r="D33" s="858" t="str">
        <v>Australia</v>
      </c>
      <c r="E33" s="832">
        <v>0</v>
      </c>
      <c r="F33" s="832">
        <f t="shared" si="15"/>
        <v>-6</v>
      </c>
      <c r="G33" s="835">
        <v>1</v>
      </c>
      <c r="H33" s="837" t="str">
        <f>Language!$E$197</f>
        <v xml:space="preserve"> - </v>
      </c>
      <c r="I33" s="850">
        <v>7</v>
      </c>
      <c r="J33" s="847" t="str">
        <v>0 - 3</v>
      </c>
      <c r="K33" s="832" t="str">
        <v>0 - 2</v>
      </c>
      <c r="L33" s="832" t="str">
        <v>1 - 2</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27</v>
      </c>
    </row>
    <row r="34" spans="2:49" ht="15.75" thickTop="1" x14ac:dyDescent="0.2"/>
    <row r="35" spans="2:49" x14ac:dyDescent="0.2"/>
    <row r="36" spans="2:49" ht="15.75" thickBot="1" x14ac:dyDescent="0.25">
      <c r="D36" s="855"/>
      <c r="Z36" s="885" t="str">
        <f>IF(COUNTBLANK(CalcE!$BN$14:$BN$17)&lt;4,Language!$E$136,"")</f>
        <v/>
      </c>
      <c r="AK36" s="885" t="str">
        <f>IF(COUNTBLANK(CalcE!$BZ$14:$BZ$17)&lt;4,Language!$E$136,"")</f>
        <v/>
      </c>
    </row>
    <row r="37" spans="2:49" ht="25.5" thickTop="1" x14ac:dyDescent="0.3">
      <c r="B37" s="859" t="s">
        <v>22</v>
      </c>
      <c r="C37" s="828"/>
      <c r="D37" s="841"/>
      <c r="E37" s="852" t="str">
        <f>Language!$E$131</f>
        <v>Pts.</v>
      </c>
      <c r="F37" s="852" t="str">
        <f>Language!$E$132</f>
        <v>GD</v>
      </c>
      <c r="G37" s="952" t="str">
        <f>Language!$E$133</f>
        <v>Goals</v>
      </c>
      <c r="H37" s="953"/>
      <c r="I37" s="953"/>
      <c r="J37" s="844" t="str">
        <f t="array" ref="J37:M37">LEFT(CalcE!$H$21:$K$21,$D$4)</f>
        <v>Ecuador</v>
      </c>
      <c r="K37" s="842" t="str">
        <v>Germany</v>
      </c>
      <c r="L37" s="842" t="str">
        <v>Ivory C</v>
      </c>
      <c r="M37" s="843" t="str">
        <v>Curaçao</v>
      </c>
      <c r="O37" s="841"/>
      <c r="P37" s="852" t="str">
        <f>Language!$E$131</f>
        <v>Pts.</v>
      </c>
      <c r="Q37" s="852" t="str">
        <f>Language!$E$132</f>
        <v>GD</v>
      </c>
      <c r="R37" s="952" t="str">
        <f>Language!$E$133</f>
        <v>Goals</v>
      </c>
      <c r="S37" s="953"/>
      <c r="T37" s="953"/>
      <c r="U37" s="844" t="str">
        <f t="array" ref="U37:X37">LEFT(CalcE!$BE$13:$BH$13,$D$4)</f>
        <v/>
      </c>
      <c r="V37" s="842" t="str">
        <v/>
      </c>
      <c r="W37" s="842" t="str">
        <v/>
      </c>
      <c r="X37" s="843" t="str">
        <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x14ac:dyDescent="0.2">
      <c r="B38" s="862" t="str">
        <f t="array" ref="B38:B41">IF(CalcE!$M$22:$M$25,"•","")</f>
        <v/>
      </c>
      <c r="D38" s="856" t="str">
        <f t="array" ref="D38:D41">CalcE!$D$22:$D$25</f>
        <v>Ecuador</v>
      </c>
      <c r="E38" s="838">
        <f t="array" ref="E38:E41">CalcE!$E$22:$E$25</f>
        <v>9</v>
      </c>
      <c r="F38" s="838">
        <f>G38-I38</f>
        <v>6</v>
      </c>
      <c r="G38" s="839">
        <f t="array" ref="G38:G41">CalcE!$F$22:$F$25</f>
        <v>8</v>
      </c>
      <c r="H38" s="851" t="str">
        <f>Language!$E$197</f>
        <v xml:space="preserve"> - </v>
      </c>
      <c r="I38" s="848">
        <f t="array" ref="I38:I41">CalcE!$G$22:$G$25</f>
        <v>2</v>
      </c>
      <c r="J38" s="845" t="str">
        <f t="array" ref="J38:M41">CalcE!$H$22:$K$25</f>
        <v/>
      </c>
      <c r="K38" s="838" t="str">
        <v>2 - 1</v>
      </c>
      <c r="L38" s="838" t="str">
        <v>3 - 1</v>
      </c>
      <c r="M38" s="840" t="str">
        <v>3 - 0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23</v>
      </c>
    </row>
    <row r="39" spans="2:49" x14ac:dyDescent="0.2">
      <c r="B39" s="862" t="str">
        <v/>
      </c>
      <c r="D39" s="857" t="str">
        <v>Germany</v>
      </c>
      <c r="E39" s="829">
        <v>6</v>
      </c>
      <c r="F39" s="829">
        <f t="shared" ref="F39:F41" si="19">G39-I39</f>
        <v>5</v>
      </c>
      <c r="G39" s="834">
        <v>7</v>
      </c>
      <c r="H39" s="836" t="str">
        <f>Language!$E$197</f>
        <v xml:space="preserve"> - </v>
      </c>
      <c r="I39" s="849">
        <v>2</v>
      </c>
      <c r="J39" s="846" t="str">
        <v>1 - 2</v>
      </c>
      <c r="K39" s="830" t="str">
        <v/>
      </c>
      <c r="L39" s="829" t="str">
        <v>2 - 0</v>
      </c>
      <c r="M39" s="831" t="str">
        <v>4 - 0</v>
      </c>
      <c r="O39" s="857" t="str">
        <v/>
      </c>
      <c r="P39" s="829" t="str">
        <v/>
      </c>
      <c r="Q39" s="829" t="str">
        <v/>
      </c>
      <c r="R39" s="834" t="str">
        <v/>
      </c>
      <c r="S39" s="836" t="str">
        <f>Language!$E$197</f>
        <v xml:space="preserve"> - </v>
      </c>
      <c r="T39" s="849" t="str">
        <f t="shared" si="16"/>
        <v/>
      </c>
      <c r="U39" s="846" t="str">
        <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10</v>
      </c>
    </row>
    <row r="40" spans="2:49" x14ac:dyDescent="0.2">
      <c r="B40" s="862" t="str">
        <v/>
      </c>
      <c r="D40" s="857" t="str">
        <v>Ivory Coast</v>
      </c>
      <c r="E40" s="829">
        <v>3</v>
      </c>
      <c r="F40" s="829">
        <f t="shared" si="19"/>
        <v>-3</v>
      </c>
      <c r="G40" s="834">
        <v>3</v>
      </c>
      <c r="H40" s="836" t="str">
        <f>Language!$E$197</f>
        <v xml:space="preserve"> - </v>
      </c>
      <c r="I40" s="849">
        <v>6</v>
      </c>
      <c r="J40" s="846" t="str">
        <v>1 - 3</v>
      </c>
      <c r="K40" s="829" t="str">
        <v>0 - 2</v>
      </c>
      <c r="L40" s="830" t="str">
        <v/>
      </c>
      <c r="M40" s="831" t="str">
        <v>2 - 1</v>
      </c>
      <c r="O40" s="857" t="str">
        <v/>
      </c>
      <c r="P40" s="829" t="str">
        <v/>
      </c>
      <c r="Q40" s="829" t="str">
        <v/>
      </c>
      <c r="R40" s="834" t="str">
        <v/>
      </c>
      <c r="S40" s="836" t="str">
        <f>Language!$E$197</f>
        <v xml:space="preserve"> - </v>
      </c>
      <c r="T40" s="849" t="str">
        <f t="shared" si="16"/>
        <v/>
      </c>
      <c r="U40" s="846" t="str">
        <v/>
      </c>
      <c r="V40" s="829" t="str">
        <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34</v>
      </c>
    </row>
    <row r="41" spans="2:49" ht="15.75" thickBot="1" x14ac:dyDescent="0.25">
      <c r="B41" s="862" t="str">
        <v/>
      </c>
      <c r="D41" s="858" t="str">
        <v>Curaçao</v>
      </c>
      <c r="E41" s="832">
        <v>0</v>
      </c>
      <c r="F41" s="832">
        <f t="shared" si="19"/>
        <v>-8</v>
      </c>
      <c r="G41" s="835">
        <v>1</v>
      </c>
      <c r="H41" s="837" t="str">
        <f>Language!$E$197</f>
        <v xml:space="preserve"> - </v>
      </c>
      <c r="I41" s="850">
        <v>9</v>
      </c>
      <c r="J41" s="847" t="str">
        <v>0 - 3</v>
      </c>
      <c r="K41" s="832" t="str">
        <v>0 - 4</v>
      </c>
      <c r="L41" s="832" t="str">
        <v>1 - 2</v>
      </c>
      <c r="M41" s="833" t="str">
        <v/>
      </c>
      <c r="O41" s="858" t="str">
        <v/>
      </c>
      <c r="P41" s="832" t="str">
        <v/>
      </c>
      <c r="Q41" s="832" t="str">
        <v/>
      </c>
      <c r="R41" s="835" t="str">
        <v/>
      </c>
      <c r="S41" s="837" t="str">
        <f>Language!$E$197</f>
        <v xml:space="preserve"> - </v>
      </c>
      <c r="T41" s="850" t="str">
        <f t="shared" si="16"/>
        <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75" thickTop="1" x14ac:dyDescent="0.2"/>
    <row r="43" spans="2:49" x14ac:dyDescent="0.2"/>
    <row r="44" spans="2:49" ht="15.75" thickBot="1" x14ac:dyDescent="0.25">
      <c r="D44" s="855"/>
      <c r="Z44" s="885" t="str">
        <f>IF(COUNTBLANK(CalcF!$BN$14:$BN$17)&lt;4,Language!$E$136,"")</f>
        <v/>
      </c>
      <c r="AK44" s="885" t="str">
        <f>IF(COUNTBLANK(CalcF!$BZ$14:$BZ$17)&lt;4,Language!$E$136,"")</f>
        <v/>
      </c>
    </row>
    <row r="45" spans="2:49" ht="25.5" thickTop="1" x14ac:dyDescent="0.3">
      <c r="B45" s="859" t="s">
        <v>23</v>
      </c>
      <c r="C45" s="828"/>
      <c r="D45" s="841"/>
      <c r="E45" s="852" t="str">
        <f>Language!$E$131</f>
        <v>Pts.</v>
      </c>
      <c r="F45" s="852" t="str">
        <f>Language!$E$132</f>
        <v>GD</v>
      </c>
      <c r="G45" s="952" t="str">
        <f>Language!$E$133</f>
        <v>Goals</v>
      </c>
      <c r="H45" s="953"/>
      <c r="I45" s="953"/>
      <c r="J45" s="844" t="str">
        <f t="array" ref="J45:M45">LEFT(CalcF!$H$21:$K$21,$D$4)</f>
        <v>Netherl</v>
      </c>
      <c r="K45" s="842" t="str">
        <v>Sweden</v>
      </c>
      <c r="L45" s="842" t="str">
        <v>Japan</v>
      </c>
      <c r="M45" s="843" t="str">
        <v>Tunisia</v>
      </c>
      <c r="O45" s="841"/>
      <c r="P45" s="852" t="str">
        <f>Language!$E$131</f>
        <v>Pts.</v>
      </c>
      <c r="Q45" s="852" t="str">
        <f>Language!$E$132</f>
        <v>GD</v>
      </c>
      <c r="R45" s="952" t="str">
        <f>Language!$E$133</f>
        <v>Goals</v>
      </c>
      <c r="S45" s="953"/>
      <c r="T45" s="953"/>
      <c r="U45" s="844" t="str">
        <f t="array" ref="U45:X45">LEFT(CalcF!$BE$13:$BH$13,$D$4)</f>
        <v/>
      </c>
      <c r="V45" s="842" t="str">
        <v/>
      </c>
      <c r="W45" s="842" t="str">
        <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x14ac:dyDescent="0.2">
      <c r="B46" s="862" t="str">
        <f t="array" ref="B46:B49">IF(CalcF!$M$22:$M$25,"•","")</f>
        <v/>
      </c>
      <c r="D46" s="856" t="str">
        <f t="array" ref="D46:D49">CalcF!$D$22:$D$25</f>
        <v>Netherlands</v>
      </c>
      <c r="E46" s="838">
        <f t="array" ref="E46:E49">CalcF!$E$22:$E$25</f>
        <v>9</v>
      </c>
      <c r="F46" s="838">
        <f>G46-I46</f>
        <v>5</v>
      </c>
      <c r="G46" s="839">
        <f t="array" ref="G46:G49">CalcF!$F$22:$F$25</f>
        <v>8</v>
      </c>
      <c r="H46" s="851" t="str">
        <f>Language!$E$197</f>
        <v xml:space="preserve"> - </v>
      </c>
      <c r="I46" s="848">
        <f t="array" ref="I46:I49">CalcF!$G$22:$G$25</f>
        <v>3</v>
      </c>
      <c r="J46" s="845" t="str">
        <f t="array" ref="J46:M49">CalcF!$H$22:$K$25</f>
        <v/>
      </c>
      <c r="K46" s="838" t="str">
        <v>2 - 1</v>
      </c>
      <c r="L46" s="838" t="str">
        <v>3 - 1</v>
      </c>
      <c r="M46" s="840" t="str">
        <v>3 - 1</v>
      </c>
      <c r="O46" s="856" t="str">
        <f t="array" ref="O46:O49">CalcF!$AZ$14:$AZ$17</f>
        <v/>
      </c>
      <c r="P46" s="838" t="str">
        <f t="array" ref="P46:P49">CalcF!$BA$14:$BA$17</f>
        <v/>
      </c>
      <c r="Q46" s="838" t="str">
        <f t="array" ref="Q46:Q49">CalcF!$BB$14:$BB$17</f>
        <v/>
      </c>
      <c r="R46" s="839" t="str">
        <f t="array" ref="R46:R49">CalcF!$BC$14:$BC$17</f>
        <v/>
      </c>
      <c r="S46" s="851" t="str">
        <f>Language!$E$197</f>
        <v xml:space="preserve"> - </v>
      </c>
      <c r="T46" s="848" t="str">
        <f t="shared" ref="T46:T49" si="20">IF(O46="","",R46-Q46)</f>
        <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x14ac:dyDescent="0.2">
      <c r="B47" s="862" t="str">
        <v/>
      </c>
      <c r="D47" s="857" t="str">
        <v>Sweden</v>
      </c>
      <c r="E47" s="829">
        <v>6</v>
      </c>
      <c r="F47" s="829">
        <f t="shared" ref="F47:F49" si="23">G47-I47</f>
        <v>3</v>
      </c>
      <c r="G47" s="834">
        <v>5</v>
      </c>
      <c r="H47" s="836" t="str">
        <f>Language!$E$197</f>
        <v xml:space="preserve"> - </v>
      </c>
      <c r="I47" s="849">
        <v>2</v>
      </c>
      <c r="J47" s="846" t="str">
        <v>1 - 2</v>
      </c>
      <c r="K47" s="830" t="str">
        <v/>
      </c>
      <c r="L47" s="829" t="str">
        <v>2 - 0</v>
      </c>
      <c r="M47" s="831" t="str">
        <v>2 - 0</v>
      </c>
      <c r="O47" s="857" t="str">
        <v/>
      </c>
      <c r="P47" s="829" t="str">
        <v/>
      </c>
      <c r="Q47" s="829" t="str">
        <v/>
      </c>
      <c r="R47" s="834" t="str">
        <v/>
      </c>
      <c r="S47" s="836" t="str">
        <f>Language!$E$197</f>
        <v xml:space="preserve"> - </v>
      </c>
      <c r="T47" s="849" t="str">
        <f t="shared" si="20"/>
        <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38</v>
      </c>
    </row>
    <row r="48" spans="2:49" x14ac:dyDescent="0.2">
      <c r="B48" s="862" t="str">
        <v/>
      </c>
      <c r="D48" s="857" t="str">
        <v>Japan</v>
      </c>
      <c r="E48" s="829">
        <v>3</v>
      </c>
      <c r="F48" s="829">
        <f t="shared" si="23"/>
        <v>-3</v>
      </c>
      <c r="G48" s="834">
        <v>3</v>
      </c>
      <c r="H48" s="836" t="str">
        <f>Language!$E$197</f>
        <v xml:space="preserve"> - </v>
      </c>
      <c r="I48" s="849">
        <v>6</v>
      </c>
      <c r="J48" s="846" t="str">
        <v>1 - 3</v>
      </c>
      <c r="K48" s="829" t="str">
        <v>0 - 2</v>
      </c>
      <c r="L48" s="830" t="str">
        <v/>
      </c>
      <c r="M48" s="831" t="str">
        <v>2 - 1</v>
      </c>
      <c r="O48" s="857" t="str">
        <v/>
      </c>
      <c r="P48" s="829" t="str">
        <v/>
      </c>
      <c r="Q48" s="829" t="str">
        <v/>
      </c>
      <c r="R48" s="834" t="str">
        <v/>
      </c>
      <c r="S48" s="836" t="str">
        <f>Language!$E$197</f>
        <v xml:space="preserve"> - </v>
      </c>
      <c r="T48" s="849" t="str">
        <f t="shared" si="20"/>
        <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18</v>
      </c>
    </row>
    <row r="49" spans="2:49" ht="15.75" thickBot="1" x14ac:dyDescent="0.25">
      <c r="B49" s="862" t="str">
        <v/>
      </c>
      <c r="D49" s="858" t="str">
        <v>Tunisia</v>
      </c>
      <c r="E49" s="832">
        <v>0</v>
      </c>
      <c r="F49" s="832">
        <f t="shared" si="23"/>
        <v>-5</v>
      </c>
      <c r="G49" s="835">
        <v>2</v>
      </c>
      <c r="H49" s="837" t="str">
        <f>Language!$E$197</f>
        <v xml:space="preserve"> - </v>
      </c>
      <c r="I49" s="850">
        <v>7</v>
      </c>
      <c r="J49" s="847" t="str">
        <v>1 - 3</v>
      </c>
      <c r="K49" s="832" t="str">
        <v>0 - 2</v>
      </c>
      <c r="L49" s="832" t="str">
        <v>1 - 2</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x14ac:dyDescent="0.2"/>
    <row r="51" spans="2:49" x14ac:dyDescent="0.2"/>
    <row r="52" spans="2:49" ht="15.75" thickBot="1" x14ac:dyDescent="0.25">
      <c r="D52" s="855"/>
      <c r="Z52" s="885" t="str">
        <f>IF(COUNTBLANK(CalcG!$BN$14:$BN$17)&lt;4,Language!$E$136,"")</f>
        <v/>
      </c>
      <c r="AK52" s="885" t="str">
        <f>IF(COUNTBLANK(CalcG!$BZ$14:$BZ$17)&lt;4,Language!$E$136,"")</f>
        <v/>
      </c>
    </row>
    <row r="53" spans="2:49" ht="25.5" thickTop="1" x14ac:dyDescent="0.3">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IR Iran</v>
      </c>
      <c r="M53" s="843" t="str">
        <v>New Zea</v>
      </c>
      <c r="O53" s="841"/>
      <c r="P53" s="852" t="str">
        <f>Language!$E$131</f>
        <v>Pts.</v>
      </c>
      <c r="Q53" s="852" t="str">
        <f>Language!$E$132</f>
        <v>GD</v>
      </c>
      <c r="R53" s="952" t="str">
        <f>Language!$E$133</f>
        <v>Goals</v>
      </c>
      <c r="S53" s="953"/>
      <c r="T53" s="953"/>
      <c r="U53" s="844" t="str">
        <f t="array" ref="U53:X53">LEFT(CalcG!$BE$13:$BH$13,$D$4)</f>
        <v>Belgium</v>
      </c>
      <c r="V53" s="842" t="str">
        <v>Egypt</v>
      </c>
      <c r="W53" s="842" t="str">
        <v/>
      </c>
      <c r="X53" s="843" t="str">
        <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x14ac:dyDescent="0.2">
      <c r="B54" s="862" t="str">
        <f t="array" ref="B54:B57">IF(CalcG!$M$22:$M$25,"•","")</f>
        <v/>
      </c>
      <c r="D54" s="856" t="str">
        <f t="array" ref="D54:D57">CalcG!$D$22:$D$25</f>
        <v>Belgium</v>
      </c>
      <c r="E54" s="838">
        <f t="array" ref="E54:E57">CalcG!$E$22:$E$25</f>
        <v>6</v>
      </c>
      <c r="F54" s="838">
        <f>G54-I54</f>
        <v>4</v>
      </c>
      <c r="G54" s="839">
        <f t="array" ref="G54:G57">CalcG!$F$22:$F$25</f>
        <v>4</v>
      </c>
      <c r="H54" s="851" t="str">
        <f>Language!$E$197</f>
        <v xml:space="preserve"> - </v>
      </c>
      <c r="I54" s="848">
        <f t="array" ref="I54:I57">CalcG!$G$22:$G$25</f>
        <v>0</v>
      </c>
      <c r="J54" s="845" t="str">
        <f t="array" ref="J54:M57">CalcG!$H$22:$K$25</f>
        <v/>
      </c>
      <c r="K54" s="838" t="str">
        <v>2 - 0</v>
      </c>
      <c r="L54" s="838" t="str">
        <v>2 - 0</v>
      </c>
      <c r="M54" s="840" t="str">
        <v/>
      </c>
      <c r="O54" s="856" t="str">
        <f t="array" ref="O54:O57">CalcG!$AZ$14:$AZ$17</f>
        <v>Belgium</v>
      </c>
      <c r="P54" s="838">
        <f t="array" ref="P54:P57">CalcG!$BA$14:$BA$17</f>
        <v>3</v>
      </c>
      <c r="Q54" s="838">
        <f t="array" ref="Q54:Q57">CalcG!$BB$14:$BB$17</f>
        <v>2</v>
      </c>
      <c r="R54" s="839">
        <f t="array" ref="R54:R57">CalcG!$BC$14:$BC$17</f>
        <v>2</v>
      </c>
      <c r="S54" s="851" t="str">
        <f>Language!$E$197</f>
        <v xml:space="preserve"> - </v>
      </c>
      <c r="T54" s="848">
        <f t="shared" ref="T54:T57" si="24">IF(O54="","",R54-Q54)</f>
        <v>0</v>
      </c>
      <c r="U54" s="845" t="str">
        <f t="array" ref="U54:X57">CalcG!$BE$14:$BH$17</f>
        <v/>
      </c>
      <c r="V54" s="838" t="str">
        <v>2 - 0</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x14ac:dyDescent="0.2">
      <c r="B55" s="862" t="str">
        <v/>
      </c>
      <c r="D55" s="857" t="str">
        <v>Egypt</v>
      </c>
      <c r="E55" s="829">
        <v>6</v>
      </c>
      <c r="F55" s="829">
        <f t="shared" ref="F55:F57" si="27">G55-I55</f>
        <v>0</v>
      </c>
      <c r="G55" s="834">
        <v>4</v>
      </c>
      <c r="H55" s="836" t="str">
        <f>Language!$E$197</f>
        <v xml:space="preserve"> - </v>
      </c>
      <c r="I55" s="849">
        <v>4</v>
      </c>
      <c r="J55" s="846" t="str">
        <v>0 - 2</v>
      </c>
      <c r="K55" s="830" t="str">
        <v/>
      </c>
      <c r="L55" s="829" t="str">
        <v>2 - 1</v>
      </c>
      <c r="M55" s="831" t="str">
        <v>2 - 1</v>
      </c>
      <c r="O55" s="857" t="str">
        <v>Egypt</v>
      </c>
      <c r="P55" s="829">
        <v>0</v>
      </c>
      <c r="Q55" s="829">
        <v>-2</v>
      </c>
      <c r="R55" s="834">
        <v>0</v>
      </c>
      <c r="S55" s="836" t="str">
        <f>Language!$E$197</f>
        <v xml:space="preserve"> - </v>
      </c>
      <c r="T55" s="849">
        <f t="shared" si="24"/>
        <v>2</v>
      </c>
      <c r="U55" s="846" t="str">
        <v>0 - 2</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x14ac:dyDescent="0.2">
      <c r="B56" s="862" t="str">
        <v/>
      </c>
      <c r="D56" s="857" t="str">
        <v>IR Iran</v>
      </c>
      <c r="E56" s="829">
        <v>3</v>
      </c>
      <c r="F56" s="829">
        <f t="shared" si="27"/>
        <v>-2</v>
      </c>
      <c r="G56" s="834">
        <v>2</v>
      </c>
      <c r="H56" s="836" t="str">
        <f>Language!$E$197</f>
        <v xml:space="preserve"> - </v>
      </c>
      <c r="I56" s="849">
        <v>4</v>
      </c>
      <c r="J56" s="846" t="str">
        <v>0 - 2</v>
      </c>
      <c r="K56" s="829" t="str">
        <v>1 - 2</v>
      </c>
      <c r="L56" s="830" t="str">
        <v/>
      </c>
      <c r="M56" s="831" t="str">
        <v>1 - 0</v>
      </c>
      <c r="O56" s="857" t="str">
        <v/>
      </c>
      <c r="P56" s="829" t="str">
        <v/>
      </c>
      <c r="Q56" s="829" t="str">
        <v/>
      </c>
      <c r="R56" s="834" t="str">
        <v/>
      </c>
      <c r="S56" s="836" t="str">
        <f>Language!$E$197</f>
        <v xml:space="preserve"> - </v>
      </c>
      <c r="T56" s="849" t="str">
        <f t="shared" si="24"/>
        <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21</v>
      </c>
    </row>
    <row r="57" spans="2:49" ht="15.75" thickBot="1" x14ac:dyDescent="0.25">
      <c r="B57" s="862" t="str">
        <v/>
      </c>
      <c r="D57" s="858" t="str">
        <v>New Zealand</v>
      </c>
      <c r="E57" s="832">
        <v>0</v>
      </c>
      <c r="F57" s="832">
        <f t="shared" si="27"/>
        <v>-2</v>
      </c>
      <c r="G57" s="835">
        <v>1</v>
      </c>
      <c r="H57" s="837" t="str">
        <f>Language!$E$197</f>
        <v xml:space="preserve"> - </v>
      </c>
      <c r="I57" s="850">
        <v>3</v>
      </c>
      <c r="J57" s="847" t="str">
        <v/>
      </c>
      <c r="K57" s="832" t="str">
        <v>1 - 2</v>
      </c>
      <c r="L57" s="832" t="str">
        <v>0 - 1</v>
      </c>
      <c r="M57" s="833" t="str">
        <v/>
      </c>
      <c r="O57" s="858" t="str">
        <v/>
      </c>
      <c r="P57" s="832" t="str">
        <v/>
      </c>
      <c r="Q57" s="832" t="str">
        <v/>
      </c>
      <c r="R57" s="835" t="str">
        <v/>
      </c>
      <c r="S57" s="837" t="str">
        <f>Language!$E$197</f>
        <v xml:space="preserve"> - </v>
      </c>
      <c r="T57" s="850" t="str">
        <f t="shared" si="24"/>
        <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85</v>
      </c>
    </row>
    <row r="58" spans="2:49" ht="15.75" thickTop="1" x14ac:dyDescent="0.2"/>
    <row r="59" spans="2:49" x14ac:dyDescent="0.2"/>
    <row r="60" spans="2:49" ht="15.75" thickBot="1" x14ac:dyDescent="0.25">
      <c r="D60" s="855"/>
      <c r="Z60" s="885" t="str">
        <f>IF(COUNTBLANK(CalcH!$BN$14:$BN$17)&lt;4,Language!$E$136,"")</f>
        <v/>
      </c>
      <c r="AK60" s="885" t="str">
        <f>IF(COUNTBLANK(CalcH!$BZ$14:$BZ$17)&lt;4,Language!$E$136,"")</f>
        <v/>
      </c>
    </row>
    <row r="61" spans="2:49" ht="25.5" thickTop="1" x14ac:dyDescent="0.3">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Saudi A</v>
      </c>
      <c r="M61" s="843" t="str">
        <v>Cape Ve</v>
      </c>
      <c r="O61" s="841"/>
      <c r="P61" s="852" t="str">
        <f>Language!$E$131</f>
        <v>Pts.</v>
      </c>
      <c r="Q61" s="852" t="str">
        <f>Language!$E$132</f>
        <v>GD</v>
      </c>
      <c r="R61" s="952" t="str">
        <f>Language!$E$133</f>
        <v>Goals</v>
      </c>
      <c r="S61" s="953"/>
      <c r="T61" s="953"/>
      <c r="U61" s="844" t="str">
        <f t="array" ref="U61:X61">LEFT(CalcH!$BE$13:$BH$13,$D$4)</f>
        <v>Spain</v>
      </c>
      <c r="V61" s="842" t="str">
        <v>Uruguay</v>
      </c>
      <c r="W61" s="842" t="str">
        <v/>
      </c>
      <c r="X61" s="843" t="str">
        <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x14ac:dyDescent="0.2">
      <c r="B62" s="862" t="str">
        <f t="array" ref="B62:B65">IF(CalcH!$M$22:$M$25,"•","")</f>
        <v/>
      </c>
      <c r="D62" s="856" t="str">
        <f t="array" ref="D62:D65">CalcH!$D$22:$D$25</f>
        <v>Spain</v>
      </c>
      <c r="E62" s="838">
        <f t="array" ref="E62:E65">CalcH!$E$22:$E$25</f>
        <v>6</v>
      </c>
      <c r="F62" s="838">
        <f>G62-I62</f>
        <v>8</v>
      </c>
      <c r="G62" s="839">
        <f t="array" ref="G62:G65">CalcH!$F$22:$F$25</f>
        <v>8</v>
      </c>
      <c r="H62" s="851" t="str">
        <f>Language!$E$197</f>
        <v xml:space="preserve"> - </v>
      </c>
      <c r="I62" s="848">
        <f t="array" ref="I62:I65">CalcH!$G$22:$G$25</f>
        <v>0</v>
      </c>
      <c r="J62" s="845" t="str">
        <f t="array" ref="J62:M65">CalcH!$H$22:$K$25</f>
        <v/>
      </c>
      <c r="K62" s="838" t="str">
        <v/>
      </c>
      <c r="L62" s="838" t="str">
        <v>3 - 0</v>
      </c>
      <c r="M62" s="840" t="str">
        <v>5 - 0</v>
      </c>
      <c r="O62" s="856" t="str">
        <f t="array" ref="O62:O65">CalcH!$AZ$14:$AZ$17</f>
        <v>Spain</v>
      </c>
      <c r="P62" s="838">
        <f t="array" ref="P62:P65">CalcH!$BA$14:$BA$17</f>
        <v>0</v>
      </c>
      <c r="Q62" s="838">
        <f t="array" ref="Q62:Q65">CalcH!$BB$14:$BB$17</f>
        <v>0</v>
      </c>
      <c r="R62" s="839">
        <f t="array" ref="R62:R65">CalcH!$BC$14:$BC$17</f>
        <v>0</v>
      </c>
      <c r="S62" s="851" t="str">
        <f>Language!$E$197</f>
        <v xml:space="preserve"> - </v>
      </c>
      <c r="T62" s="848">
        <f t="shared" ref="T62:T65" si="28">IF(O62="","",R62-Q62)</f>
        <v>0</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x14ac:dyDescent="0.2">
      <c r="B63" s="862" t="str">
        <v/>
      </c>
      <c r="D63" s="857" t="str">
        <v>Uruguay</v>
      </c>
      <c r="E63" s="829">
        <v>6</v>
      </c>
      <c r="F63" s="829">
        <f t="shared" ref="F63:F65" si="31">G63-I63</f>
        <v>4</v>
      </c>
      <c r="G63" s="834">
        <v>5</v>
      </c>
      <c r="H63" s="836" t="str">
        <f>Language!$E$197</f>
        <v xml:space="preserve"> - </v>
      </c>
      <c r="I63" s="849">
        <v>1</v>
      </c>
      <c r="J63" s="846" t="str">
        <v/>
      </c>
      <c r="K63" s="830" t="str">
        <v/>
      </c>
      <c r="L63" s="829" t="str">
        <v>2 - 1</v>
      </c>
      <c r="M63" s="831" t="str">
        <v>3 - 0</v>
      </c>
      <c r="O63" s="857" t="str">
        <v>Uruguay</v>
      </c>
      <c r="P63" s="829">
        <v>0</v>
      </c>
      <c r="Q63" s="829">
        <v>0</v>
      </c>
      <c r="R63" s="834">
        <v>0</v>
      </c>
      <c r="S63" s="836" t="str">
        <f>Language!$E$197</f>
        <v xml:space="preserve"> - </v>
      </c>
      <c r="T63" s="849">
        <f t="shared" si="28"/>
        <v>0</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x14ac:dyDescent="0.2">
      <c r="B64" s="862" t="str">
        <v/>
      </c>
      <c r="D64" s="857" t="str">
        <v>Saudi Arabia</v>
      </c>
      <c r="E64" s="829">
        <v>3</v>
      </c>
      <c r="F64" s="829">
        <f t="shared" si="31"/>
        <v>-2</v>
      </c>
      <c r="G64" s="834">
        <v>3</v>
      </c>
      <c r="H64" s="836" t="str">
        <f>Language!$E$197</f>
        <v xml:space="preserve"> - </v>
      </c>
      <c r="I64" s="849">
        <v>5</v>
      </c>
      <c r="J64" s="846" t="str">
        <v>0 - 3</v>
      </c>
      <c r="K64" s="829" t="str">
        <v>1 - 2</v>
      </c>
      <c r="L64" s="830" t="str">
        <v/>
      </c>
      <c r="M64" s="831" t="str">
        <v>2 - 0</v>
      </c>
      <c r="O64" s="857" t="str">
        <v/>
      </c>
      <c r="P64" s="829" t="str">
        <v/>
      </c>
      <c r="Q64" s="829" t="str">
        <v/>
      </c>
      <c r="R64" s="834" t="str">
        <v/>
      </c>
      <c r="S64" s="836" t="str">
        <f>Language!$E$197</f>
        <v xml:space="preserve"> - </v>
      </c>
      <c r="T64" s="849" t="str">
        <f t="shared" si="28"/>
        <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x14ac:dyDescent="0.25">
      <c r="B65" s="862" t="str">
        <v/>
      </c>
      <c r="D65" s="858" t="str">
        <v>Cape Verde</v>
      </c>
      <c r="E65" s="832">
        <v>0</v>
      </c>
      <c r="F65" s="832">
        <f t="shared" si="31"/>
        <v>-10</v>
      </c>
      <c r="G65" s="835">
        <v>0</v>
      </c>
      <c r="H65" s="837" t="str">
        <f>Language!$E$197</f>
        <v xml:space="preserve"> - </v>
      </c>
      <c r="I65" s="850">
        <v>10</v>
      </c>
      <c r="J65" s="847" t="str">
        <v>0 - 5</v>
      </c>
      <c r="K65" s="832" t="str">
        <v>0 - 3</v>
      </c>
      <c r="L65" s="832" t="str">
        <v>0 - 2</v>
      </c>
      <c r="M65" s="833" t="str">
        <v/>
      </c>
      <c r="O65" s="858" t="str">
        <v/>
      </c>
      <c r="P65" s="832" t="str">
        <v/>
      </c>
      <c r="Q65" s="832" t="str">
        <v/>
      </c>
      <c r="R65" s="835" t="str">
        <v/>
      </c>
      <c r="S65" s="837" t="str">
        <f>Language!$E$197</f>
        <v xml:space="preserve"> - </v>
      </c>
      <c r="T65" s="850" t="str">
        <f t="shared" si="28"/>
        <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75" thickTop="1" x14ac:dyDescent="0.2"/>
    <row r="67" spans="2:49" x14ac:dyDescent="0.2"/>
    <row r="68" spans="2:49" ht="15.75" thickBot="1" x14ac:dyDescent="0.25">
      <c r="D68" s="855"/>
      <c r="Z68" s="885" t="str">
        <f>IF(COUNTBLANK(CalcI!$BN$14:$BN$17)&lt;4,Language!$E$136,"")</f>
        <v/>
      </c>
      <c r="AK68" s="885" t="str">
        <f>IF(COUNTBLANK(CalcI!$BZ$14:$BZ$17)&lt;4,Language!$E$136,"")</f>
        <v/>
      </c>
    </row>
    <row r="69" spans="2:49" ht="25.5" thickTop="1" x14ac:dyDescent="0.3">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
      </c>
      <c r="V69" s="842" t="str">
        <v/>
      </c>
      <c r="W69" s="842" t="str">
        <v>Senegal</v>
      </c>
      <c r="X69" s="843" t="str">
        <v>Iraq</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x14ac:dyDescent="0.2">
      <c r="B70" s="862" t="str">
        <f t="array" ref="B70:B73">IF(CalcI!$M$22:$M$25,"•","")</f>
        <v/>
      </c>
      <c r="D70" s="856" t="str">
        <f t="array" ref="D70:D73">CalcI!$D$22:$D$25</f>
        <v>France</v>
      </c>
      <c r="E70" s="838">
        <f t="array" ref="E70:E73">CalcI!$E$22:$E$25</f>
        <v>9</v>
      </c>
      <c r="F70" s="838">
        <f>G70-I70</f>
        <v>6</v>
      </c>
      <c r="G70" s="839">
        <f t="array" ref="G70:G73">CalcI!$F$22:$F$25</f>
        <v>7</v>
      </c>
      <c r="H70" s="851" t="str">
        <f>Language!$E$197</f>
        <v xml:space="preserve"> - </v>
      </c>
      <c r="I70" s="848">
        <f t="array" ref="I70:I73">CalcI!$G$22:$G$25</f>
        <v>1</v>
      </c>
      <c r="J70" s="845" t="str">
        <f t="array" ref="J70:M73">CalcI!$H$22:$K$25</f>
        <v/>
      </c>
      <c r="K70" s="838" t="str">
        <v>2 - 1</v>
      </c>
      <c r="L70" s="838" t="str">
        <v>2 - 0</v>
      </c>
      <c r="M70" s="840" t="str">
        <v>3 - 0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x14ac:dyDescent="0.2">
      <c r="B71" s="862" t="str">
        <v/>
      </c>
      <c r="D71" s="857" t="str">
        <v>Norway</v>
      </c>
      <c r="E71" s="829">
        <v>6</v>
      </c>
      <c r="F71" s="829">
        <f t="shared" ref="F71:F73" si="35">G71-I71</f>
        <v>2</v>
      </c>
      <c r="G71" s="834">
        <v>6</v>
      </c>
      <c r="H71" s="836" t="str">
        <f>Language!$E$197</f>
        <v xml:space="preserve"> - </v>
      </c>
      <c r="I71" s="849">
        <v>4</v>
      </c>
      <c r="J71" s="846" t="str">
        <v>1 - 2</v>
      </c>
      <c r="K71" s="830" t="str">
        <v/>
      </c>
      <c r="L71" s="829" t="str">
        <v>2 - 1</v>
      </c>
      <c r="M71" s="831" t="str">
        <v>3 - 1</v>
      </c>
      <c r="O71" s="857" t="str">
        <v/>
      </c>
      <c r="P71" s="829" t="str">
        <v/>
      </c>
      <c r="Q71" s="829" t="str">
        <v/>
      </c>
      <c r="R71" s="834" t="str">
        <v/>
      </c>
      <c r="S71" s="836" t="str">
        <f>Language!$E$197</f>
        <v xml:space="preserve"> - </v>
      </c>
      <c r="T71" s="849" t="str">
        <f t="shared" si="32"/>
        <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x14ac:dyDescent="0.2">
      <c r="B72" s="862" t="str">
        <v/>
      </c>
      <c r="D72" s="857" t="str">
        <v>Senegal</v>
      </c>
      <c r="E72" s="829">
        <v>0</v>
      </c>
      <c r="F72" s="829">
        <f t="shared" si="35"/>
        <v>-3</v>
      </c>
      <c r="G72" s="834">
        <v>1</v>
      </c>
      <c r="H72" s="836" t="str">
        <f>Language!$E$197</f>
        <v xml:space="preserve"> - </v>
      </c>
      <c r="I72" s="849">
        <v>4</v>
      </c>
      <c r="J72" s="846" t="str">
        <v>0 - 2</v>
      </c>
      <c r="K72" s="829" t="str">
        <v>1 - 2</v>
      </c>
      <c r="L72" s="830" t="str">
        <v/>
      </c>
      <c r="M72" s="831" t="str">
        <v/>
      </c>
      <c r="O72" s="857" t="str">
        <v>Senegal</v>
      </c>
      <c r="P72" s="829">
        <v>0</v>
      </c>
      <c r="Q72" s="829">
        <v>0</v>
      </c>
      <c r="R72" s="834">
        <v>0</v>
      </c>
      <c r="S72" s="836" t="str">
        <f>Language!$E$197</f>
        <v xml:space="preserve"> - </v>
      </c>
      <c r="T72" s="849">
        <f t="shared" si="32"/>
        <v>0</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75" thickBot="1" x14ac:dyDescent="0.25">
      <c r="B73" s="862" t="str">
        <v/>
      </c>
      <c r="D73" s="858" t="str">
        <v>Iraq</v>
      </c>
      <c r="E73" s="832">
        <v>0</v>
      </c>
      <c r="F73" s="832">
        <f t="shared" si="35"/>
        <v>-5</v>
      </c>
      <c r="G73" s="835">
        <v>1</v>
      </c>
      <c r="H73" s="837" t="str">
        <f>Language!$E$197</f>
        <v xml:space="preserve"> - </v>
      </c>
      <c r="I73" s="850">
        <v>6</v>
      </c>
      <c r="J73" s="847" t="str">
        <v>0 - 3</v>
      </c>
      <c r="K73" s="832" t="str">
        <v>1 - 3</v>
      </c>
      <c r="L73" s="832" t="str">
        <v/>
      </c>
      <c r="M73" s="833" t="str">
        <v/>
      </c>
      <c r="O73" s="858" t="str">
        <v>Iraq</v>
      </c>
      <c r="P73" s="832">
        <v>0</v>
      </c>
      <c r="Q73" s="832">
        <v>0</v>
      </c>
      <c r="R73" s="835">
        <v>0</v>
      </c>
      <c r="S73" s="837" t="str">
        <f>Language!$E$197</f>
        <v xml:space="preserve"> - </v>
      </c>
      <c r="T73" s="850">
        <f t="shared" si="32"/>
        <v>0</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75" thickTop="1" x14ac:dyDescent="0.2"/>
    <row r="75" spans="2:49" x14ac:dyDescent="0.2"/>
    <row r="76" spans="2:49" ht="15.75" thickBot="1" x14ac:dyDescent="0.25">
      <c r="D76" s="855"/>
      <c r="Z76" s="885" t="str">
        <f>IF(COUNTBLANK(CalcJ!$BN$14:$BN$17)&lt;4,Language!$E$136,"")</f>
        <v/>
      </c>
      <c r="AK76" s="885" t="str">
        <f>IF(COUNTBLANK(CalcJ!$BZ$14:$BZ$17)&lt;4,Language!$E$136,"")</f>
        <v/>
      </c>
    </row>
    <row r="77" spans="2:49" ht="25.5" thickTop="1" x14ac:dyDescent="0.3">
      <c r="B77" s="859" t="s">
        <v>841</v>
      </c>
      <c r="C77" s="828"/>
      <c r="D77" s="841"/>
      <c r="E77" s="852" t="str">
        <f>Language!$E$131</f>
        <v>Pts.</v>
      </c>
      <c r="F77" s="852" t="str">
        <f>Language!$E$132</f>
        <v>GD</v>
      </c>
      <c r="G77" s="952" t="str">
        <f>Language!$E$133</f>
        <v>Goals</v>
      </c>
      <c r="H77" s="953"/>
      <c r="I77" s="953"/>
      <c r="J77" s="844" t="str">
        <f t="array" ref="J77:M77">LEFT(CalcJ!$H$21:$K$21,$D$4)</f>
        <v>Austria</v>
      </c>
      <c r="K77" s="842" t="str">
        <v>Argenti</v>
      </c>
      <c r="L77" s="842" t="str">
        <v>Algeria</v>
      </c>
      <c r="M77" s="843" t="str">
        <v>Jordan</v>
      </c>
      <c r="O77" s="841"/>
      <c r="P77" s="852" t="str">
        <f>Language!$E$131</f>
        <v>Pts.</v>
      </c>
      <c r="Q77" s="852" t="str">
        <f>Language!$E$132</f>
        <v>GD</v>
      </c>
      <c r="R77" s="952" t="str">
        <f>Language!$E$133</f>
        <v>Goals</v>
      </c>
      <c r="S77" s="953"/>
      <c r="T77" s="953"/>
      <c r="U77" s="844" t="str">
        <f t="array" ref="U77:X77">LEFT(CalcJ!$BE$13:$BH$13,$D$4)</f>
        <v/>
      </c>
      <c r="V77" s="842" t="str">
        <v>Argenti</v>
      </c>
      <c r="W77" s="842" t="str">
        <v>Algeria</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x14ac:dyDescent="0.2">
      <c r="B78" s="862" t="str">
        <f t="array" ref="B78:B81">IF(CalcJ!$M$22:$M$25,"•","")</f>
        <v/>
      </c>
      <c r="D78" s="856" t="str">
        <f t="array" ref="D78:D81">CalcJ!$D$22:$D$25</f>
        <v>Austria</v>
      </c>
      <c r="E78" s="838">
        <f t="array" ref="E78:E81">CalcJ!$E$22:$E$25</f>
        <v>9</v>
      </c>
      <c r="F78" s="838">
        <f>G78-I78</f>
        <v>4</v>
      </c>
      <c r="G78" s="839">
        <f t="array" ref="G78:G81">CalcJ!$F$22:$F$25</f>
        <v>6</v>
      </c>
      <c r="H78" s="851" t="str">
        <f>Language!$E$197</f>
        <v xml:space="preserve"> - </v>
      </c>
      <c r="I78" s="848">
        <f t="array" ref="I78:I81">CalcJ!$G$22:$G$25</f>
        <v>2</v>
      </c>
      <c r="J78" s="845" t="str">
        <f t="array" ref="J78:M81">CalcJ!$H$22:$K$25</f>
        <v/>
      </c>
      <c r="K78" s="838" t="str">
        <v>3 - 2</v>
      </c>
      <c r="L78" s="838" t="str">
        <v>1 - 0</v>
      </c>
      <c r="M78" s="840" t="str">
        <v>2 - 0</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24</v>
      </c>
    </row>
    <row r="79" spans="2:49" x14ac:dyDescent="0.2">
      <c r="B79" s="862" t="str">
        <v/>
      </c>
      <c r="D79" s="857" t="str">
        <v>Argentina</v>
      </c>
      <c r="E79" s="829">
        <v>3</v>
      </c>
      <c r="F79" s="829">
        <f t="shared" ref="F79:F81" si="39">G79-I79</f>
        <v>2</v>
      </c>
      <c r="G79" s="834">
        <v>5</v>
      </c>
      <c r="H79" s="836" t="str">
        <f>Language!$E$197</f>
        <v xml:space="preserve"> - </v>
      </c>
      <c r="I79" s="849">
        <v>3</v>
      </c>
      <c r="J79" s="846" t="str">
        <v>2 - 3</v>
      </c>
      <c r="K79" s="830" t="str">
        <v/>
      </c>
      <c r="L79" s="829" t="str">
        <v>3 - 0</v>
      </c>
      <c r="M79" s="831" t="str">
        <v/>
      </c>
      <c r="O79" s="857" t="str">
        <v>Argentina</v>
      </c>
      <c r="P79" s="829">
        <v>3</v>
      </c>
      <c r="Q79" s="829">
        <v>3</v>
      </c>
      <c r="R79" s="834">
        <v>3</v>
      </c>
      <c r="S79" s="836" t="str">
        <f>Language!$E$197</f>
        <v xml:space="preserve"> - </v>
      </c>
      <c r="T79" s="849">
        <f t="shared" si="36"/>
        <v>0</v>
      </c>
      <c r="U79" s="846" t="str">
        <v/>
      </c>
      <c r="V79" s="830" t="str">
        <v/>
      </c>
      <c r="W79" s="829" t="str">
        <v>3 - 0</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3</v>
      </c>
    </row>
    <row r="80" spans="2:49" x14ac:dyDescent="0.2">
      <c r="B80" s="862" t="str">
        <v/>
      </c>
      <c r="D80" s="857" t="str">
        <v>Algeria</v>
      </c>
      <c r="E80" s="829">
        <v>3</v>
      </c>
      <c r="F80" s="829">
        <f t="shared" si="39"/>
        <v>-3</v>
      </c>
      <c r="G80" s="834">
        <v>1</v>
      </c>
      <c r="H80" s="836" t="str">
        <f>Language!$E$197</f>
        <v xml:space="preserve"> - </v>
      </c>
      <c r="I80" s="849">
        <v>4</v>
      </c>
      <c r="J80" s="846" t="str">
        <v>0 - 1</v>
      </c>
      <c r="K80" s="829" t="str">
        <v>0 - 3</v>
      </c>
      <c r="L80" s="830" t="str">
        <v/>
      </c>
      <c r="M80" s="831" t="str">
        <v>1 - 0</v>
      </c>
      <c r="O80" s="857" t="str">
        <v>Algeria</v>
      </c>
      <c r="P80" s="829">
        <v>0</v>
      </c>
      <c r="Q80" s="829">
        <v>-3</v>
      </c>
      <c r="R80" s="834">
        <v>0</v>
      </c>
      <c r="S80" s="836" t="str">
        <f>Language!$E$197</f>
        <v xml:space="preserve"> - </v>
      </c>
      <c r="T80" s="849">
        <f t="shared" si="36"/>
        <v>3</v>
      </c>
      <c r="U80" s="846" t="str">
        <v/>
      </c>
      <c r="V80" s="829" t="str">
        <v>0 - 3</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28</v>
      </c>
    </row>
    <row r="81" spans="2:49" ht="15.75" thickBot="1" x14ac:dyDescent="0.25">
      <c r="B81" s="862" t="str">
        <v/>
      </c>
      <c r="D81" s="858" t="str">
        <v>Jordan</v>
      </c>
      <c r="E81" s="832">
        <v>0</v>
      </c>
      <c r="F81" s="832">
        <f t="shared" si="39"/>
        <v>-3</v>
      </c>
      <c r="G81" s="835">
        <v>0</v>
      </c>
      <c r="H81" s="837" t="str">
        <f>Language!$E$197</f>
        <v xml:space="preserve"> - </v>
      </c>
      <c r="I81" s="850">
        <v>3</v>
      </c>
      <c r="J81" s="847" t="str">
        <v>0 - 2</v>
      </c>
      <c r="K81" s="832" t="str">
        <v/>
      </c>
      <c r="L81" s="832" t="str">
        <v>0 - 1</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x14ac:dyDescent="0.2"/>
    <row r="83" spans="2:49" x14ac:dyDescent="0.2"/>
    <row r="84" spans="2:49" ht="15.75" thickBot="1" x14ac:dyDescent="0.25">
      <c r="D84" s="855"/>
      <c r="Z84" s="885" t="str">
        <f>IF(COUNTBLANK(CalcK!$BN$14:$BN$17)&lt;4,Language!$E$136,"")</f>
        <v/>
      </c>
      <c r="AK84" s="885" t="str">
        <f>IF(COUNTBLANK(CalcK!$BZ$14:$BZ$17)&lt;4,Language!$E$136,"")</f>
        <v/>
      </c>
    </row>
    <row r="85" spans="2:49" ht="25.5" thickTop="1" x14ac:dyDescent="0.3">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Uzbekis</v>
      </c>
      <c r="M85" s="843" t="str">
        <v>DR Cong</v>
      </c>
      <c r="O85" s="841"/>
      <c r="P85" s="852" t="str">
        <f>Language!$E$131</f>
        <v>Pts.</v>
      </c>
      <c r="Q85" s="852" t="str">
        <f>Language!$E$132</f>
        <v>GD</v>
      </c>
      <c r="R85" s="952" t="str">
        <f>Language!$E$133</f>
        <v>Goals</v>
      </c>
      <c r="S85" s="953"/>
      <c r="T85" s="953"/>
      <c r="U85" s="844" t="str">
        <f t="array" ref="U85:X85">LEFT(CalcK!$BE$13:$BH$13,$D$4)</f>
        <v/>
      </c>
      <c r="V85" s="842" t="str">
        <v/>
      </c>
      <c r="W85" s="842" t="str">
        <v>Uzbekis</v>
      </c>
      <c r="X85" s="843" t="str">
        <v>DR Cong</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x14ac:dyDescent="0.2">
      <c r="B86" s="862" t="str">
        <f t="array" ref="B86:B89">IF(CalcK!$M$22:$M$25,"•","")</f>
        <v/>
      </c>
      <c r="D86" s="856" t="str">
        <f t="array" ref="D86:D89">CalcK!$D$22:$D$25</f>
        <v>Portugal</v>
      </c>
      <c r="E86" s="838">
        <f t="array" ref="E86:E89">CalcK!$E$22:$E$25</f>
        <v>9</v>
      </c>
      <c r="F86" s="838">
        <f>G86-I86</f>
        <v>9</v>
      </c>
      <c r="G86" s="839">
        <f t="array" ref="G86:G89">CalcK!$F$22:$F$25</f>
        <v>9</v>
      </c>
      <c r="H86" s="851" t="str">
        <f>Language!$E$197</f>
        <v xml:space="preserve"> - </v>
      </c>
      <c r="I86" s="848">
        <f t="array" ref="I86:I89">CalcK!$G$22:$G$25</f>
        <v>0</v>
      </c>
      <c r="J86" s="845" t="str">
        <f t="array" ref="J86:M89">CalcK!$H$22:$K$25</f>
        <v/>
      </c>
      <c r="K86" s="838" t="str">
        <v>3 - 0</v>
      </c>
      <c r="L86" s="838" t="str">
        <v>3 - 0</v>
      </c>
      <c r="M86" s="840" t="str">
        <v>3 - 0</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x14ac:dyDescent="0.2">
      <c r="B87" s="862" t="str">
        <v/>
      </c>
      <c r="D87" s="857" t="str">
        <v>Colombia</v>
      </c>
      <c r="E87" s="829">
        <v>6</v>
      </c>
      <c r="F87" s="829">
        <f t="shared" ref="F87:F89" si="43">G87-I87</f>
        <v>0</v>
      </c>
      <c r="G87" s="834">
        <v>3</v>
      </c>
      <c r="H87" s="836" t="str">
        <f>Language!$E$197</f>
        <v xml:space="preserve"> - </v>
      </c>
      <c r="I87" s="849">
        <v>3</v>
      </c>
      <c r="J87" s="846" t="str">
        <v>0 - 3</v>
      </c>
      <c r="K87" s="830" t="str">
        <v/>
      </c>
      <c r="L87" s="829" t="str">
        <v>1 - 0</v>
      </c>
      <c r="M87" s="831" t="str">
        <v>2 - 0</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x14ac:dyDescent="0.2">
      <c r="B88" s="862" t="str">
        <v/>
      </c>
      <c r="D88" s="857" t="str">
        <v>Uzbekistan</v>
      </c>
      <c r="E88" s="829">
        <v>0</v>
      </c>
      <c r="F88" s="829">
        <f t="shared" si="43"/>
        <v>-4</v>
      </c>
      <c r="G88" s="834">
        <v>0</v>
      </c>
      <c r="H88" s="836" t="str">
        <f>Language!$E$197</f>
        <v xml:space="preserve"> - </v>
      </c>
      <c r="I88" s="849">
        <v>4</v>
      </c>
      <c r="J88" s="846" t="str">
        <v>0 - 3</v>
      </c>
      <c r="K88" s="829" t="str">
        <v>0 - 1</v>
      </c>
      <c r="L88" s="830" t="str">
        <v/>
      </c>
      <c r="M88" s="831" t="str">
        <v/>
      </c>
      <c r="O88" s="857" t="str">
        <v>Uzbekistan</v>
      </c>
      <c r="P88" s="829">
        <v>0</v>
      </c>
      <c r="Q88" s="829">
        <v>0</v>
      </c>
      <c r="R88" s="834">
        <v>0</v>
      </c>
      <c r="S88" s="836" t="str">
        <f>Language!$E$197</f>
        <v xml:space="preserve"> - </v>
      </c>
      <c r="T88" s="849">
        <f t="shared" si="40"/>
        <v>0</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50</v>
      </c>
    </row>
    <row r="89" spans="2:49" ht="15.75" thickBot="1" x14ac:dyDescent="0.25">
      <c r="B89" s="862" t="str">
        <v/>
      </c>
      <c r="D89" s="858" t="str">
        <v>DR Congo</v>
      </c>
      <c r="E89" s="832">
        <v>0</v>
      </c>
      <c r="F89" s="832">
        <f t="shared" si="43"/>
        <v>-5</v>
      </c>
      <c r="G89" s="835">
        <v>0</v>
      </c>
      <c r="H89" s="837" t="str">
        <f>Language!$E$197</f>
        <v xml:space="preserve"> - </v>
      </c>
      <c r="I89" s="850">
        <v>5</v>
      </c>
      <c r="J89" s="847" t="str">
        <v>0 - 3</v>
      </c>
      <c r="K89" s="832" t="str">
        <v>0 - 2</v>
      </c>
      <c r="L89" s="832" t="str">
        <v/>
      </c>
      <c r="M89" s="833" t="str">
        <v/>
      </c>
      <c r="O89" s="858" t="str">
        <v>DR Congo</v>
      </c>
      <c r="P89" s="832">
        <v>0</v>
      </c>
      <c r="Q89" s="832">
        <v>0</v>
      </c>
      <c r="R89" s="835">
        <v>0</v>
      </c>
      <c r="S89" s="837" t="str">
        <f>Language!$E$197</f>
        <v xml:space="preserve"> - </v>
      </c>
      <c r="T89" s="850">
        <f t="shared" si="40"/>
        <v>0</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46</v>
      </c>
    </row>
    <row r="90" spans="2:49" ht="15.75" thickTop="1" x14ac:dyDescent="0.2"/>
    <row r="91" spans="2:49" x14ac:dyDescent="0.2"/>
    <row r="92" spans="2:49" ht="15.75" thickBot="1" x14ac:dyDescent="0.25">
      <c r="D92" s="855"/>
      <c r="Z92" s="885" t="str">
        <f>IF(COUNTBLANK(CalcL!$BN$14:$BN$17)&lt;4,Language!$E$136,"")</f>
        <v/>
      </c>
      <c r="AK92" s="885" t="str">
        <f>IF(COUNTBLANK(CalcL!$BZ$14:$BZ$17)&lt;4,Language!$E$136,"")</f>
        <v/>
      </c>
    </row>
    <row r="93" spans="2:49" ht="25.5" thickTop="1" x14ac:dyDescent="0.3">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
      </c>
      <c r="V93" s="842" t="str">
        <v>Croatia</v>
      </c>
      <c r="W93" s="842" t="str">
        <v>Ghana</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x14ac:dyDescent="0.2">
      <c r="B94" s="862" t="str">
        <f t="array" ref="B94:B97">IF(CalcL!$M$22:$M$25,"•","")</f>
        <v/>
      </c>
      <c r="D94" s="856" t="str">
        <f t="array" ref="D94:D97">CalcL!$D$22:$D$25</f>
        <v>England</v>
      </c>
      <c r="E94" s="838">
        <f t="array" ref="E94:E97">CalcL!$E$22:$E$25</f>
        <v>9</v>
      </c>
      <c r="F94" s="838">
        <f>G94-I94</f>
        <v>6</v>
      </c>
      <c r="G94" s="839">
        <f t="array" ref="G94:G97">CalcL!$F$22:$F$25</f>
        <v>8</v>
      </c>
      <c r="H94" s="851" t="str">
        <f>Language!$E$197</f>
        <v xml:space="preserve"> - </v>
      </c>
      <c r="I94" s="848">
        <f t="array" ref="I94:I97">CalcL!$G$22:$G$25</f>
        <v>2</v>
      </c>
      <c r="J94" s="845" t="str">
        <f t="array" ref="J94:M97">CalcL!$H$22:$K$25</f>
        <v/>
      </c>
      <c r="K94" s="838" t="str">
        <v>3 - 1</v>
      </c>
      <c r="L94" s="838" t="str">
        <v>3 - 1</v>
      </c>
      <c r="M94" s="840" t="str">
        <v>2 - 0</v>
      </c>
      <c r="O94" s="856" t="str">
        <f t="array" ref="O94:O97">CalcL!$AZ$14:$AZ$17</f>
        <v/>
      </c>
      <c r="P94" s="838" t="str">
        <f t="array" ref="P94:P97">CalcL!$BA$14:$BA$17</f>
        <v/>
      </c>
      <c r="Q94" s="838" t="str">
        <f t="array" ref="Q94:Q97">CalcL!$BB$14:$BB$17</f>
        <v/>
      </c>
      <c r="R94" s="839" t="str">
        <f t="array" ref="R94:R97">CalcL!$BC$14:$BC$17</f>
        <v/>
      </c>
      <c r="S94" s="851" t="str">
        <f>Language!$E$197</f>
        <v xml:space="preserve"> - </v>
      </c>
      <c r="T94" s="848" t="str">
        <f t="shared" ref="T94:T97" si="44">IF(O94="","",R94-Q94)</f>
        <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x14ac:dyDescent="0.2">
      <c r="B95" s="862" t="str">
        <v/>
      </c>
      <c r="D95" s="857" t="str">
        <v>Croatia</v>
      </c>
      <c r="E95" s="829">
        <v>3</v>
      </c>
      <c r="F95" s="829">
        <f t="shared" ref="F95:F97" si="47">G95-I95</f>
        <v>0</v>
      </c>
      <c r="G95" s="834">
        <v>4</v>
      </c>
      <c r="H95" s="836" t="str">
        <f>Language!$E$197</f>
        <v xml:space="preserve"> - </v>
      </c>
      <c r="I95" s="849">
        <v>4</v>
      </c>
      <c r="J95" s="846" t="str">
        <v>1 - 3</v>
      </c>
      <c r="K95" s="830" t="str">
        <v/>
      </c>
      <c r="L95" s="829" t="str">
        <v/>
      </c>
      <c r="M95" s="831" t="str">
        <v>3 - 1</v>
      </c>
      <c r="O95" s="857" t="str">
        <v>Croatia</v>
      </c>
      <c r="P95" s="829">
        <v>0</v>
      </c>
      <c r="Q95" s="829">
        <v>0</v>
      </c>
      <c r="R95" s="834">
        <v>0</v>
      </c>
      <c r="S95" s="836" t="str">
        <f>Language!$E$197</f>
        <v xml:space="preserve"> - </v>
      </c>
      <c r="T95" s="849">
        <f t="shared" si="44"/>
        <v>0</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x14ac:dyDescent="0.2">
      <c r="B96" s="862" t="str">
        <v/>
      </c>
      <c r="D96" s="857" t="str">
        <v>Ghana</v>
      </c>
      <c r="E96" s="829">
        <v>3</v>
      </c>
      <c r="F96" s="829">
        <f t="shared" si="47"/>
        <v>0</v>
      </c>
      <c r="G96" s="834">
        <v>3</v>
      </c>
      <c r="H96" s="836" t="str">
        <f>Language!$E$197</f>
        <v xml:space="preserve"> - </v>
      </c>
      <c r="I96" s="849">
        <v>3</v>
      </c>
      <c r="J96" s="846" t="str">
        <v>1 - 3</v>
      </c>
      <c r="K96" s="829" t="str">
        <v/>
      </c>
      <c r="L96" s="830" t="str">
        <v/>
      </c>
      <c r="M96" s="831" t="str">
        <v>2 - 0</v>
      </c>
      <c r="O96" s="857" t="str">
        <v>Ghana</v>
      </c>
      <c r="P96" s="829">
        <v>0</v>
      </c>
      <c r="Q96" s="829">
        <v>0</v>
      </c>
      <c r="R96" s="834">
        <v>0</v>
      </c>
      <c r="S96" s="836" t="str">
        <f>Language!$E$197</f>
        <v xml:space="preserve"> - </v>
      </c>
      <c r="T96" s="849">
        <f t="shared" si="44"/>
        <v>0</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x14ac:dyDescent="0.25">
      <c r="B97" s="862" t="str">
        <v/>
      </c>
      <c r="D97" s="858" t="str">
        <v>Panama</v>
      </c>
      <c r="E97" s="832">
        <v>0</v>
      </c>
      <c r="F97" s="832">
        <f t="shared" si="47"/>
        <v>-6</v>
      </c>
      <c r="G97" s="835">
        <v>1</v>
      </c>
      <c r="H97" s="837" t="str">
        <f>Language!$E$197</f>
        <v xml:space="preserve"> - </v>
      </c>
      <c r="I97" s="850">
        <v>7</v>
      </c>
      <c r="J97" s="847" t="str">
        <v>0 - 2</v>
      </c>
      <c r="K97" s="832" t="str">
        <v>1 - 3</v>
      </c>
      <c r="L97" s="832" t="str">
        <v>0 - 2</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x14ac:dyDescent="0.2"/>
    <row r="99" spans="2:49" x14ac:dyDescent="0.2">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x14ac:dyDescent="0.2">
      <c r="D100" s="954"/>
      <c r="E100" s="954"/>
      <c r="F100" s="954"/>
      <c r="G100" s="954"/>
      <c r="H100" s="954"/>
      <c r="I100" s="954"/>
      <c r="J100" s="954"/>
      <c r="K100" s="954"/>
      <c r="L100" s="954"/>
      <c r="M100" s="954"/>
    </row>
    <row r="101" spans="2:49" ht="15" customHeight="1" x14ac:dyDescent="0.2">
      <c r="D101" s="954"/>
      <c r="E101" s="954"/>
      <c r="F101" s="954"/>
      <c r="G101" s="954"/>
      <c r="H101" s="954"/>
      <c r="I101" s="954"/>
      <c r="J101" s="954"/>
      <c r="K101" s="954"/>
      <c r="L101" s="954"/>
      <c r="M101" s="954"/>
    </row>
    <row r="102" spans="2:49" x14ac:dyDescent="0.2"/>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3359375" defaultRowHeight="15" zeroHeight="1"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64" t="str">
        <f>Language!$E$204</f>
        <v>Predictions</v>
      </c>
      <c r="C1" s="964"/>
      <c r="D1" s="964"/>
      <c r="E1" s="964"/>
      <c r="F1" s="964"/>
      <c r="G1" s="964"/>
    </row>
    <row r="2" spans="1:345" ht="18.75" customHeight="1" x14ac:dyDescent="0.4">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x14ac:dyDescent="0.25">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x14ac:dyDescent="0.2">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3</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0</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2</v>
      </c>
      <c r="G8" s="242">
        <f>CalcA!$S$24</f>
        <v>0</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2</v>
      </c>
      <c r="G9" s="242">
        <f>CalcA!$S$25</f>
        <v>0</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2</v>
      </c>
      <c r="G10" s="242">
        <f>CalcA!$S$26</f>
        <v>3</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1</v>
      </c>
      <c r="G11" s="242">
        <f>CalcA!$S$27</f>
        <v>2</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2</v>
      </c>
      <c r="G13" s="242">
        <f>CalcB!$S$22</f>
        <v>3</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0</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0</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2</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2</v>
      </c>
      <c r="G17" s="242">
        <f>CalcB!$S$26</f>
        <v>0</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2</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2</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1</v>
      </c>
      <c r="G22" s="242">
        <f>CalcC!$S$24</f>
        <v>3</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3</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0</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2</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2</v>
      </c>
      <c r="G27" s="242">
        <f>CalcD!$S$22</f>
        <v>2</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0</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2</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3</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2</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2</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4</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1</v>
      </c>
      <c r="G35" s="242">
        <f>CalcE!$S$23</f>
        <v>3</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2</v>
      </c>
      <c r="G36" s="242">
        <f>CalcE!$S$24</f>
        <v>0</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3</v>
      </c>
      <c r="G37" s="242">
        <f>CalcE!$S$25</f>
        <v>0</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1</v>
      </c>
      <c r="G38" s="242">
        <f>CalcE!$S$26</f>
        <v>2</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2</v>
      </c>
      <c r="G39" s="242">
        <f>CalcE!$S$27</f>
        <v>1</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3</v>
      </c>
      <c r="G41" s="242">
        <f>CalcF!$S$22</f>
        <v>1</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1</v>
      </c>
      <c r="G44" s="242">
        <f>CalcF!$S$25</f>
        <v>2</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0</v>
      </c>
      <c r="G45" s="242">
        <f>CalcF!$S$26</f>
        <v>2</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1</v>
      </c>
      <c r="G46" s="242">
        <f>CalcF!$S$27</f>
        <v>3</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2</v>
      </c>
      <c r="G48" s="242">
        <f>CalcG!$S$22</f>
        <v>0</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1</v>
      </c>
      <c r="G49" s="242">
        <f>CalcG!$S$23</f>
        <v>0</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2</v>
      </c>
      <c r="G50" s="242">
        <f>CalcG!$S$24</f>
        <v>0</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1</v>
      </c>
      <c r="G51" s="242">
        <f>CalcG!$S$25</f>
        <v>2</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1</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t="str">
        <f>CalcG!$R$27</f>
        <v/>
      </c>
      <c r="G53" s="242" t="str">
        <f>CalcG!$S$27</f>
        <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5</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1</v>
      </c>
      <c r="G56" s="242">
        <f>CalcH!$S$23</f>
        <v>2</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3</v>
      </c>
      <c r="G57" s="242">
        <f>CalcH!$S$24</f>
        <v>0</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3</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0</v>
      </c>
      <c r="G59" s="242">
        <f>CalcH!$S$26</f>
        <v>2</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t="str">
        <f>CalcH!$R$27</f>
        <v/>
      </c>
      <c r="G60" s="242" t="str">
        <f>CalcH!$S$27</f>
        <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2</v>
      </c>
      <c r="G62" s="242">
        <f>CalcI!$S$22</f>
        <v>0</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1</v>
      </c>
      <c r="G63" s="242">
        <f>CalcI!$S$23</f>
        <v>3</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3</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2</v>
      </c>
      <c r="G65" s="242">
        <f>CalcI!$S$25</f>
        <v>1</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1</v>
      </c>
      <c r="G66" s="242">
        <f>CalcI!$S$26</f>
        <v>2</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t="str">
        <f>CalcI!$R$27</f>
        <v/>
      </c>
      <c r="G67" s="242" t="str">
        <f>CalcI!$S$27</f>
        <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3</v>
      </c>
      <c r="G69" s="242">
        <f>CalcJ!$S$22</f>
        <v>0</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2</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2</v>
      </c>
      <c r="G71" s="242">
        <f>CalcJ!$S$24</f>
        <v>3</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0</v>
      </c>
      <c r="G72" s="242">
        <f>CalcJ!$S$25</f>
        <v>1</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0</v>
      </c>
      <c r="G73" s="242">
        <f>CalcJ!$S$26</f>
        <v>1</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t="str">
        <f>CalcJ!$R$27</f>
        <v/>
      </c>
      <c r="G74" s="242" t="str">
        <f>CalcJ!$S$27</f>
        <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3</v>
      </c>
      <c r="G76" s="242">
        <f>CalcK!$S$22</f>
        <v>0</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1</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3</v>
      </c>
      <c r="G78" s="242">
        <f>CalcK!$S$24</f>
        <v>0</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2</v>
      </c>
      <c r="G79" s="242">
        <f>CalcK!$S$25</f>
        <v>0</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0</v>
      </c>
      <c r="G80" s="242">
        <f>CalcK!$S$26</f>
        <v>3</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t="str">
        <f>CalcK!$R$27</f>
        <v/>
      </c>
      <c r="G81" s="242" t="str">
        <f>CalcK!$S$27</f>
        <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3</v>
      </c>
      <c r="G83" s="242">
        <f>CalcL!$S$22</f>
        <v>1</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2</v>
      </c>
      <c r="G84" s="242">
        <f>CalcL!$S$23</f>
        <v>0</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3</v>
      </c>
      <c r="G85" s="242">
        <f>CalcL!$S$24</f>
        <v>1</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1</v>
      </c>
      <c r="G86" s="242">
        <f>CalcL!$S$25</f>
        <v>3</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0</v>
      </c>
      <c r="G87" s="242">
        <f>CalcL!$S$26</f>
        <v>2</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t="str">
        <f>CalcL!$R$27</f>
        <v/>
      </c>
      <c r="G88" s="242" t="str">
        <f>CalcL!$S$27</f>
        <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x14ac:dyDescent="0.2">
      <c r="A90" s="235"/>
      <c r="B90" s="238">
        <f>IF(C90="","",INDEX(Groups!$C$7:$C$65,MATCH(C90,Groups!$D$7:$D$65,0)))</f>
        <v>23</v>
      </c>
      <c r="C90" s="239" t="str">
        <f>'World Cup'!$B$50</f>
        <v>Ecuador</v>
      </c>
      <c r="D90" s="240">
        <f>IF(E90="","",INDEX(Groups!$C$7:$C$65,MATCH(E90,Groups!$D$7:$D$65,0)))</f>
        <v>40</v>
      </c>
      <c r="E90" s="239" t="str">
        <f>'World Cup'!$C$50</f>
        <v>Paraguay</v>
      </c>
      <c r="F90" s="241">
        <f>IF(AND('World Cup'!$B$51&lt;&gt;"",'World Cup'!$C$51&lt;&gt;""),'World Cup'!$B$51+IF(AND('World Cup'!$B$53&lt;&gt;"",'World Cup'!$C$53&lt;&gt;"",'World Cup'!$B$51='World Cup'!$C$51),'World Cup'!$B$53,0),"")</f>
        <v>3</v>
      </c>
      <c r="G90" s="242">
        <f>IF(AND('World Cup'!$B$51&lt;&gt;"",'World Cup'!$C$51&lt;&gt;""),'World Cup'!$C$51+IF(AND('World Cup'!$B$53&lt;&gt;"",'World Cup'!$C$53&lt;&gt;"",'World Cup'!$B$51='World Cup'!$C$51),'World Cup'!$C$53,0),"")</f>
        <v>0</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x14ac:dyDescent="0.2">
      <c r="A91" s="235"/>
      <c r="B91" s="238">
        <f>IF(C91="","",INDEX(Groups!$C$7:$C$65,MATCH(C91,Groups!$D$7:$D$65,0)))</f>
        <v>1</v>
      </c>
      <c r="C91" s="239" t="str">
        <f>'World Cup'!$E$50</f>
        <v>France</v>
      </c>
      <c r="D91" s="240">
        <f>IF(E91="","",INDEX(Groups!$C$7:$C$65,MATCH(E91,Groups!$D$7:$D$65,0)))</f>
        <v>18</v>
      </c>
      <c r="E91" s="239" t="str">
        <f>'World Cup'!$F$50</f>
        <v>Japan</v>
      </c>
      <c r="F91" s="241">
        <f>IF(AND('World Cup'!$E$51&lt;&gt;"",'World Cup'!$F$51&lt;&gt;""),'World Cup'!$E$51+IF(AND('World Cup'!$E$53&lt;&gt;"",'World Cup'!$F$53&lt;&gt;"",'World Cup'!$E$51='World Cup'!$F$51),'World Cup'!$E$53,0),"")</f>
        <v>2</v>
      </c>
      <c r="G91" s="242">
        <f>IF(AND('World Cup'!$E$51&lt;&gt;"",'World Cup'!$F$51&lt;&gt;""),'World Cup'!$F$51+IF(AND('World Cup'!$E$53&lt;&gt;"",'World Cup'!$F$53&lt;&gt;"",'World Cup'!$E$51='World Cup'!$F$51),'World Cup'!$F$53,0),"")</f>
        <v>0</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x14ac:dyDescent="0.2">
      <c r="A92" s="235"/>
      <c r="B92" s="238">
        <f>IF(C92="","",INDEX(Groups!$C$7:$C$65,MATCH(C92,Groups!$D$7:$D$65,0)))</f>
        <v>41</v>
      </c>
      <c r="C92" s="239" t="str">
        <f>'World Cup'!$H$50</f>
        <v>Czech Rep.</v>
      </c>
      <c r="D92" s="240">
        <f>IF(E92="","",INDEX(Groups!$C$7:$C$65,MATCH(E92,Groups!$D$7:$D$65,0)))</f>
        <v>65</v>
      </c>
      <c r="E92" s="239" t="str">
        <f>'World Cup'!$I$50</f>
        <v>Bosnia/Herzeg.</v>
      </c>
      <c r="F92" s="241">
        <f>IF(AND('World Cup'!$H$51&lt;&gt;"",'World Cup'!$I$51&lt;&gt;""),'World Cup'!$H$51+IF(AND('World Cup'!$H$53&lt;&gt;"",'World Cup'!$I$53&lt;&gt;"",'World Cup'!$H$51='World Cup'!$I$51),'World Cup'!$H$53,0),"")</f>
        <v>7</v>
      </c>
      <c r="G92" s="242">
        <f>IF(AND('World Cup'!$H$51&lt;&gt;"",'World Cup'!$I$51&lt;&gt;""),'World Cup'!$I$51+IF(AND('World Cup'!$H$53&lt;&gt;"",'World Cup'!$I$53&lt;&gt;"",'World Cup'!$H$51='World Cup'!$I$51),'World Cup'!$I$53,0),"")</f>
        <v>6</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x14ac:dyDescent="0.2">
      <c r="A93" s="23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Cup'!$K$51+IF(AND('World Cup'!$K$53&lt;&gt;"",'World Cup'!$L$53&lt;&gt;"",'World Cup'!$K$51='World Cup'!$L$51),'World Cup'!$K$53,0),"")</f>
        <v>3</v>
      </c>
      <c r="G93" s="242">
        <f>IF(AND('World Cup'!$K$51&lt;&gt;"",'World Cup'!$L$51&lt;&gt;""),'World Cup'!$L$51+IF(AND('World Cup'!$K$53&lt;&gt;"",'World Cup'!$L$53&lt;&gt;"",'World Cup'!$K$51='World Cup'!$L$51),'World Cup'!$L$53,0),"")</f>
        <v>2</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x14ac:dyDescent="0.2">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0</v>
      </c>
      <c r="G94" s="242">
        <f>IF(AND('World Cup'!$N$51&lt;&gt;"",'World Cup'!$O$51&lt;&gt;""),'World Cup'!$O$51+IF(AND('World Cup'!$N$53&lt;&gt;"",'World Cup'!$O$53&lt;&gt;"",'World Cup'!$N$51='World Cup'!$O$51),'World Cup'!$O$53,0),"")</f>
        <v>2</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x14ac:dyDescent="0.2">
      <c r="A95" s="235"/>
      <c r="B95" s="238">
        <f>IF(C95="","",INDEX(Groups!$C$7:$C$65,MATCH(C95,Groups!$D$7:$D$65,0)))</f>
        <v>2</v>
      </c>
      <c r="C95" s="239" t="str">
        <f>'World Cup'!$Q$50</f>
        <v>Spain</v>
      </c>
      <c r="D95" s="240">
        <f>IF(E95="","",INDEX(Groups!$C$7:$C$65,MATCH(E95,Groups!$D$7:$D$65,0)))</f>
        <v>3</v>
      </c>
      <c r="E95" s="239" t="str">
        <f>'World Cup'!$R$50</f>
        <v>Argentina</v>
      </c>
      <c r="F95" s="241">
        <f>IF(AND('World Cup'!$Q$51&lt;&gt;"",'World Cup'!$R$51&lt;&gt;""),'World Cup'!$Q$51+IF(AND('World Cup'!$Q$53&lt;&gt;"",'World Cup'!$R$53&lt;&gt;"",'World Cup'!$Q$51='World Cup'!$R$51),'World Cup'!$Q$53,0),"")</f>
        <v>3</v>
      </c>
      <c r="G95" s="242">
        <f>IF(AND('World Cup'!$Q$51&lt;&gt;"",'World Cup'!$R$51&lt;&gt;""),'World Cup'!$R$51+IF(AND('World Cup'!$Q$53&lt;&gt;"",'World Cup'!$R$53&lt;&gt;"",'World Cup'!$Q$51='World Cup'!$R$51),'World Cup'!$R$53,0),"")</f>
        <v>0</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x14ac:dyDescent="0.2">
      <c r="A96" s="235"/>
      <c r="B96" s="238">
        <f>IF(C96="","",INDEX(Groups!$C$7:$C$65,MATCH(C96,Groups!$D$7:$D$65,0)))</f>
        <v>22</v>
      </c>
      <c r="C96" s="239" t="str">
        <f>'World Cup'!$T$50</f>
        <v>Turkey</v>
      </c>
      <c r="D96" s="240">
        <f>IF(E96="","",INDEX(Groups!$C$7:$C$65,MATCH(E96,Groups!$D$7:$D$65,0)))</f>
        <v>30</v>
      </c>
      <c r="E96" s="239" t="str">
        <f>'World Cup'!$U$50</f>
        <v>Canada</v>
      </c>
      <c r="F96" s="241">
        <f>IF(AND('World Cup'!$T$51&lt;&gt;"",'World Cup'!$U$51&lt;&gt;""),'World Cup'!$T$51+IF(AND('World Cup'!$T$53&lt;&gt;"",'World Cup'!$U$53&lt;&gt;"",'World Cup'!$T$51='World Cup'!$U$51),'World Cup'!$T$53,0),"")</f>
        <v>2</v>
      </c>
      <c r="G96" s="242">
        <f>IF(AND('World Cup'!$T$51&lt;&gt;"",'World Cup'!$U$51&lt;&gt;""),'World Cup'!$U$51+IF(AND('World Cup'!$T$53&lt;&gt;"",'World Cup'!$U$53&lt;&gt;"",'World Cup'!$T$51='World Cup'!$U$51),'World Cup'!$U$53,0),"")</f>
        <v>0</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x14ac:dyDescent="0.2">
      <c r="A97" s="235"/>
      <c r="B97" s="238">
        <f>IF(C97="","",INDEX(Groups!$C$7:$C$65,MATCH(C97,Groups!$D$7:$D$65,0)))</f>
        <v>9</v>
      </c>
      <c r="C97" s="239" t="str">
        <f>'World Cup'!$W$50</f>
        <v>Belgium</v>
      </c>
      <c r="D97" s="240">
        <f>IF(E97="","",INDEX(Groups!$C$7:$C$65,MATCH(E97,Groups!$D$7:$D$65,0)))</f>
        <v>61</v>
      </c>
      <c r="E97" s="239" t="str">
        <f>'World Cup'!$X$50</f>
        <v>Saudi Arabia</v>
      </c>
      <c r="F97" s="241">
        <f>IF(AND('World Cup'!$W$51&lt;&gt;"",'World Cup'!$X$51&lt;&gt;""),'World Cup'!$W$51+IF(AND('World Cup'!$W$53&lt;&gt;"",'World Cup'!$X$53&lt;&gt;"",'World Cup'!$W$51='World Cup'!$X$51),'World Cup'!$W$53,0),"")</f>
        <v>2</v>
      </c>
      <c r="G97" s="242">
        <f>IF(AND('World Cup'!$W$51&lt;&gt;"",'World Cup'!$X$51&lt;&gt;""),'World Cup'!$X$51+IF(AND('World Cup'!$W$53&lt;&gt;"",'World Cup'!$X$53&lt;&gt;"",'World Cup'!$W$51='World Cup'!$X$51),'World Cup'!$X$53,0),"")</f>
        <v>0</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x14ac:dyDescent="0.2">
      <c r="A98" s="235"/>
      <c r="B98" s="238">
        <f>IF(C98="","",INDEX(Groups!$C$7:$C$65,MATCH(C98,Groups!$D$7:$D$65,0)))</f>
        <v>6</v>
      </c>
      <c r="C98" s="239" t="str">
        <f>'World Cup'!$Z$50</f>
        <v>Brazil</v>
      </c>
      <c r="D98" s="240">
        <f>IF(E98="","",INDEX(Groups!$C$7:$C$65,MATCH(E98,Groups!$D$7:$D$65,0)))</f>
        <v>38</v>
      </c>
      <c r="E98" s="239" t="str">
        <f>'World Cup'!$AA$50</f>
        <v>Sweden</v>
      </c>
      <c r="F98" s="241">
        <f>IF(AND('World Cup'!$Z$51&lt;&gt;"",'World Cup'!$AA$51&lt;&gt;""),'World Cup'!$Z$51+IF(AND('World Cup'!$Z$53&lt;&gt;"",'World Cup'!$AA$53&lt;&gt;"",'World Cup'!$Z$51='World Cup'!$AA$51),'World Cup'!$Z$53,0),"")</f>
        <v>3</v>
      </c>
      <c r="G98" s="242">
        <f>IF(AND('World Cup'!$Z$51&lt;&gt;"",'World Cup'!$AA$51&lt;&gt;""),'World Cup'!$AA$51+IF(AND('World Cup'!$Z$53&lt;&gt;"",'World Cup'!$AA$53&lt;&gt;"",'World Cup'!$Z$51='World Cup'!$AA$51),'World Cup'!$AA$53,0),"")</f>
        <v>1</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x14ac:dyDescent="0.2">
      <c r="A99" s="235"/>
      <c r="B99" s="238">
        <f>IF(C99="","",INDEX(Groups!$C$7:$C$65,MATCH(C99,Groups!$D$7:$D$65,0)))</f>
        <v>10</v>
      </c>
      <c r="C99" s="239" t="str">
        <f>'World Cup'!$AC$50</f>
        <v>Germany</v>
      </c>
      <c r="D99" s="240">
        <f>IF(E99="","",INDEX(Groups!$C$7:$C$65,MATCH(E99,Groups!$D$7:$D$65,0)))</f>
        <v>31</v>
      </c>
      <c r="E99" s="239" t="str">
        <f>'World Cup'!$AD$50</f>
        <v>Norway</v>
      </c>
      <c r="F99" s="241">
        <f>IF(AND('World Cup'!$AC$51&lt;&gt;"",'World Cup'!$AD$51&lt;&gt;""),'World Cup'!$AC$51+IF(AND('World Cup'!$AC$53&lt;&gt;"",'World Cup'!$AD$53&lt;&gt;"",'World Cup'!$AC$51='World Cup'!$AD$51),'World Cup'!$AC$53,0),"")</f>
        <v>2</v>
      </c>
      <c r="G99" s="242">
        <f>IF(AND('World Cup'!$AC$51&lt;&gt;"",'World Cup'!$AD$51&lt;&gt;""),'World Cup'!$AD$51+IF(AND('World Cup'!$AC$53&lt;&gt;"",'World Cup'!$AD$53&lt;&gt;"",'World Cup'!$AC$51='World Cup'!$AD$51),'World Cup'!$AD$53,0),"")</f>
        <v>3</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x14ac:dyDescent="0.2">
      <c r="A100" s="235"/>
      <c r="B100" s="238">
        <f>IF(C100="","",INDEX(Groups!$C$7:$C$65,MATCH(C100,Groups!$D$7:$D$65,0)))</f>
        <v>15</v>
      </c>
      <c r="C100" s="239" t="str">
        <f>'World Cup'!$AF$50</f>
        <v>Mexico</v>
      </c>
      <c r="D100" s="240">
        <f>IF(E100="","",INDEX(Groups!$C$7:$C$65,MATCH(E100,Groups!$D$7:$D$65,0)))</f>
        <v>43</v>
      </c>
      <c r="E100" s="239" t="str">
        <f>'World Cup'!$AG$50</f>
        <v>Scotland</v>
      </c>
      <c r="F100" s="241">
        <f>IF(AND('World Cup'!$AF$51&lt;&gt;"",'World Cup'!$AG$51&lt;&gt;""),'World Cup'!$AF$51+IF(AND('World Cup'!$AF$53&lt;&gt;"",'World Cup'!$AG$53&lt;&gt;"",'World Cup'!$AF$51='World Cup'!$AG$51),'World Cup'!$AF$53,0),"")</f>
        <v>2</v>
      </c>
      <c r="G100" s="242">
        <f>IF(AND('World Cup'!$AF$51&lt;&gt;"",'World Cup'!$AG$51&lt;&gt;""),'World Cup'!$AG$51+IF(AND('World Cup'!$AF$53&lt;&gt;"",'World Cup'!$AG$53&lt;&gt;"",'World Cup'!$AF$51='World Cup'!$AG$51),'World Cup'!$AG$53,0),"")</f>
        <v>0</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x14ac:dyDescent="0.2">
      <c r="A101" s="235"/>
      <c r="B101" s="238">
        <f>IF(C101="","",INDEX(Groups!$C$7:$C$65,MATCH(C101,Groups!$D$7:$D$65,0)))</f>
        <v>4</v>
      </c>
      <c r="C101" s="239" t="str">
        <f>'World Cup'!$AI$50</f>
        <v>England</v>
      </c>
      <c r="D101" s="240">
        <f>IF(E101="","",INDEX(Groups!$C$7:$C$65,MATCH(E101,Groups!$D$7:$D$65,0)))</f>
        <v>34</v>
      </c>
      <c r="E101" s="239" t="str">
        <f>'World Cup'!$AJ$50</f>
        <v>Ivory Coast</v>
      </c>
      <c r="F101" s="241">
        <f>IF(AND('World Cup'!$AI$51&lt;&gt;"",'World Cup'!$AJ$51&lt;&gt;""),'World Cup'!$AI$51+IF(AND('World Cup'!$AI$53&lt;&gt;"",'World Cup'!$AJ$53&lt;&gt;"",'World Cup'!$AI$51='World Cup'!$AJ$51),'World Cup'!$AI$53,0),"")</f>
        <v>3</v>
      </c>
      <c r="G101" s="242">
        <f>IF(AND('World Cup'!$AI$51&lt;&gt;"",'World Cup'!$AJ$51&lt;&gt;""),'World Cup'!$AJ$51+IF(AND('World Cup'!$AI$53&lt;&gt;"",'World Cup'!$AJ$53&lt;&gt;"",'World Cup'!$AI$51='World Cup'!$AJ$51),'World Cup'!$AJ$53,0),"")</f>
        <v>0</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x14ac:dyDescent="0.2">
      <c r="A102" s="235"/>
      <c r="B102" s="238">
        <f>IF(C102="","",INDEX(Groups!$C$7:$C$65,MATCH(C102,Groups!$D$7:$D$65,0)))</f>
        <v>24</v>
      </c>
      <c r="C102" s="239" t="str">
        <f>'World Cup'!$AL$50</f>
        <v>Austria</v>
      </c>
      <c r="D102" s="240">
        <f>IF(E102="","",INDEX(Groups!$C$7:$C$65,MATCH(E102,Groups!$D$7:$D$65,0)))</f>
        <v>17</v>
      </c>
      <c r="E102" s="239" t="str">
        <f>'World Cup'!$AM$50</f>
        <v>Uruguay</v>
      </c>
      <c r="F102" s="241">
        <f>IF(AND('World Cup'!$AL$51&lt;&gt;"",'World Cup'!$AM$51&lt;&gt;""),'World Cup'!$AL$51+IF(AND('World Cup'!$AL$53&lt;&gt;"",'World Cup'!$AM$53&lt;&gt;"",'World Cup'!$AL$51='World Cup'!$AM$51),'World Cup'!$AL$53,0),"")</f>
        <v>2</v>
      </c>
      <c r="G102" s="242">
        <f>IF(AND('World Cup'!$AL$51&lt;&gt;"",'World Cup'!$AM$51&lt;&gt;""),'World Cup'!$AM$51+IF(AND('World Cup'!$AL$53&lt;&gt;"",'World Cup'!$AM$53&lt;&gt;"",'World Cup'!$AL$51='World Cup'!$AM$51),'World Cup'!$AM$53,0),"")</f>
        <v>1</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x14ac:dyDescent="0.2">
      <c r="A103" s="235"/>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Cup'!$AO$51+IF(AND('World Cup'!$AO$53&lt;&gt;"",'World Cup'!$AP$53&lt;&gt;"",'World Cup'!$AO$51='World Cup'!$AP$51),'World Cup'!$AO$53,0),"")</f>
        <v>2</v>
      </c>
      <c r="G103" s="242">
        <f>IF(AND('World Cup'!$AO$51&lt;&gt;"",'World Cup'!$AP$51&lt;&gt;""),'World Cup'!$AP$51+IF(AND('World Cup'!$AO$53&lt;&gt;"",'World Cup'!$AP$53&lt;&gt;"",'World Cup'!$AO$51='World Cup'!$AP$51),'World Cup'!$AP$53,0),"")</f>
        <v>0</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x14ac:dyDescent="0.2">
      <c r="A104" s="235"/>
      <c r="B104" s="238">
        <f>IF(C104="","",INDEX(Groups!$C$7:$C$65,MATCH(C104,Groups!$D$7:$D$65,0)))</f>
        <v>19</v>
      </c>
      <c r="C104" s="239" t="str">
        <f>'World Cup'!$AR$50</f>
        <v>Switzerland</v>
      </c>
      <c r="D104" s="240">
        <f>IF(E104="","",INDEX(Groups!$C$7:$C$65,MATCH(E104,Groups!$D$7:$D$65,0)))</f>
        <v>21</v>
      </c>
      <c r="E104" s="239" t="str">
        <f>'World Cup'!$AS$50</f>
        <v>IR Iran</v>
      </c>
      <c r="F104" s="241">
        <f>IF(AND('World Cup'!$AR$51&lt;&gt;"",'World Cup'!$AS$51&lt;&gt;""),'World Cup'!$AR$51+IF(AND('World Cup'!$AR$53&lt;&gt;"",'World Cup'!$AS$53&lt;&gt;"",'World Cup'!$AR$51='World Cup'!$AS$51),'World Cup'!$AR$53,0),"")</f>
        <v>2</v>
      </c>
      <c r="G104" s="242">
        <f>IF(AND('World Cup'!$AR$51&lt;&gt;"",'World Cup'!$AS$51&lt;&gt;""),'World Cup'!$AS$51+IF(AND('World Cup'!$AR$53&lt;&gt;"",'World Cup'!$AS$53&lt;&gt;"",'World Cup'!$AR$51='World Cup'!$AS$51),'World Cup'!$AS$53,0),"")</f>
        <v>0</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x14ac:dyDescent="0.2">
      <c r="A105" s="23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Cup'!$AU$51+IF(AND('World Cup'!$AU$53&lt;&gt;"",'World Cup'!$AV$53&lt;&gt;"",'World Cup'!$AU$51='World Cup'!$AV$51),'World Cup'!$AU$53,0),"")</f>
        <v>3</v>
      </c>
      <c r="G105" s="242">
        <f>IF(AND('World Cup'!$AU$51&lt;&gt;"",'World Cup'!$AV$51&lt;&gt;""),'World Cup'!$AV$51+IF(AND('World Cup'!$AU$53&lt;&gt;"",'World Cup'!$AV$53&lt;&gt;"",'World Cup'!$AU$51='World Cup'!$AV$51),'World Cup'!$AV$53,0),"")</f>
        <v>0</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x14ac:dyDescent="0.2">
      <c r="A107" s="235"/>
      <c r="B107" s="238">
        <f>IF(C107="","",INDEX(Groups!$C$7:$C$65,MATCH(C107,Groups!$D$7:$D$65,0)))</f>
        <v>23</v>
      </c>
      <c r="C107" s="239" t="str">
        <f>'World Cup'!$B$60</f>
        <v>Ecuador</v>
      </c>
      <c r="D107" s="240">
        <f>IF(E107="","",INDEX(Groups!$C$7:$C$65,MATCH(E107,Groups!$D$7:$D$65,0)))</f>
        <v>1</v>
      </c>
      <c r="E107" s="239" t="str">
        <f>'World Cup'!$C$60</f>
        <v>France</v>
      </c>
      <c r="F107" s="241">
        <f>IF(AND('World Cup'!$B$61&lt;&gt;"",'World Cup'!$C$61&lt;&gt;""),'World Cup'!$B$61+IF(AND('World Cup'!$B$63&lt;&gt;"",'World Cup'!$C$63&lt;&gt;"",'World Cup'!$B$61='World Cup'!$C$61),'World Cup'!$B$63,0),"")</f>
        <v>2</v>
      </c>
      <c r="G107" s="242">
        <f>IF(AND('World Cup'!$B$61&lt;&gt;"",'World Cup'!$C$61&lt;&gt;""),'World Cup'!$C$61+IF(AND('World Cup'!$B$63&lt;&gt;"",'World Cup'!$C$63&lt;&gt;"",'World Cup'!$B$61='World Cup'!$C$61),'World Cup'!$C$63,0),"")</f>
        <v>3</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x14ac:dyDescent="0.2">
      <c r="A108" s="235"/>
      <c r="B108" s="238">
        <f>IF(C108="","",INDEX(Groups!$C$7:$C$65,MATCH(C108,Groups!$D$7:$D$65,0)))</f>
        <v>41</v>
      </c>
      <c r="C108" s="239" t="str">
        <f>'World Cup'!$E$60</f>
        <v>Czech Rep.</v>
      </c>
      <c r="D108" s="240">
        <f>IF(E108="","",INDEX(Groups!$C$7:$C$65,MATCH(E108,Groups!$D$7:$D$65,0)))</f>
        <v>7</v>
      </c>
      <c r="E108" s="239" t="str">
        <f>'World Cup'!$F$60</f>
        <v>Netherlands</v>
      </c>
      <c r="F108" s="241">
        <f>IF(AND('World Cup'!$E$61&lt;&gt;"",'World Cup'!$F$61&lt;&gt;""),'World Cup'!$E$61+IF(AND('World Cup'!$E$63&lt;&gt;"",'World Cup'!$F$63&lt;&gt;"",'World Cup'!$E$61='World Cup'!$F$61),'World Cup'!$E$63,0),"")</f>
        <v>0</v>
      </c>
      <c r="G108" s="242">
        <f>IF(AND('World Cup'!$E$61&lt;&gt;"",'World Cup'!$F$61&lt;&gt;""),'World Cup'!$F$61+IF(AND('World Cup'!$E$63&lt;&gt;"",'World Cup'!$F$63&lt;&gt;"",'World Cup'!$E$61='World Cup'!$F$61),'World Cup'!$F$63,0),"")</f>
        <v>2</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Cup'!$H$61+IF(AND('World Cup'!$H$63&lt;&gt;"",'World Cup'!$I$63&lt;&gt;"",'World Cup'!$H$61='World Cup'!$I$61),'World Cup'!$H$63,0),"")</f>
        <v>0</v>
      </c>
      <c r="G109" s="242">
        <f>IF(AND('World Cup'!$H$61&lt;&gt;"",'World Cup'!$I$61&lt;&gt;""),'World Cup'!$I$61+IF(AND('World Cup'!$H$63&lt;&gt;"",'World Cup'!$I$63&lt;&gt;"",'World Cup'!$H$61='World Cup'!$I$61),'World Cup'!$I$63,0),"")</f>
        <v>3</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x14ac:dyDescent="0.2">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Cup'!$K$61+IF(AND('World Cup'!$K$63&lt;&gt;"",'World Cup'!$L$63&lt;&gt;"",'World Cup'!$K$61='World Cup'!$L$61),'World Cup'!$K$63,0),"")</f>
        <v>1</v>
      </c>
      <c r="G110" s="242">
        <f>IF(AND('World Cup'!$K$61&lt;&gt;"",'World Cup'!$L$61&lt;&gt;""),'World Cup'!$L$61+IF(AND('World Cup'!$K$63&lt;&gt;"",'World Cup'!$L$63&lt;&gt;"",'World Cup'!$K$61='World Cup'!$L$61),'World Cup'!$L$63,0),"")</f>
        <v>2</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x14ac:dyDescent="0.2">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Cup'!$N$61+IF(AND('World Cup'!$N$63&lt;&gt;"",'World Cup'!$O$63&lt;&gt;"",'World Cup'!$N$61='World Cup'!$O$61),'World Cup'!$N$63,0),"")</f>
        <v>2</v>
      </c>
      <c r="G111" s="242">
        <f>IF(AND('World Cup'!$N$61&lt;&gt;"",'World Cup'!$O$61&lt;&gt;""),'World Cup'!$O$61+IF(AND('World Cup'!$N$63&lt;&gt;"",'World Cup'!$O$63&lt;&gt;"",'World Cup'!$N$61='World Cup'!$O$61),'World Cup'!$O$63,0),"")</f>
        <v>1</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x14ac:dyDescent="0.2">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Cup'!$Q$61+IF(AND('World Cup'!$Q$63&lt;&gt;"",'World Cup'!$R$63&lt;&gt;"",'World Cup'!$Q$61='World Cup'!$R$61),'World Cup'!$Q$63,0),"")</f>
        <v>1</v>
      </c>
      <c r="G112" s="242">
        <f>IF(AND('World Cup'!$Q$61&lt;&gt;"",'World Cup'!$R$61&lt;&gt;""),'World Cup'!$R$61+IF(AND('World Cup'!$Q$63&lt;&gt;"",'World Cup'!$R$63&lt;&gt;"",'World Cup'!$Q$61='World Cup'!$R$61),'World Cup'!$R$63,0),"")</f>
        <v>3</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x14ac:dyDescent="0.2">
      <c r="A113" s="235"/>
      <c r="B113" s="238">
        <f>IF(C113="","",INDEX(Groups!$C$7:$C$65,MATCH(C113,Groups!$D$7:$D$65,0)))</f>
        <v>24</v>
      </c>
      <c r="C113" s="239" t="str">
        <f>'World Cup'!$T$60</f>
        <v>Austria</v>
      </c>
      <c r="D113" s="240">
        <f>IF(E113="","",INDEX(Groups!$C$7:$C$65,MATCH(E113,Groups!$D$7:$D$65,0)))</f>
        <v>16</v>
      </c>
      <c r="E113" s="239" t="str">
        <f>'World Cup'!$U$60</f>
        <v>USA</v>
      </c>
      <c r="F113" s="241">
        <f>IF(AND('World Cup'!$T$61&lt;&gt;"",'World Cup'!$U$61&lt;&gt;""),'World Cup'!$T$61+IF(AND('World Cup'!$T$63&lt;&gt;"",'World Cup'!$U$63&lt;&gt;"",'World Cup'!$T$61='World Cup'!$U$61),'World Cup'!$T$63,0),"")</f>
        <v>2</v>
      </c>
      <c r="G113" s="242">
        <f>IF(AND('World Cup'!$T$61&lt;&gt;"",'World Cup'!$U$61&lt;&gt;""),'World Cup'!$U$61+IF(AND('World Cup'!$T$63&lt;&gt;"",'World Cup'!$U$63&lt;&gt;"",'World Cup'!$T$61='World Cup'!$U$61),'World Cup'!$U$63,0),"")</f>
        <v>1</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x14ac:dyDescent="0.2">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2</v>
      </c>
      <c r="G114" s="242">
        <f>IF(AND('World Cup'!$W$61&lt;&gt;"",'World Cup'!$X$61&lt;&gt;""),'World Cup'!$X$61+IF(AND('World Cup'!$W$63&lt;&gt;"",'World Cup'!$X$63&lt;&gt;"",'World Cup'!$W$61='World Cup'!$X$61),'World Cup'!$X$63,0),"")</f>
        <v>3</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x14ac:dyDescent="0.2">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Cup'!$C$71+IF(AND('World Cup'!$C$73&lt;&gt;"",'World Cup'!$E$73&lt;&gt;"",'World Cup'!$C$71='World Cup'!$E$71),'World Cup'!$C$73,0),"")</f>
        <v>3</v>
      </c>
      <c r="G116" s="242">
        <f>IF(AND('World Cup'!$C$71&lt;&gt;"",'World Cup'!$E$71&lt;&gt;""),'World Cup'!$E$71+IF(AND('World Cup'!$C$73&lt;&gt;"",'World Cup'!$E$73&lt;&gt;"",'World Cup'!$C$71='World Cup'!$E$71),'World Cup'!$E$73,0),"")</f>
        <v>2</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3</v>
      </c>
      <c r="G117" s="242">
        <f>IF(AND('World Cup'!$I$71&lt;&gt;"",'World Cup'!$K$71&lt;&gt;""),'World Cup'!$K$71+IF(AND('World Cup'!$I$73&lt;&gt;"",'World Cup'!$K$73&lt;&gt;"",'World Cup'!$I$71='World Cup'!$K$71),'World Cup'!$K$73,0),"")</f>
        <v>0</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x14ac:dyDescent="0.2">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6</v>
      </c>
      <c r="G118" s="242">
        <f>IF(AND('World Cup'!$O$71&lt;&gt;"",'World Cup'!$Q$71&lt;&gt;""),'World Cup'!$Q$71+IF(AND('World Cup'!$O$73&lt;&gt;"",'World Cup'!$Q$73&lt;&gt;"",'World Cup'!$O$71='World Cup'!$Q$71),'World Cup'!$Q$73,0),"")</f>
        <v>4</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x14ac:dyDescent="0.2">
      <c r="B119" s="238">
        <f>IF(C119="","",INDEX(Groups!$C$7:$C$65,MATCH(C119,Groups!$D$7:$D$65,0)))</f>
        <v>24</v>
      </c>
      <c r="C119" s="239" t="str">
        <f>'World Cup'!$U$70</f>
        <v>Austria</v>
      </c>
      <c r="D119" s="240">
        <f>IF(E119="","",INDEX(Groups!$C$7:$C$65,MATCH(E119,Groups!$D$7:$D$65,0)))</f>
        <v>5</v>
      </c>
      <c r="E119" s="239" t="str">
        <f>'World Cup'!$W$70</f>
        <v>Portugal</v>
      </c>
      <c r="F119" s="241">
        <f>IF(AND('World Cup'!$U$71&lt;&gt;"",'World Cup'!$W$71&lt;&gt;""),'World Cup'!$U$71+IF(AND('World Cup'!$U$73&lt;&gt;"",'World Cup'!$W$73&lt;&gt;"",'World Cup'!$U$71='World Cup'!$W$71),'World Cup'!$U$73,0),"")</f>
        <v>1</v>
      </c>
      <c r="G119" s="242">
        <f>IF(AND('World Cup'!$U$71&lt;&gt;"",'World Cup'!$W$71&lt;&gt;""),'World Cup'!$W$71+IF(AND('World Cup'!$U$73&lt;&gt;"",'World Cup'!$W$73&lt;&gt;"",'World Cup'!$U$71='World Cup'!$W$71),'World Cup'!$W$73,0),"")</f>
        <v>3</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x14ac:dyDescent="0.2">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Cup'!$F$81+IF(AND('World Cup'!$F$83&lt;&gt;"",'World Cup'!$H$83&lt;&gt;"",'World Cup'!$F$81='World Cup'!$H$81),'World Cup'!$F$83,0),"")</f>
        <v>3</v>
      </c>
      <c r="G121" s="242">
        <f>IF(AND('World Cup'!$F$81&lt;&gt;"",'World Cup'!$H$81&lt;&gt;""),'World Cup'!$H$81+IF(AND('World Cup'!$F$83&lt;&gt;"",'World Cup'!$H$83&lt;&gt;"",'World Cup'!$F$81='World Cup'!$H$81),'World Cup'!$H$83,0),"")</f>
        <v>2</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x14ac:dyDescent="0.2">
      <c r="B122" s="238">
        <f>IF(C122="","",INDEX(Groups!$C$7:$C$65,MATCH(C122,Groups!$D$7:$D$65,0)))</f>
        <v>6</v>
      </c>
      <c r="C122" s="239" t="str">
        <f>'World Cup'!$R$80</f>
        <v>Brazil</v>
      </c>
      <c r="D122" s="240">
        <f>IF(E122="","",INDEX(Groups!$C$7:$C$65,MATCH(E122,Groups!$D$7:$D$65,0)))</f>
        <v>5</v>
      </c>
      <c r="E122" s="239" t="str">
        <f>'World Cup'!$T$80</f>
        <v>Portugal</v>
      </c>
      <c r="F122" s="241">
        <f>IF(AND('World Cup'!$R$81&lt;&gt;"",'World Cup'!$T$81&lt;&gt;""),'World Cup'!$R$81+IF(AND('World Cup'!$R$83&lt;&gt;"",'World Cup'!$T$83&lt;&gt;"",'World Cup'!$R$81='World Cup'!$T$81),'World Cup'!$R$83,0),"")</f>
        <v>6</v>
      </c>
      <c r="G122" s="242">
        <f>IF(AND('World Cup'!$R$81&lt;&gt;"",'World Cup'!$T$81&lt;&gt;""),'World Cup'!$T$81+IF(AND('World Cup'!$R$83&lt;&gt;"",'World Cup'!$T$83&lt;&gt;"",'World Cup'!$R$81='World Cup'!$T$81),'World Cup'!$T$83,0),"")</f>
        <v>8</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x14ac:dyDescent="0.2">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x14ac:dyDescent="0.2">
      <c r="B124" s="238">
        <f>IF(C124="","",INDEX(Groups!$C$7:$C$65,MATCH(C124,Groups!$D$7:$D$65,0)))</f>
        <v>2</v>
      </c>
      <c r="C124" s="239" t="str">
        <f>'World Cup'!$L$88</f>
        <v>Spain</v>
      </c>
      <c r="D124" s="240">
        <f>IF(E124="","",INDEX(Groups!$C$7:$C$65,MATCH(E124,Groups!$D$7:$D$65,0)))</f>
        <v>6</v>
      </c>
      <c r="E124" s="239" t="str">
        <f>'World Cup'!$N$88</f>
        <v>Brazil</v>
      </c>
      <c r="F124" s="241">
        <f>IF(AND('World Cup'!$L$89&lt;&gt;"",'World Cup'!$N$89&lt;&gt;""),'World Cup'!$L$89+IF(AND('World Cup'!$L$91&lt;&gt;"",'World Cup'!$N$91&lt;&gt;"",'World Cup'!$L$89='World Cup'!$N$89),'World Cup'!$L$91,0),"")</f>
        <v>2</v>
      </c>
      <c r="G124" s="242">
        <f>IF(AND('World Cup'!$L$89&lt;&gt;"",'World Cup'!$N$89&lt;&gt;""),'World Cup'!$N$89+IF(AND('World Cup'!$L$91&lt;&gt;"",'World Cup'!$N$91&lt;&gt;"",'World Cup'!$L$89='World Cup'!$N$89),'World Cup'!$N$91,0),"")</f>
        <v>0</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x14ac:dyDescent="0.2">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5.75" thickBot="1" x14ac:dyDescent="0.25">
      <c r="B126" s="243">
        <f>IF(C126="","",INDEX(Groups!$C$7:$C$65,MATCH(C126,Groups!$D$7:$D$65,0)))</f>
        <v>1</v>
      </c>
      <c r="C126" s="244" t="str">
        <f>'World Cup'!$L$98</f>
        <v>France</v>
      </c>
      <c r="D126" s="245">
        <f>IF(E126="","",INDEX(Groups!$C$7:$C$65,MATCH(E126,Groups!$D$7:$D$65,0)))</f>
        <v>5</v>
      </c>
      <c r="E126" s="246" t="str">
        <f>'World Cup'!$N$98</f>
        <v>Portugal</v>
      </c>
      <c r="F126" s="352">
        <f>IF(AND('World Cup'!$L$99&lt;&gt;"",'World Cup'!$N$99&lt;&gt;""),'World Cup'!$L$99+IF(AND('World Cup'!$L$101&lt;&gt;"",'World Cup'!$N$101&lt;&gt;"",'World Cup'!$L$99='World Cup'!$N$99),'World Cup'!$L$101,0),"")</f>
        <v>2</v>
      </c>
      <c r="G126" s="353">
        <f>IF(AND('World Cup'!$L$99&lt;&gt;"",'World Cup'!$N$99&lt;&gt;""),'World Cup'!$N$99+IF(AND('World Cup'!$L$101&lt;&gt;"",'World Cup'!$N$101&lt;&gt;"",'World Cup'!$L$99='World Cup'!$N$99),'World Cup'!$N$101,0),"")</f>
        <v>3</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x14ac:dyDescent="0.2">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5.75" thickBot="1" x14ac:dyDescent="0.25">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x14ac:dyDescent="0.2">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x14ac:dyDescent="0.2">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5.75" thickBot="1" x14ac:dyDescent="0.25">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x14ac:dyDescent="0.25">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x14ac:dyDescent="0.2"/>
    <row r="134" spans="2:345" ht="15.75" thickBot="1" x14ac:dyDescent="0.25">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x14ac:dyDescent="0.2">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x14ac:dyDescent="0.2">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x14ac:dyDescent="0.2">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x14ac:dyDescent="0.2">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x14ac:dyDescent="0.2">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x14ac:dyDescent="0.2">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x14ac:dyDescent="0.2">
      <c r="B141" s="958" t="str">
        <f>Language!$E$232</f>
        <v>The factors for the individual categories and other presettings can be selected on the 'PrSettings' worksheet.</v>
      </c>
      <c r="C141" s="959"/>
      <c r="D141" s="959"/>
      <c r="E141" s="959"/>
      <c r="F141" s="959"/>
      <c r="G141" s="959"/>
      <c r="H141" s="960"/>
    </row>
    <row r="142" spans="2:345" x14ac:dyDescent="0.2">
      <c r="B142" s="958"/>
      <c r="C142" s="959"/>
      <c r="D142" s="959"/>
      <c r="E142" s="959"/>
      <c r="F142" s="959"/>
      <c r="G142" s="959"/>
      <c r="H142" s="960"/>
    </row>
    <row r="143" spans="2:345" ht="15.75" thickBot="1" x14ac:dyDescent="0.25">
      <c r="B143" s="961"/>
      <c r="C143" s="962"/>
      <c r="D143" s="962"/>
      <c r="E143" s="962"/>
      <c r="F143" s="962"/>
      <c r="G143" s="962"/>
      <c r="H143" s="963"/>
    </row>
    <row r="144" spans="2:345" ht="15.75" thickTop="1" x14ac:dyDescent="0.2">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x14ac:dyDescent="0.2">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x14ac:dyDescent="0.2">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x14ac:dyDescent="0.2">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x14ac:dyDescent="0.2">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x14ac:dyDescent="0.2">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x14ac:dyDescent="0.2">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x14ac:dyDescent="0.2">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x14ac:dyDescent="0.2">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x14ac:dyDescent="0.2">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x14ac:dyDescent="0.2">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x14ac:dyDescent="0.2">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x14ac:dyDescent="0.2">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x14ac:dyDescent="0.2"/>
    <row r="105"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3359375" defaultRowHeight="15"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89" t="str">
        <f>Language!$E$204</f>
        <v>Predictions</v>
      </c>
      <c r="C1" s="989"/>
      <c r="D1" s="989"/>
      <c r="E1" s="989"/>
      <c r="F1" s="989"/>
      <c r="G1" s="989"/>
    </row>
    <row r="2" spans="1:345" ht="18.75" customHeight="1" x14ac:dyDescent="0.4">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x14ac:dyDescent="0.25">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x14ac:dyDescent="0.2">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3</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0</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2</v>
      </c>
      <c r="G8" s="242">
        <f>CalcA!$S$24</f>
        <v>0</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2</v>
      </c>
      <c r="G9" s="242">
        <f>CalcA!$S$25</f>
        <v>0</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2</v>
      </c>
      <c r="G10" s="242">
        <f>CalcA!$S$26</f>
        <v>3</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1</v>
      </c>
      <c r="G11" s="242">
        <f>CalcA!$S$27</f>
        <v>2</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2</v>
      </c>
      <c r="G13" s="242">
        <f>CalcB!$S$22</f>
        <v>3</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0</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0</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2</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2</v>
      </c>
      <c r="G17" s="242">
        <f>CalcB!$S$26</f>
        <v>0</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2</v>
      </c>
      <c r="G18" s="242">
        <f>CalcB!$S$27</f>
        <v>1</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2</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1</v>
      </c>
      <c r="G22" s="242">
        <f>CalcC!$S$24</f>
        <v>3</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3</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0</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2</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2</v>
      </c>
      <c r="G27" s="242">
        <f>CalcD!$S$22</f>
        <v>2</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0</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2</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3</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2</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2</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4</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1</v>
      </c>
      <c r="G35" s="242">
        <f>CalcE!$S$23</f>
        <v>3</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2</v>
      </c>
      <c r="G36" s="242">
        <f>CalcE!$S$24</f>
        <v>0</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3</v>
      </c>
      <c r="G37" s="242">
        <f>CalcE!$S$25</f>
        <v>0</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1</v>
      </c>
      <c r="G38" s="242">
        <f>CalcE!$S$26</f>
        <v>2</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2</v>
      </c>
      <c r="G39" s="242">
        <f>CalcE!$S$27</f>
        <v>1</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3</v>
      </c>
      <c r="G41" s="242">
        <f>CalcF!$S$22</f>
        <v>1</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1</v>
      </c>
      <c r="G44" s="242">
        <f>CalcF!$S$25</f>
        <v>2</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0</v>
      </c>
      <c r="G45" s="242">
        <f>CalcF!$S$26</f>
        <v>2</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1</v>
      </c>
      <c r="G46" s="242">
        <f>CalcF!$S$27</f>
        <v>3</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2</v>
      </c>
      <c r="G48" s="242">
        <f>CalcG!$S$22</f>
        <v>0</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1</v>
      </c>
      <c r="G49" s="242">
        <f>CalcG!$S$23</f>
        <v>0</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2</v>
      </c>
      <c r="G50" s="242">
        <f>CalcG!$S$24</f>
        <v>0</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1</v>
      </c>
      <c r="G51" s="242">
        <f>CalcG!$S$25</f>
        <v>2</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1</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t="str">
        <f>CalcG!$R$27</f>
        <v/>
      </c>
      <c r="G53" s="242" t="str">
        <f>CalcG!$S$27</f>
        <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5</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1</v>
      </c>
      <c r="G56" s="242">
        <f>CalcH!$S$23</f>
        <v>2</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3</v>
      </c>
      <c r="G57" s="242">
        <f>CalcH!$S$24</f>
        <v>0</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3</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0</v>
      </c>
      <c r="G59" s="242">
        <f>CalcH!$S$26</f>
        <v>2</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t="str">
        <f>CalcH!$R$27</f>
        <v/>
      </c>
      <c r="G60" s="242" t="str">
        <f>CalcH!$S$27</f>
        <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2</v>
      </c>
      <c r="G62" s="242">
        <f>CalcI!$S$22</f>
        <v>0</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1</v>
      </c>
      <c r="G63" s="242">
        <f>CalcI!$S$23</f>
        <v>3</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3</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2</v>
      </c>
      <c r="G65" s="242">
        <f>CalcI!$S$25</f>
        <v>1</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1</v>
      </c>
      <c r="G66" s="242">
        <f>CalcI!$S$26</f>
        <v>2</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t="str">
        <f>CalcI!$R$27</f>
        <v/>
      </c>
      <c r="G67" s="242" t="str">
        <f>CalcI!$S$27</f>
        <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3</v>
      </c>
      <c r="G69" s="242">
        <f>CalcJ!$S$22</f>
        <v>0</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2</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2</v>
      </c>
      <c r="G71" s="242">
        <f>CalcJ!$S$24</f>
        <v>3</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0</v>
      </c>
      <c r="G72" s="242">
        <f>CalcJ!$S$25</f>
        <v>1</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0</v>
      </c>
      <c r="G73" s="242">
        <f>CalcJ!$S$26</f>
        <v>1</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t="str">
        <f>CalcJ!$R$27</f>
        <v/>
      </c>
      <c r="G74" s="242" t="str">
        <f>CalcJ!$S$27</f>
        <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3</v>
      </c>
      <c r="G76" s="242">
        <f>CalcK!$S$22</f>
        <v>0</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1</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3</v>
      </c>
      <c r="G78" s="242">
        <f>CalcK!$S$24</f>
        <v>0</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2</v>
      </c>
      <c r="G79" s="242">
        <f>CalcK!$S$25</f>
        <v>0</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0</v>
      </c>
      <c r="G80" s="242">
        <f>CalcK!$S$26</f>
        <v>3</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t="str">
        <f>CalcK!$R$27</f>
        <v/>
      </c>
      <c r="G81" s="242" t="str">
        <f>CalcK!$S$27</f>
        <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3</v>
      </c>
      <c r="G83" s="242">
        <f>CalcL!$S$22</f>
        <v>1</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2</v>
      </c>
      <c r="G84" s="242">
        <f>CalcL!$S$23</f>
        <v>0</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3</v>
      </c>
      <c r="G85" s="242">
        <f>CalcL!$S$24</f>
        <v>1</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1</v>
      </c>
      <c r="G86" s="242">
        <f>CalcL!$S$25</f>
        <v>3</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0</v>
      </c>
      <c r="G87" s="242">
        <f>CalcL!$S$26</f>
        <v>2</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t="str">
        <f>CalcL!$R$27</f>
        <v/>
      </c>
      <c r="G88" s="242" t="str">
        <f>CalcL!$S$27</f>
        <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x14ac:dyDescent="0.2">
      <c r="B90" s="238">
        <f>IF(C90="","",INDEX(Groups!$C$7:$C$65,MATCH(C90,Groups!$D$7:$D$65,0)))</f>
        <v>23</v>
      </c>
      <c r="C90" s="239" t="str">
        <f>'World Cup'!$B$50</f>
        <v>Ecuador</v>
      </c>
      <c r="D90" s="240">
        <f>IF(E90="","",INDEX(Groups!$C$7:$C$65,MATCH(E90,Groups!$D$7:$D$65,0)))</f>
        <v>40</v>
      </c>
      <c r="E90" s="239" t="str">
        <f>'World Cup'!$C$50</f>
        <v>Paraguay</v>
      </c>
      <c r="F90" s="241">
        <f>IF(AND('World Cup'!$B$51&lt;&gt;"",'World Cup'!$C$51&lt;&gt;""),'World Cup'!$B$51,"")</f>
        <v>3</v>
      </c>
      <c r="G90" s="242">
        <f>IF(AND('World Cup'!$B$51&lt;&gt;"",'World Cup'!$C$51&lt;&gt;""),'World Cup'!$C$51,"")</f>
        <v>0</v>
      </c>
      <c r="I90" s="238">
        <f>$B90</f>
        <v>23</v>
      </c>
      <c r="J90" s="239" t="str">
        <f>$C90</f>
        <v>Ecuador</v>
      </c>
      <c r="K90" s="240">
        <f>$D90</f>
        <v>40</v>
      </c>
      <c r="L90" s="239" t="str">
        <f>$E90</f>
        <v>Paraguay</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23</v>
      </c>
      <c r="W90" s="239" t="str">
        <f>$C90</f>
        <v>Ecuador</v>
      </c>
      <c r="X90" s="240">
        <f>$D90</f>
        <v>40</v>
      </c>
      <c r="Y90" s="239" t="str">
        <f>$E90</f>
        <v>Paraguay</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23</v>
      </c>
      <c r="AJ90" s="239" t="str">
        <f>$C90</f>
        <v>Ecuador</v>
      </c>
      <c r="AK90" s="240">
        <f>$D90</f>
        <v>40</v>
      </c>
      <c r="AL90" s="239" t="str">
        <f>$E90</f>
        <v>Paraguay</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23</v>
      </c>
      <c r="AW90" s="239" t="str">
        <f>$C90</f>
        <v>Ecuador</v>
      </c>
      <c r="AX90" s="240">
        <f>$D90</f>
        <v>40</v>
      </c>
      <c r="AY90" s="239" t="str">
        <f>$E90</f>
        <v>Paraguay</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23</v>
      </c>
      <c r="BJ90" s="239" t="str">
        <f>$C90</f>
        <v>Ecuador</v>
      </c>
      <c r="BK90" s="240">
        <f>$D90</f>
        <v>40</v>
      </c>
      <c r="BL90" s="239" t="str">
        <f>$E90</f>
        <v>Paraguay</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23</v>
      </c>
      <c r="BW90" s="239" t="str">
        <f>$C90</f>
        <v>Ecuador</v>
      </c>
      <c r="BX90" s="240">
        <f>$D90</f>
        <v>40</v>
      </c>
      <c r="BY90" s="239" t="str">
        <f>$E90</f>
        <v>Paraguay</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23</v>
      </c>
      <c r="CJ90" s="239" t="str">
        <f>$C90</f>
        <v>Ecuador</v>
      </c>
      <c r="CK90" s="240">
        <f>$D90</f>
        <v>40</v>
      </c>
      <c r="CL90" s="239" t="str">
        <f>$E90</f>
        <v>Paraguay</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23</v>
      </c>
      <c r="CW90" s="239" t="str">
        <f>$C90</f>
        <v>Ecuador</v>
      </c>
      <c r="CX90" s="240">
        <f>$D90</f>
        <v>40</v>
      </c>
      <c r="CY90" s="239" t="str">
        <f>$E90</f>
        <v>Paraguay</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23</v>
      </c>
      <c r="DJ90" s="239" t="str">
        <f>$C90</f>
        <v>Ecuador</v>
      </c>
      <c r="DK90" s="240">
        <f>$D90</f>
        <v>40</v>
      </c>
      <c r="DL90" s="239" t="str">
        <f>$E90</f>
        <v>Paraguay</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23</v>
      </c>
      <c r="DW90" s="239" t="str">
        <f>$C90</f>
        <v>Ecuador</v>
      </c>
      <c r="DX90" s="240">
        <f>$D90</f>
        <v>40</v>
      </c>
      <c r="DY90" s="239" t="str">
        <f>$E90</f>
        <v>Paraguay</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23</v>
      </c>
      <c r="EJ90" s="239" t="str">
        <f>$C90</f>
        <v>Ecuador</v>
      </c>
      <c r="EK90" s="240">
        <f>$D90</f>
        <v>40</v>
      </c>
      <c r="EL90" s="239" t="str">
        <f>$E90</f>
        <v>Paraguay</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23</v>
      </c>
      <c r="EW90" s="239" t="str">
        <f>$C90</f>
        <v>Ecuador</v>
      </c>
      <c r="EX90" s="240">
        <f>$D90</f>
        <v>40</v>
      </c>
      <c r="EY90" s="239" t="str">
        <f>$E90</f>
        <v>Paraguay</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23</v>
      </c>
      <c r="FJ90" s="239" t="str">
        <f>$C90</f>
        <v>Ecuador</v>
      </c>
      <c r="FK90" s="240">
        <f>$D90</f>
        <v>40</v>
      </c>
      <c r="FL90" s="239" t="str">
        <f>$E90</f>
        <v>Paraguay</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23</v>
      </c>
      <c r="FW90" s="239" t="str">
        <f>$C90</f>
        <v>Ecuador</v>
      </c>
      <c r="FX90" s="240">
        <f>$D90</f>
        <v>40</v>
      </c>
      <c r="FY90" s="239" t="str">
        <f>$E90</f>
        <v>Paraguay</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23</v>
      </c>
      <c r="GJ90" s="239" t="str">
        <f>$C90</f>
        <v>Ecuador</v>
      </c>
      <c r="GK90" s="240">
        <f>$D90</f>
        <v>40</v>
      </c>
      <c r="GL90" s="239" t="str">
        <f>$E90</f>
        <v>Paraguay</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23</v>
      </c>
      <c r="GW90" s="239" t="str">
        <f>$C90</f>
        <v>Ecuador</v>
      </c>
      <c r="GX90" s="240">
        <f>$D90</f>
        <v>40</v>
      </c>
      <c r="GY90" s="239" t="str">
        <f>$E90</f>
        <v>Paraguay</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23</v>
      </c>
      <c r="HJ90" s="239" t="str">
        <f>$C90</f>
        <v>Ecuador</v>
      </c>
      <c r="HK90" s="240">
        <f>$D90</f>
        <v>40</v>
      </c>
      <c r="HL90" s="239" t="str">
        <f>$E90</f>
        <v>Paraguay</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23</v>
      </c>
      <c r="HW90" s="239" t="str">
        <f>$C90</f>
        <v>Ecuador</v>
      </c>
      <c r="HX90" s="240">
        <f>$D90</f>
        <v>40</v>
      </c>
      <c r="HY90" s="239" t="str">
        <f>$E90</f>
        <v>Paraguay</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23</v>
      </c>
      <c r="IJ90" s="239" t="str">
        <f>$C90</f>
        <v>Ecuador</v>
      </c>
      <c r="IK90" s="240">
        <f>$D90</f>
        <v>40</v>
      </c>
      <c r="IL90" s="239" t="str">
        <f>$E90</f>
        <v>Paraguay</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23</v>
      </c>
      <c r="IW90" s="239" t="str">
        <f>$C90</f>
        <v>Ecuador</v>
      </c>
      <c r="IX90" s="240">
        <f>$D90</f>
        <v>40</v>
      </c>
      <c r="IY90" s="239" t="str">
        <f>$E90</f>
        <v>Paraguay</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23</v>
      </c>
      <c r="JJ90" s="239" t="str">
        <f>$C90</f>
        <v>Ecuador</v>
      </c>
      <c r="JK90" s="240">
        <f>$D90</f>
        <v>40</v>
      </c>
      <c r="JL90" s="239" t="str">
        <f>$E90</f>
        <v>Paraguay</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23</v>
      </c>
      <c r="JW90" s="239" t="str">
        <f>$C90</f>
        <v>Ecuador</v>
      </c>
      <c r="JX90" s="240">
        <f>$D90</f>
        <v>40</v>
      </c>
      <c r="JY90" s="239" t="str">
        <f>$E90</f>
        <v>Paraguay</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23</v>
      </c>
      <c r="KJ90" s="239" t="str">
        <f>$C90</f>
        <v>Ecuador</v>
      </c>
      <c r="KK90" s="240">
        <f>$D90</f>
        <v>40</v>
      </c>
      <c r="KL90" s="239" t="str">
        <f>$E90</f>
        <v>Paraguay</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23</v>
      </c>
      <c r="KW90" s="239" t="str">
        <f>$C90</f>
        <v>Ecuador</v>
      </c>
      <c r="KX90" s="240">
        <f>$D90</f>
        <v>40</v>
      </c>
      <c r="KY90" s="239" t="str">
        <f>$E90</f>
        <v>Paraguay</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23</v>
      </c>
      <c r="LJ90" s="239" t="str">
        <f>$C90</f>
        <v>Ecuador</v>
      </c>
      <c r="LK90" s="240">
        <f>$D90</f>
        <v>40</v>
      </c>
      <c r="LL90" s="239" t="str">
        <f>$E90</f>
        <v>Paraguay</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23</v>
      </c>
      <c r="LW90" s="239" t="str">
        <f>$C90</f>
        <v>Ecuador</v>
      </c>
      <c r="LX90" s="240">
        <f>$D90</f>
        <v>40</v>
      </c>
      <c r="LY90" s="239" t="str">
        <f>$E90</f>
        <v>Paraguay</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x14ac:dyDescent="0.2">
      <c r="B91" s="238">
        <f>IF(C91="","",INDEX(Groups!$C$7:$C$65,MATCH(C91,Groups!$D$7:$D$65,0)))</f>
        <v>1</v>
      </c>
      <c r="C91" s="239" t="str">
        <f>'World Cup'!$E$50</f>
        <v>France</v>
      </c>
      <c r="D91" s="240">
        <f>IF(E91="","",INDEX(Groups!$C$7:$C$65,MATCH(E91,Groups!$D$7:$D$65,0)))</f>
        <v>18</v>
      </c>
      <c r="E91" s="239" t="str">
        <f>'World Cup'!$F$50</f>
        <v>Japan</v>
      </c>
      <c r="F91" s="241">
        <f>IF(AND('World Cup'!$E$51&lt;&gt;"",'World Cup'!$F$51&lt;&gt;""),'World Cup'!$E$51,"")</f>
        <v>2</v>
      </c>
      <c r="G91" s="242">
        <f>IF(AND('World Cup'!$E$51&lt;&gt;"",'World Cup'!$F$51&lt;&gt;""),'World Cup'!$F$51,"")</f>
        <v>0</v>
      </c>
      <c r="I91" s="238">
        <f t="shared" ref="I91:I105" si="1482">$B91</f>
        <v>1</v>
      </c>
      <c r="J91" s="239" t="str">
        <f t="shared" ref="J91:J105" si="1483">$C91</f>
        <v>France</v>
      </c>
      <c r="K91" s="240">
        <f t="shared" ref="K91:K105" si="1484">$D91</f>
        <v>18</v>
      </c>
      <c r="L91" s="239" t="str">
        <f t="shared" ref="L91:L105" si="1485">$E91</f>
        <v>Japan</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18</v>
      </c>
      <c r="Y91" s="239" t="str">
        <f t="shared" ref="Y91:Y105" si="1490">$E91</f>
        <v>Japan</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18</v>
      </c>
      <c r="AL91" s="239" t="str">
        <f t="shared" ref="AL91:AL105" si="1495">$E91</f>
        <v>Japan</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18</v>
      </c>
      <c r="AY91" s="239" t="str">
        <f t="shared" ref="AY91:AY105" si="1500">$E91</f>
        <v>Japan</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18</v>
      </c>
      <c r="BL91" s="239" t="str">
        <f t="shared" ref="BL91:BL105" si="1505">$E91</f>
        <v>Japan</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18</v>
      </c>
      <c r="BY91" s="239" t="str">
        <f t="shared" ref="BY91:BY105" si="1510">$E91</f>
        <v>Japan</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18</v>
      </c>
      <c r="CL91" s="239" t="str">
        <f t="shared" ref="CL91:CL105" si="1515">$E91</f>
        <v>Japan</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18</v>
      </c>
      <c r="CY91" s="239" t="str">
        <f t="shared" ref="CY91:CY105" si="1520">$E91</f>
        <v>Japan</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18</v>
      </c>
      <c r="DL91" s="239" t="str">
        <f t="shared" ref="DL91:DL105" si="1525">$E91</f>
        <v>Japan</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18</v>
      </c>
      <c r="DY91" s="239" t="str">
        <f t="shared" ref="DY91:DY105" si="1530">$E91</f>
        <v>Japan</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18</v>
      </c>
      <c r="EL91" s="239" t="str">
        <f t="shared" ref="EL91:EL105" si="1535">$E91</f>
        <v>Japan</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18</v>
      </c>
      <c r="EY91" s="239" t="str">
        <f t="shared" ref="EY91:EY105" si="1540">$E91</f>
        <v>Japan</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18</v>
      </c>
      <c r="FL91" s="239" t="str">
        <f t="shared" ref="FL91:FL105" si="1545">$E91</f>
        <v>Japan</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18</v>
      </c>
      <c r="FY91" s="239" t="str">
        <f t="shared" ref="FY91:FY105" si="1550">$E91</f>
        <v>Japan</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18</v>
      </c>
      <c r="GL91" s="239" t="str">
        <f t="shared" ref="GL91:GL105" si="1555">$E91</f>
        <v>Japan</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18</v>
      </c>
      <c r="GY91" s="239" t="str">
        <f t="shared" ref="GY91:GY105" si="1560">$E91</f>
        <v>Japan</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18</v>
      </c>
      <c r="HL91" s="239" t="str">
        <f t="shared" ref="HL91:HL105" si="1565">$E91</f>
        <v>Japan</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18</v>
      </c>
      <c r="HY91" s="239" t="str">
        <f t="shared" ref="HY91:HY105" si="1570">$E91</f>
        <v>Japan</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18</v>
      </c>
      <c r="IL91" s="239" t="str">
        <f t="shared" ref="IL91:IL105" si="1575">$E91</f>
        <v>Japan</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18</v>
      </c>
      <c r="IY91" s="239" t="str">
        <f t="shared" ref="IY91:IY105" si="1580">$E91</f>
        <v>Japan</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18</v>
      </c>
      <c r="JL91" s="239" t="str">
        <f t="shared" ref="JL91:JL105" si="1585">$E91</f>
        <v>Japan</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18</v>
      </c>
      <c r="JY91" s="239" t="str">
        <f t="shared" ref="JY91:JY105" si="1590">$E91</f>
        <v>Japan</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18</v>
      </c>
      <c r="KL91" s="239" t="str">
        <f t="shared" ref="KL91:KL105" si="1595">$E91</f>
        <v>Japan</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18</v>
      </c>
      <c r="KY91" s="239" t="str">
        <f t="shared" ref="KY91:KY105" si="1600">$E91</f>
        <v>Japan</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18</v>
      </c>
      <c r="LL91" s="239" t="str">
        <f t="shared" ref="LL91:LL105" si="1605">$E91</f>
        <v>Japan</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18</v>
      </c>
      <c r="LY91" s="239" t="str">
        <f t="shared" ref="LY91:LY105" si="1610">$E91</f>
        <v>Japan</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x14ac:dyDescent="0.2">
      <c r="B92" s="238">
        <f>IF(C92="","",INDEX(Groups!$C$7:$C$65,MATCH(C92,Groups!$D$7:$D$65,0)))</f>
        <v>41</v>
      </c>
      <c r="C92" s="239" t="str">
        <f>'World Cup'!$H$50</f>
        <v>Czech Rep.</v>
      </c>
      <c r="D92" s="240">
        <f>IF(E92="","",INDEX(Groups!$C$7:$C$65,MATCH(E92,Groups!$D$7:$D$65,0)))</f>
        <v>65</v>
      </c>
      <c r="E92" s="239" t="str">
        <f>'World Cup'!$I$50</f>
        <v>Bosnia/Herzeg.</v>
      </c>
      <c r="F92" s="241">
        <f>IF(AND('World Cup'!$H$51&lt;&gt;"",'World Cup'!$I$51&lt;&gt;""),'World Cup'!$H$51,"")</f>
        <v>2</v>
      </c>
      <c r="G92" s="242">
        <f>IF(AND('World Cup'!$H$51&lt;&gt;"",'World Cup'!$I$51&lt;&gt;""),'World Cup'!$I$51,"")</f>
        <v>2</v>
      </c>
      <c r="I92" s="238">
        <f t="shared" si="1482"/>
        <v>41</v>
      </c>
      <c r="J92" s="239" t="str">
        <f t="shared" si="1483"/>
        <v>Czech Rep.</v>
      </c>
      <c r="K92" s="240">
        <f t="shared" si="1484"/>
        <v>65</v>
      </c>
      <c r="L92" s="239" t="str">
        <f t="shared" si="1485"/>
        <v>Bosnia/Herzeg.</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41</v>
      </c>
      <c r="W92" s="239" t="str">
        <f t="shared" si="1488"/>
        <v>Czech Rep.</v>
      </c>
      <c r="X92" s="240">
        <f t="shared" si="1489"/>
        <v>65</v>
      </c>
      <c r="Y92" s="239" t="str">
        <f t="shared" si="1490"/>
        <v>Bosnia/Herzeg.</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41</v>
      </c>
      <c r="AJ92" s="239" t="str">
        <f t="shared" si="1493"/>
        <v>Czech Rep.</v>
      </c>
      <c r="AK92" s="240">
        <f t="shared" si="1494"/>
        <v>65</v>
      </c>
      <c r="AL92" s="239" t="str">
        <f t="shared" si="1495"/>
        <v>Bosnia/Herzeg.</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41</v>
      </c>
      <c r="AW92" s="239" t="str">
        <f t="shared" si="1498"/>
        <v>Czech Rep.</v>
      </c>
      <c r="AX92" s="240">
        <f t="shared" si="1499"/>
        <v>65</v>
      </c>
      <c r="AY92" s="239" t="str">
        <f t="shared" si="1500"/>
        <v>Bosnia/Herzeg.</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41</v>
      </c>
      <c r="BJ92" s="239" t="str">
        <f t="shared" si="1503"/>
        <v>Czech Rep.</v>
      </c>
      <c r="BK92" s="240">
        <f t="shared" si="1504"/>
        <v>65</v>
      </c>
      <c r="BL92" s="239" t="str">
        <f t="shared" si="1505"/>
        <v>Bosnia/Herzeg.</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41</v>
      </c>
      <c r="BW92" s="239" t="str">
        <f t="shared" si="1508"/>
        <v>Czech Rep.</v>
      </c>
      <c r="BX92" s="240">
        <f t="shared" si="1509"/>
        <v>65</v>
      </c>
      <c r="BY92" s="239" t="str">
        <f t="shared" si="1510"/>
        <v>Bosnia/Herzeg.</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41</v>
      </c>
      <c r="CJ92" s="239" t="str">
        <f t="shared" si="1513"/>
        <v>Czech Rep.</v>
      </c>
      <c r="CK92" s="240">
        <f t="shared" si="1514"/>
        <v>65</v>
      </c>
      <c r="CL92" s="239" t="str">
        <f t="shared" si="1515"/>
        <v>Bosnia/Herzeg.</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41</v>
      </c>
      <c r="CW92" s="239" t="str">
        <f t="shared" si="1518"/>
        <v>Czech Rep.</v>
      </c>
      <c r="CX92" s="240">
        <f t="shared" si="1519"/>
        <v>65</v>
      </c>
      <c r="CY92" s="239" t="str">
        <f t="shared" si="1520"/>
        <v>Bosnia/Herzeg.</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41</v>
      </c>
      <c r="DJ92" s="239" t="str">
        <f t="shared" si="1523"/>
        <v>Czech Rep.</v>
      </c>
      <c r="DK92" s="240">
        <f t="shared" si="1524"/>
        <v>65</v>
      </c>
      <c r="DL92" s="239" t="str">
        <f t="shared" si="1525"/>
        <v>Bosnia/Herzeg.</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41</v>
      </c>
      <c r="DW92" s="239" t="str">
        <f t="shared" si="1528"/>
        <v>Czech Rep.</v>
      </c>
      <c r="DX92" s="240">
        <f t="shared" si="1529"/>
        <v>65</v>
      </c>
      <c r="DY92" s="239" t="str">
        <f t="shared" si="1530"/>
        <v>Bosnia/Herzeg.</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41</v>
      </c>
      <c r="EJ92" s="239" t="str">
        <f t="shared" si="1533"/>
        <v>Czech Rep.</v>
      </c>
      <c r="EK92" s="240">
        <f t="shared" si="1534"/>
        <v>65</v>
      </c>
      <c r="EL92" s="239" t="str">
        <f t="shared" si="1535"/>
        <v>Bosnia/Herzeg.</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41</v>
      </c>
      <c r="EW92" s="239" t="str">
        <f t="shared" si="1538"/>
        <v>Czech Rep.</v>
      </c>
      <c r="EX92" s="240">
        <f t="shared" si="1539"/>
        <v>65</v>
      </c>
      <c r="EY92" s="239" t="str">
        <f t="shared" si="1540"/>
        <v>Bosnia/Herzeg.</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41</v>
      </c>
      <c r="FJ92" s="239" t="str">
        <f t="shared" si="1543"/>
        <v>Czech Rep.</v>
      </c>
      <c r="FK92" s="240">
        <f t="shared" si="1544"/>
        <v>65</v>
      </c>
      <c r="FL92" s="239" t="str">
        <f t="shared" si="1545"/>
        <v>Bosnia/Herzeg.</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41</v>
      </c>
      <c r="FW92" s="239" t="str">
        <f t="shared" si="1548"/>
        <v>Czech Rep.</v>
      </c>
      <c r="FX92" s="240">
        <f t="shared" si="1549"/>
        <v>65</v>
      </c>
      <c r="FY92" s="239" t="str">
        <f t="shared" si="1550"/>
        <v>Bosnia/Herzeg.</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41</v>
      </c>
      <c r="GJ92" s="239" t="str">
        <f t="shared" si="1553"/>
        <v>Czech Rep.</v>
      </c>
      <c r="GK92" s="240">
        <f t="shared" si="1554"/>
        <v>65</v>
      </c>
      <c r="GL92" s="239" t="str">
        <f t="shared" si="1555"/>
        <v>Bosnia/Herzeg.</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41</v>
      </c>
      <c r="GW92" s="239" t="str">
        <f t="shared" si="1558"/>
        <v>Czech Rep.</v>
      </c>
      <c r="GX92" s="240">
        <f t="shared" si="1559"/>
        <v>65</v>
      </c>
      <c r="GY92" s="239" t="str">
        <f t="shared" si="1560"/>
        <v>Bosnia/Herzeg.</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41</v>
      </c>
      <c r="HJ92" s="239" t="str">
        <f t="shared" si="1563"/>
        <v>Czech Rep.</v>
      </c>
      <c r="HK92" s="240">
        <f t="shared" si="1564"/>
        <v>65</v>
      </c>
      <c r="HL92" s="239" t="str">
        <f t="shared" si="1565"/>
        <v>Bosnia/Herzeg.</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41</v>
      </c>
      <c r="HW92" s="239" t="str">
        <f t="shared" si="1568"/>
        <v>Czech Rep.</v>
      </c>
      <c r="HX92" s="240">
        <f t="shared" si="1569"/>
        <v>65</v>
      </c>
      <c r="HY92" s="239" t="str">
        <f t="shared" si="1570"/>
        <v>Bosnia/Herzeg.</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41</v>
      </c>
      <c r="IJ92" s="239" t="str">
        <f t="shared" si="1573"/>
        <v>Czech Rep.</v>
      </c>
      <c r="IK92" s="240">
        <f t="shared" si="1574"/>
        <v>65</v>
      </c>
      <c r="IL92" s="239" t="str">
        <f t="shared" si="1575"/>
        <v>Bosnia/Herzeg.</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41</v>
      </c>
      <c r="IW92" s="239" t="str">
        <f t="shared" si="1578"/>
        <v>Czech Rep.</v>
      </c>
      <c r="IX92" s="240">
        <f t="shared" si="1579"/>
        <v>65</v>
      </c>
      <c r="IY92" s="239" t="str">
        <f t="shared" si="1580"/>
        <v>Bosnia/Herzeg.</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41</v>
      </c>
      <c r="JJ92" s="239" t="str">
        <f t="shared" si="1583"/>
        <v>Czech Rep.</v>
      </c>
      <c r="JK92" s="240">
        <f t="shared" si="1584"/>
        <v>65</v>
      </c>
      <c r="JL92" s="239" t="str">
        <f t="shared" si="1585"/>
        <v>Bosnia/Herzeg.</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41</v>
      </c>
      <c r="JW92" s="239" t="str">
        <f t="shared" si="1588"/>
        <v>Czech Rep.</v>
      </c>
      <c r="JX92" s="240">
        <f t="shared" si="1589"/>
        <v>65</v>
      </c>
      <c r="JY92" s="239" t="str">
        <f t="shared" si="1590"/>
        <v>Bosnia/Herzeg.</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41</v>
      </c>
      <c r="KJ92" s="239" t="str">
        <f t="shared" si="1593"/>
        <v>Czech Rep.</v>
      </c>
      <c r="KK92" s="240">
        <f t="shared" si="1594"/>
        <v>65</v>
      </c>
      <c r="KL92" s="239" t="str">
        <f t="shared" si="1595"/>
        <v>Bosnia/Herzeg.</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41</v>
      </c>
      <c r="KW92" s="239" t="str">
        <f t="shared" si="1598"/>
        <v>Czech Rep.</v>
      </c>
      <c r="KX92" s="240">
        <f t="shared" si="1599"/>
        <v>65</v>
      </c>
      <c r="KY92" s="239" t="str">
        <f t="shared" si="1600"/>
        <v>Bosnia/Herzeg.</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41</v>
      </c>
      <c r="LJ92" s="239" t="str">
        <f t="shared" si="1603"/>
        <v>Czech Rep.</v>
      </c>
      <c r="LK92" s="240">
        <f t="shared" si="1604"/>
        <v>65</v>
      </c>
      <c r="LL92" s="239" t="str">
        <f t="shared" si="1605"/>
        <v>Bosnia/Herzeg.</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41</v>
      </c>
      <c r="LW92" s="239" t="str">
        <f t="shared" si="1608"/>
        <v>Czech Rep.</v>
      </c>
      <c r="LX92" s="240">
        <f t="shared" si="1609"/>
        <v>65</v>
      </c>
      <c r="LY92" s="239" t="str">
        <f t="shared" si="1610"/>
        <v>Bosnia/Herzeg.</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x14ac:dyDescent="0.2">
      <c r="B93" s="238">
        <f>IF(C93="","",INDEX(Groups!$C$7:$C$65,MATCH(C93,Groups!$D$7:$D$65,0)))</f>
        <v>7</v>
      </c>
      <c r="C93" s="239" t="str">
        <f>'World Cup'!$K$50</f>
        <v>Netherlands</v>
      </c>
      <c r="D93" s="240">
        <f>IF(E93="","",INDEX(Groups!$C$7:$C$65,MATCH(E93,Groups!$D$7:$D$65,0)))</f>
        <v>8</v>
      </c>
      <c r="E93" s="239" t="str">
        <f>'World Cup'!$L$50</f>
        <v>Morocco</v>
      </c>
      <c r="F93" s="241">
        <f>IF(AND('World Cup'!$K$51&lt;&gt;"",'World Cup'!$L$51&lt;&gt;""),'World Cup'!$K$51,"")</f>
        <v>3</v>
      </c>
      <c r="G93" s="242">
        <f>IF(AND('World Cup'!$K$51&lt;&gt;"",'World Cup'!$L$51&lt;&gt;""),'World Cup'!$L$51,"")</f>
        <v>2</v>
      </c>
      <c r="I93" s="238">
        <f t="shared" si="1482"/>
        <v>7</v>
      </c>
      <c r="J93" s="239" t="str">
        <f t="shared" si="1483"/>
        <v>Netherlands</v>
      </c>
      <c r="K93" s="240">
        <f t="shared" si="1484"/>
        <v>8</v>
      </c>
      <c r="L93" s="239" t="str">
        <f t="shared" si="1485"/>
        <v>Morocco</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8</v>
      </c>
      <c r="Y93" s="239" t="str">
        <f t="shared" si="1490"/>
        <v>Morocco</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8</v>
      </c>
      <c r="AL93" s="239" t="str">
        <f t="shared" si="1495"/>
        <v>Morocco</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8</v>
      </c>
      <c r="AY93" s="239" t="str">
        <f t="shared" si="1500"/>
        <v>Morocco</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8</v>
      </c>
      <c r="BL93" s="239" t="str">
        <f t="shared" si="1505"/>
        <v>Morocco</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8</v>
      </c>
      <c r="BY93" s="239" t="str">
        <f t="shared" si="1510"/>
        <v>Morocco</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8</v>
      </c>
      <c r="CL93" s="239" t="str">
        <f t="shared" si="1515"/>
        <v>Morocco</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8</v>
      </c>
      <c r="CY93" s="239" t="str">
        <f t="shared" si="1520"/>
        <v>Morocco</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8</v>
      </c>
      <c r="DL93" s="239" t="str">
        <f t="shared" si="1525"/>
        <v>Morocco</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8</v>
      </c>
      <c r="DY93" s="239" t="str">
        <f t="shared" si="1530"/>
        <v>Morocco</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8</v>
      </c>
      <c r="EL93" s="239" t="str">
        <f t="shared" si="1535"/>
        <v>Morocco</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8</v>
      </c>
      <c r="EY93" s="239" t="str">
        <f t="shared" si="1540"/>
        <v>Morocco</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8</v>
      </c>
      <c r="FL93" s="239" t="str">
        <f t="shared" si="1545"/>
        <v>Morocco</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8</v>
      </c>
      <c r="FY93" s="239" t="str">
        <f t="shared" si="1550"/>
        <v>Morocco</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8</v>
      </c>
      <c r="GL93" s="239" t="str">
        <f t="shared" si="1555"/>
        <v>Morocco</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8</v>
      </c>
      <c r="GY93" s="239" t="str">
        <f t="shared" si="1560"/>
        <v>Morocco</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8</v>
      </c>
      <c r="HL93" s="239" t="str">
        <f t="shared" si="1565"/>
        <v>Morocco</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8</v>
      </c>
      <c r="HY93" s="239" t="str">
        <f t="shared" si="1570"/>
        <v>Morocco</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8</v>
      </c>
      <c r="IL93" s="239" t="str">
        <f t="shared" si="1575"/>
        <v>Morocco</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8</v>
      </c>
      <c r="IY93" s="239" t="str">
        <f t="shared" si="1580"/>
        <v>Morocco</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8</v>
      </c>
      <c r="JL93" s="239" t="str">
        <f t="shared" si="1585"/>
        <v>Morocco</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8</v>
      </c>
      <c r="JY93" s="239" t="str">
        <f t="shared" si="1590"/>
        <v>Morocco</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8</v>
      </c>
      <c r="KL93" s="239" t="str">
        <f t="shared" si="1595"/>
        <v>Morocco</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8</v>
      </c>
      <c r="KY93" s="239" t="str">
        <f t="shared" si="1600"/>
        <v>Morocco</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8</v>
      </c>
      <c r="LL93" s="239" t="str">
        <f t="shared" si="1605"/>
        <v>Morocco</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8</v>
      </c>
      <c r="LY93" s="239" t="str">
        <f t="shared" si="1610"/>
        <v>Morocco</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x14ac:dyDescent="0.2">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0</v>
      </c>
      <c r="G94" s="242">
        <f>IF(AND('World Cup'!$N$51&lt;&gt;"",'World Cup'!$O$51&lt;&gt;""),'World Cup'!$O$51,"")</f>
        <v>2</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x14ac:dyDescent="0.2">
      <c r="B95" s="238">
        <f>IF(C95="","",INDEX(Groups!$C$7:$C$65,MATCH(C95,Groups!$D$7:$D$65,0)))</f>
        <v>2</v>
      </c>
      <c r="C95" s="239" t="str">
        <f>'World Cup'!$Q$50</f>
        <v>Spain</v>
      </c>
      <c r="D95" s="240">
        <f>IF(E95="","",INDEX(Groups!$C$7:$C$65,MATCH(E95,Groups!$D$7:$D$65,0)))</f>
        <v>3</v>
      </c>
      <c r="E95" s="239" t="str">
        <f>'World Cup'!$R$50</f>
        <v>Argentina</v>
      </c>
      <c r="F95" s="241">
        <f>IF(AND('World Cup'!$Q$51&lt;&gt;"",'World Cup'!$R$51&lt;&gt;""),'World Cup'!$Q$51,"")</f>
        <v>3</v>
      </c>
      <c r="G95" s="242">
        <f>IF(AND('World Cup'!$Q$51&lt;&gt;"",'World Cup'!$R$51&lt;&gt;""),'World Cup'!$R$51,"")</f>
        <v>0</v>
      </c>
      <c r="I95" s="238">
        <f t="shared" si="1482"/>
        <v>2</v>
      </c>
      <c r="J95" s="239" t="str">
        <f t="shared" si="1483"/>
        <v>Spain</v>
      </c>
      <c r="K95" s="240">
        <f t="shared" si="1484"/>
        <v>3</v>
      </c>
      <c r="L95" s="239" t="str">
        <f t="shared" si="1485"/>
        <v>Argentina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3</v>
      </c>
      <c r="Y95" s="239" t="str">
        <f t="shared" si="1490"/>
        <v>Argentina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3</v>
      </c>
      <c r="AL95" s="239" t="str">
        <f t="shared" si="1495"/>
        <v>Argentina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3</v>
      </c>
      <c r="AY95" s="239" t="str">
        <f t="shared" si="1500"/>
        <v>Argentina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3</v>
      </c>
      <c r="BL95" s="239" t="str">
        <f t="shared" si="1505"/>
        <v>Argentina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3</v>
      </c>
      <c r="BY95" s="239" t="str">
        <f t="shared" si="1510"/>
        <v>Argentina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3</v>
      </c>
      <c r="CL95" s="239" t="str">
        <f t="shared" si="1515"/>
        <v>Argentina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3</v>
      </c>
      <c r="CY95" s="239" t="str">
        <f t="shared" si="1520"/>
        <v>Argentina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3</v>
      </c>
      <c r="DL95" s="239" t="str">
        <f t="shared" si="1525"/>
        <v>Argentina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3</v>
      </c>
      <c r="DY95" s="239" t="str">
        <f t="shared" si="1530"/>
        <v>Argentina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3</v>
      </c>
      <c r="EL95" s="239" t="str">
        <f t="shared" si="1535"/>
        <v>Argentina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3</v>
      </c>
      <c r="EY95" s="239" t="str">
        <f t="shared" si="1540"/>
        <v>Argentina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3</v>
      </c>
      <c r="FL95" s="239" t="str">
        <f t="shared" si="1545"/>
        <v>Argentina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3</v>
      </c>
      <c r="FY95" s="239" t="str">
        <f t="shared" si="1550"/>
        <v>Argentina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3</v>
      </c>
      <c r="GL95" s="239" t="str">
        <f t="shared" si="1555"/>
        <v>Argentina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3</v>
      </c>
      <c r="GY95" s="239" t="str">
        <f t="shared" si="1560"/>
        <v>Argentina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3</v>
      </c>
      <c r="HL95" s="239" t="str">
        <f t="shared" si="1565"/>
        <v>Argentina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3</v>
      </c>
      <c r="HY95" s="239" t="str">
        <f t="shared" si="1570"/>
        <v>Argentina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3</v>
      </c>
      <c r="IL95" s="239" t="str">
        <f t="shared" si="1575"/>
        <v>Argentina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3</v>
      </c>
      <c r="IY95" s="239" t="str">
        <f t="shared" si="1580"/>
        <v>Argentina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3</v>
      </c>
      <c r="JL95" s="239" t="str">
        <f t="shared" si="1585"/>
        <v>Argentina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3</v>
      </c>
      <c r="JY95" s="239" t="str">
        <f t="shared" si="1590"/>
        <v>Argentina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3</v>
      </c>
      <c r="KL95" s="239" t="str">
        <f t="shared" si="1595"/>
        <v>Argentina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3</v>
      </c>
      <c r="KY95" s="239" t="str">
        <f t="shared" si="1600"/>
        <v>Argentina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3</v>
      </c>
      <c r="LL95" s="239" t="str">
        <f t="shared" si="1605"/>
        <v>Argentina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3</v>
      </c>
      <c r="LY95" s="239" t="str">
        <f t="shared" si="1610"/>
        <v>Argentina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x14ac:dyDescent="0.2">
      <c r="B96" s="238">
        <f>IF(C96="","",INDEX(Groups!$C$7:$C$65,MATCH(C96,Groups!$D$7:$D$65,0)))</f>
        <v>22</v>
      </c>
      <c r="C96" s="239" t="str">
        <f>'World Cup'!$T$50</f>
        <v>Turkey</v>
      </c>
      <c r="D96" s="240">
        <f>IF(E96="","",INDEX(Groups!$C$7:$C$65,MATCH(E96,Groups!$D$7:$D$65,0)))</f>
        <v>30</v>
      </c>
      <c r="E96" s="239" t="str">
        <f>'World Cup'!$U$50</f>
        <v>Canada</v>
      </c>
      <c r="F96" s="241">
        <f>IF(AND('World Cup'!$T$51&lt;&gt;"",'World Cup'!$U$51&lt;&gt;""),'World Cup'!$T$51,"")</f>
        <v>2</v>
      </c>
      <c r="G96" s="242">
        <f>IF(AND('World Cup'!$T$51&lt;&gt;"",'World Cup'!$U$51&lt;&gt;""),'World Cup'!$U$51,"")</f>
        <v>0</v>
      </c>
      <c r="I96" s="238">
        <f t="shared" si="1482"/>
        <v>22</v>
      </c>
      <c r="J96" s="239" t="str">
        <f t="shared" si="1483"/>
        <v>Turkey</v>
      </c>
      <c r="K96" s="240">
        <f t="shared" si="1484"/>
        <v>30</v>
      </c>
      <c r="L96" s="239" t="str">
        <f t="shared" si="1485"/>
        <v>Canada</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30</v>
      </c>
      <c r="Y96" s="239" t="str">
        <f t="shared" si="1490"/>
        <v>Canada</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30</v>
      </c>
      <c r="AL96" s="239" t="str">
        <f t="shared" si="1495"/>
        <v>Canada</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30</v>
      </c>
      <c r="AY96" s="239" t="str">
        <f t="shared" si="1500"/>
        <v>Canada</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30</v>
      </c>
      <c r="BL96" s="239" t="str">
        <f t="shared" si="1505"/>
        <v>Canada</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30</v>
      </c>
      <c r="BY96" s="239" t="str">
        <f t="shared" si="1510"/>
        <v>Canada</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30</v>
      </c>
      <c r="CL96" s="239" t="str">
        <f t="shared" si="1515"/>
        <v>Canada</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30</v>
      </c>
      <c r="CY96" s="239" t="str">
        <f t="shared" si="1520"/>
        <v>Canada</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30</v>
      </c>
      <c r="DL96" s="239" t="str">
        <f t="shared" si="1525"/>
        <v>Canada</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30</v>
      </c>
      <c r="DY96" s="239" t="str">
        <f t="shared" si="1530"/>
        <v>Canada</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30</v>
      </c>
      <c r="EL96" s="239" t="str">
        <f t="shared" si="1535"/>
        <v>Canada</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30</v>
      </c>
      <c r="EY96" s="239" t="str">
        <f t="shared" si="1540"/>
        <v>Canada</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30</v>
      </c>
      <c r="FL96" s="239" t="str">
        <f t="shared" si="1545"/>
        <v>Canada</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30</v>
      </c>
      <c r="FY96" s="239" t="str">
        <f t="shared" si="1550"/>
        <v>Canada</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30</v>
      </c>
      <c r="GL96" s="239" t="str">
        <f t="shared" si="1555"/>
        <v>Canada</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30</v>
      </c>
      <c r="GY96" s="239" t="str">
        <f t="shared" si="1560"/>
        <v>Canada</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30</v>
      </c>
      <c r="HL96" s="239" t="str">
        <f t="shared" si="1565"/>
        <v>Canada</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30</v>
      </c>
      <c r="HY96" s="239" t="str">
        <f t="shared" si="1570"/>
        <v>Canada</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30</v>
      </c>
      <c r="IL96" s="239" t="str">
        <f t="shared" si="1575"/>
        <v>Canada</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30</v>
      </c>
      <c r="IY96" s="239" t="str">
        <f t="shared" si="1580"/>
        <v>Canada</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30</v>
      </c>
      <c r="JL96" s="239" t="str">
        <f t="shared" si="1585"/>
        <v>Canada</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30</v>
      </c>
      <c r="JY96" s="239" t="str">
        <f t="shared" si="1590"/>
        <v>Canada</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30</v>
      </c>
      <c r="KL96" s="239" t="str">
        <f t="shared" si="1595"/>
        <v>Canada</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30</v>
      </c>
      <c r="KY96" s="239" t="str">
        <f t="shared" si="1600"/>
        <v>Canada</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30</v>
      </c>
      <c r="LL96" s="239" t="str">
        <f t="shared" si="1605"/>
        <v>Canada</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30</v>
      </c>
      <c r="LY96" s="239" t="str">
        <f t="shared" si="1610"/>
        <v>Canada</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x14ac:dyDescent="0.2">
      <c r="B97" s="238">
        <f>IF(C97="","",INDEX(Groups!$C$7:$C$65,MATCH(C97,Groups!$D$7:$D$65,0)))</f>
        <v>9</v>
      </c>
      <c r="C97" s="239" t="str">
        <f>'World Cup'!$W$50</f>
        <v>Belgium</v>
      </c>
      <c r="D97" s="240">
        <f>IF(E97="","",INDEX(Groups!$C$7:$C$65,MATCH(E97,Groups!$D$7:$D$65,0)))</f>
        <v>61</v>
      </c>
      <c r="E97" s="239" t="str">
        <f>'World Cup'!$X$50</f>
        <v>Saudi Arabia</v>
      </c>
      <c r="F97" s="241">
        <f>IF(AND('World Cup'!$W$51&lt;&gt;"",'World Cup'!$X$51&lt;&gt;""),'World Cup'!$W$51,"")</f>
        <v>2</v>
      </c>
      <c r="G97" s="242">
        <f>IF(AND('World Cup'!$W$51&lt;&gt;"",'World Cup'!$X$51&lt;&gt;""),'World Cup'!$X$51,"")</f>
        <v>0</v>
      </c>
      <c r="I97" s="238">
        <f t="shared" si="1482"/>
        <v>9</v>
      </c>
      <c r="J97" s="239" t="str">
        <f t="shared" si="1483"/>
        <v>Belgium</v>
      </c>
      <c r="K97" s="240">
        <f t="shared" si="1484"/>
        <v>61</v>
      </c>
      <c r="L97" s="239" t="str">
        <f t="shared" si="1485"/>
        <v>Saudi Arabia</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61</v>
      </c>
      <c r="Y97" s="239" t="str">
        <f t="shared" si="1490"/>
        <v>Saudi Arabia</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61</v>
      </c>
      <c r="AL97" s="239" t="str">
        <f t="shared" si="1495"/>
        <v>Saudi Arabia</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61</v>
      </c>
      <c r="AY97" s="239" t="str">
        <f t="shared" si="1500"/>
        <v>Saudi Arabia</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61</v>
      </c>
      <c r="BL97" s="239" t="str">
        <f t="shared" si="1505"/>
        <v>Saudi Arabia</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61</v>
      </c>
      <c r="BY97" s="239" t="str">
        <f t="shared" si="1510"/>
        <v>Saudi Arabia</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61</v>
      </c>
      <c r="CL97" s="239" t="str">
        <f t="shared" si="1515"/>
        <v>Saudi Arabia</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61</v>
      </c>
      <c r="CY97" s="239" t="str">
        <f t="shared" si="1520"/>
        <v>Saudi Arabia</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61</v>
      </c>
      <c r="DL97" s="239" t="str">
        <f t="shared" si="1525"/>
        <v>Saudi Arabia</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61</v>
      </c>
      <c r="DY97" s="239" t="str">
        <f t="shared" si="1530"/>
        <v>Saudi Arabia</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61</v>
      </c>
      <c r="EL97" s="239" t="str">
        <f t="shared" si="1535"/>
        <v>Saudi Arabia</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61</v>
      </c>
      <c r="EY97" s="239" t="str">
        <f t="shared" si="1540"/>
        <v>Saudi Arabia</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61</v>
      </c>
      <c r="FL97" s="239" t="str">
        <f t="shared" si="1545"/>
        <v>Saudi Arabia</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61</v>
      </c>
      <c r="FY97" s="239" t="str">
        <f t="shared" si="1550"/>
        <v>Saudi Arabia</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61</v>
      </c>
      <c r="GL97" s="239" t="str">
        <f t="shared" si="1555"/>
        <v>Saudi Arabia</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61</v>
      </c>
      <c r="GY97" s="239" t="str">
        <f t="shared" si="1560"/>
        <v>Saudi Arabia</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61</v>
      </c>
      <c r="HL97" s="239" t="str">
        <f t="shared" si="1565"/>
        <v>Saudi Arabia</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61</v>
      </c>
      <c r="HY97" s="239" t="str">
        <f t="shared" si="1570"/>
        <v>Saudi Arabia</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61</v>
      </c>
      <c r="IL97" s="239" t="str">
        <f t="shared" si="1575"/>
        <v>Saudi Arabia</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61</v>
      </c>
      <c r="IY97" s="239" t="str">
        <f t="shared" si="1580"/>
        <v>Saudi Arabia</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61</v>
      </c>
      <c r="JL97" s="239" t="str">
        <f t="shared" si="1585"/>
        <v>Saudi Arabia</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61</v>
      </c>
      <c r="JY97" s="239" t="str">
        <f t="shared" si="1590"/>
        <v>Saudi Arabia</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61</v>
      </c>
      <c r="KL97" s="239" t="str">
        <f t="shared" si="1595"/>
        <v>Saudi Arabia</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61</v>
      </c>
      <c r="KY97" s="239" t="str">
        <f t="shared" si="1600"/>
        <v>Saudi Arabia</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61</v>
      </c>
      <c r="LL97" s="239" t="str">
        <f t="shared" si="1605"/>
        <v>Saudi Arabia</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61</v>
      </c>
      <c r="LY97" s="239" t="str">
        <f t="shared" si="1610"/>
        <v>Saudi Arabia</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x14ac:dyDescent="0.2">
      <c r="B98" s="238">
        <f>IF(C98="","",INDEX(Groups!$C$7:$C$65,MATCH(C98,Groups!$D$7:$D$65,0)))</f>
        <v>6</v>
      </c>
      <c r="C98" s="239" t="str">
        <f>'World Cup'!$Z$50</f>
        <v>Brazil</v>
      </c>
      <c r="D98" s="240">
        <f>IF(E98="","",INDEX(Groups!$C$7:$C$65,MATCH(E98,Groups!$D$7:$D$65,0)))</f>
        <v>38</v>
      </c>
      <c r="E98" s="239" t="str">
        <f>'World Cup'!$AA$50</f>
        <v>Sweden</v>
      </c>
      <c r="F98" s="241">
        <f>IF(AND('World Cup'!$Z$51&lt;&gt;"",'World Cup'!$AA$51&lt;&gt;""),'World Cup'!$Z$51,"")</f>
        <v>3</v>
      </c>
      <c r="G98" s="242">
        <f>IF(AND('World Cup'!$Z$51&lt;&gt;"",'World Cup'!$AA$51&lt;&gt;""),'World Cup'!$AA$51,"")</f>
        <v>1</v>
      </c>
      <c r="I98" s="238">
        <f t="shared" si="1482"/>
        <v>6</v>
      </c>
      <c r="J98" s="239" t="str">
        <f t="shared" si="1483"/>
        <v>Brazil</v>
      </c>
      <c r="K98" s="240">
        <f t="shared" si="1484"/>
        <v>38</v>
      </c>
      <c r="L98" s="239" t="str">
        <f t="shared" si="1485"/>
        <v>Sweden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38</v>
      </c>
      <c r="Y98" s="239" t="str">
        <f t="shared" si="1490"/>
        <v>Sweden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38</v>
      </c>
      <c r="AL98" s="239" t="str">
        <f t="shared" si="1495"/>
        <v>Sweden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38</v>
      </c>
      <c r="AY98" s="239" t="str">
        <f t="shared" si="1500"/>
        <v>Sweden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38</v>
      </c>
      <c r="BL98" s="239" t="str">
        <f t="shared" si="1505"/>
        <v>Sweden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38</v>
      </c>
      <c r="BY98" s="239" t="str">
        <f t="shared" si="1510"/>
        <v>Sweden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38</v>
      </c>
      <c r="CL98" s="239" t="str">
        <f t="shared" si="1515"/>
        <v>Sweden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38</v>
      </c>
      <c r="CY98" s="239" t="str">
        <f t="shared" si="1520"/>
        <v>Sweden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38</v>
      </c>
      <c r="DL98" s="239" t="str">
        <f t="shared" si="1525"/>
        <v>Sweden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38</v>
      </c>
      <c r="DY98" s="239" t="str">
        <f t="shared" si="1530"/>
        <v>Sweden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38</v>
      </c>
      <c r="EL98" s="239" t="str">
        <f t="shared" si="1535"/>
        <v>Sweden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38</v>
      </c>
      <c r="EY98" s="239" t="str">
        <f t="shared" si="1540"/>
        <v>Sweden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38</v>
      </c>
      <c r="FL98" s="239" t="str">
        <f t="shared" si="1545"/>
        <v>Sweden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38</v>
      </c>
      <c r="FY98" s="239" t="str">
        <f t="shared" si="1550"/>
        <v>Sweden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38</v>
      </c>
      <c r="GL98" s="239" t="str">
        <f t="shared" si="1555"/>
        <v>Sweden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38</v>
      </c>
      <c r="GY98" s="239" t="str">
        <f t="shared" si="1560"/>
        <v>Sweden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38</v>
      </c>
      <c r="HL98" s="239" t="str">
        <f t="shared" si="1565"/>
        <v>Sweden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38</v>
      </c>
      <c r="HY98" s="239" t="str">
        <f t="shared" si="1570"/>
        <v>Sweden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38</v>
      </c>
      <c r="IL98" s="239" t="str">
        <f t="shared" si="1575"/>
        <v>Sweden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38</v>
      </c>
      <c r="IY98" s="239" t="str">
        <f t="shared" si="1580"/>
        <v>Sweden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38</v>
      </c>
      <c r="JL98" s="239" t="str">
        <f t="shared" si="1585"/>
        <v>Sweden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38</v>
      </c>
      <c r="JY98" s="239" t="str">
        <f t="shared" si="1590"/>
        <v>Sweden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38</v>
      </c>
      <c r="KL98" s="239" t="str">
        <f t="shared" si="1595"/>
        <v>Sweden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38</v>
      </c>
      <c r="KY98" s="239" t="str">
        <f t="shared" si="1600"/>
        <v>Sweden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38</v>
      </c>
      <c r="LL98" s="239" t="str">
        <f t="shared" si="1605"/>
        <v>Sweden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38</v>
      </c>
      <c r="LY98" s="239" t="str">
        <f t="shared" si="1610"/>
        <v>Sweden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x14ac:dyDescent="0.2">
      <c r="B99" s="238">
        <f>IF(C99="","",INDEX(Groups!$C$7:$C$65,MATCH(C99,Groups!$D$7:$D$65,0)))</f>
        <v>10</v>
      </c>
      <c r="C99" s="239" t="str">
        <f>'World Cup'!$AC$50</f>
        <v>Germany</v>
      </c>
      <c r="D99" s="240">
        <f>IF(E99="","",INDEX(Groups!$C$7:$C$65,MATCH(E99,Groups!$D$7:$D$65,0)))</f>
        <v>31</v>
      </c>
      <c r="E99" s="239" t="str">
        <f>'World Cup'!$AD$50</f>
        <v>Norway</v>
      </c>
      <c r="F99" s="241">
        <f>IF(AND('World Cup'!$AC$51&lt;&gt;"",'World Cup'!$AD$51&lt;&gt;""),'World Cup'!$AC$51,"")</f>
        <v>2</v>
      </c>
      <c r="G99" s="242">
        <f>IF(AND('World Cup'!$AC$51&lt;&gt;"",'World Cup'!$AD$51&lt;&gt;""),'World Cup'!$AD$51,"")</f>
        <v>3</v>
      </c>
      <c r="I99" s="238">
        <f t="shared" si="1482"/>
        <v>10</v>
      </c>
      <c r="J99" s="239" t="str">
        <f t="shared" si="1483"/>
        <v>Germany</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10</v>
      </c>
      <c r="W99" s="239" t="str">
        <f t="shared" si="1488"/>
        <v>Germany</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10</v>
      </c>
      <c r="AJ99" s="239" t="str">
        <f t="shared" si="1493"/>
        <v>Germany</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10</v>
      </c>
      <c r="AW99" s="239" t="str">
        <f t="shared" si="1498"/>
        <v>Germany</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10</v>
      </c>
      <c r="BJ99" s="239" t="str">
        <f t="shared" si="1503"/>
        <v>Germany</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10</v>
      </c>
      <c r="BW99" s="239" t="str">
        <f t="shared" si="1508"/>
        <v>Germany</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10</v>
      </c>
      <c r="CJ99" s="239" t="str">
        <f t="shared" si="1513"/>
        <v>Germany</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10</v>
      </c>
      <c r="CW99" s="239" t="str">
        <f t="shared" si="1518"/>
        <v>Germany</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10</v>
      </c>
      <c r="DJ99" s="239" t="str">
        <f t="shared" si="1523"/>
        <v>Germany</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10</v>
      </c>
      <c r="DW99" s="239" t="str">
        <f t="shared" si="1528"/>
        <v>Germany</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10</v>
      </c>
      <c r="EJ99" s="239" t="str">
        <f t="shared" si="1533"/>
        <v>Germany</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10</v>
      </c>
      <c r="EW99" s="239" t="str">
        <f t="shared" si="1538"/>
        <v>Germany</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10</v>
      </c>
      <c r="FJ99" s="239" t="str">
        <f t="shared" si="1543"/>
        <v>Germany</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10</v>
      </c>
      <c r="FW99" s="239" t="str">
        <f t="shared" si="1548"/>
        <v>Germany</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10</v>
      </c>
      <c r="GJ99" s="239" t="str">
        <f t="shared" si="1553"/>
        <v>Germany</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10</v>
      </c>
      <c r="GW99" s="239" t="str">
        <f t="shared" si="1558"/>
        <v>Germany</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10</v>
      </c>
      <c r="HJ99" s="239" t="str">
        <f t="shared" si="1563"/>
        <v>Germany</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10</v>
      </c>
      <c r="HW99" s="239" t="str">
        <f t="shared" si="1568"/>
        <v>Germany</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10</v>
      </c>
      <c r="IJ99" s="239" t="str">
        <f t="shared" si="1573"/>
        <v>Germany</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10</v>
      </c>
      <c r="IW99" s="239" t="str">
        <f t="shared" si="1578"/>
        <v>Germany</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10</v>
      </c>
      <c r="JJ99" s="239" t="str">
        <f t="shared" si="1583"/>
        <v>Germany</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10</v>
      </c>
      <c r="JW99" s="239" t="str">
        <f t="shared" si="1588"/>
        <v>Germany</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10</v>
      </c>
      <c r="KJ99" s="239" t="str">
        <f t="shared" si="1593"/>
        <v>Germany</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10</v>
      </c>
      <c r="KW99" s="239" t="str">
        <f t="shared" si="1598"/>
        <v>Germany</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10</v>
      </c>
      <c r="LJ99" s="239" t="str">
        <f t="shared" si="1603"/>
        <v>Germany</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10</v>
      </c>
      <c r="LW99" s="239" t="str">
        <f t="shared" si="1608"/>
        <v>Germany</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x14ac:dyDescent="0.2">
      <c r="B100" s="238">
        <f>IF(C100="","",INDEX(Groups!$C$7:$C$65,MATCH(C100,Groups!$D$7:$D$65,0)))</f>
        <v>15</v>
      </c>
      <c r="C100" s="239" t="str">
        <f>'World Cup'!$AF$50</f>
        <v>Mexico</v>
      </c>
      <c r="D100" s="240">
        <f>IF(E100="","",INDEX(Groups!$C$7:$C$65,MATCH(E100,Groups!$D$7:$D$65,0)))</f>
        <v>43</v>
      </c>
      <c r="E100" s="239" t="str">
        <f>'World Cup'!$AG$50</f>
        <v>Scotland</v>
      </c>
      <c r="F100" s="241">
        <f>IF(AND('World Cup'!$AF$51&lt;&gt;"",'World Cup'!$AG$51&lt;&gt;""),'World Cup'!$AF$51,"")</f>
        <v>2</v>
      </c>
      <c r="G100" s="242">
        <f>IF(AND('World Cup'!$AF$51&lt;&gt;"",'World Cup'!$AG$51&lt;&gt;""),'World Cup'!$AG$51,"")</f>
        <v>0</v>
      </c>
      <c r="I100" s="238">
        <f t="shared" si="1482"/>
        <v>15</v>
      </c>
      <c r="J100" s="239" t="str">
        <f t="shared" si="1483"/>
        <v>Mexico</v>
      </c>
      <c r="K100" s="240">
        <f t="shared" si="1484"/>
        <v>43</v>
      </c>
      <c r="L100" s="239" t="str">
        <f t="shared" si="1485"/>
        <v>Scotland</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15</v>
      </c>
      <c r="W100" s="239" t="str">
        <f t="shared" si="1488"/>
        <v>Mexico</v>
      </c>
      <c r="X100" s="240">
        <f t="shared" si="1489"/>
        <v>43</v>
      </c>
      <c r="Y100" s="239" t="str">
        <f t="shared" si="1490"/>
        <v>Scotland</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15</v>
      </c>
      <c r="AJ100" s="239" t="str">
        <f t="shared" si="1493"/>
        <v>Mexico</v>
      </c>
      <c r="AK100" s="240">
        <f t="shared" si="1494"/>
        <v>43</v>
      </c>
      <c r="AL100" s="239" t="str">
        <f t="shared" si="1495"/>
        <v>Scotland</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15</v>
      </c>
      <c r="AW100" s="239" t="str">
        <f t="shared" si="1498"/>
        <v>Mexico</v>
      </c>
      <c r="AX100" s="240">
        <f t="shared" si="1499"/>
        <v>43</v>
      </c>
      <c r="AY100" s="239" t="str">
        <f t="shared" si="1500"/>
        <v>Scotland</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15</v>
      </c>
      <c r="BJ100" s="239" t="str">
        <f t="shared" si="1503"/>
        <v>Mexico</v>
      </c>
      <c r="BK100" s="240">
        <f t="shared" si="1504"/>
        <v>43</v>
      </c>
      <c r="BL100" s="239" t="str">
        <f t="shared" si="1505"/>
        <v>Scotland</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15</v>
      </c>
      <c r="BW100" s="239" t="str">
        <f t="shared" si="1508"/>
        <v>Mexico</v>
      </c>
      <c r="BX100" s="240">
        <f t="shared" si="1509"/>
        <v>43</v>
      </c>
      <c r="BY100" s="239" t="str">
        <f t="shared" si="1510"/>
        <v>Scotland</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15</v>
      </c>
      <c r="CJ100" s="239" t="str">
        <f t="shared" si="1513"/>
        <v>Mexico</v>
      </c>
      <c r="CK100" s="240">
        <f t="shared" si="1514"/>
        <v>43</v>
      </c>
      <c r="CL100" s="239" t="str">
        <f t="shared" si="1515"/>
        <v>Scotland</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15</v>
      </c>
      <c r="CW100" s="239" t="str">
        <f t="shared" si="1518"/>
        <v>Mexico</v>
      </c>
      <c r="CX100" s="240">
        <f t="shared" si="1519"/>
        <v>43</v>
      </c>
      <c r="CY100" s="239" t="str">
        <f t="shared" si="1520"/>
        <v>Scotland</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15</v>
      </c>
      <c r="DJ100" s="239" t="str">
        <f t="shared" si="1523"/>
        <v>Mexico</v>
      </c>
      <c r="DK100" s="240">
        <f t="shared" si="1524"/>
        <v>43</v>
      </c>
      <c r="DL100" s="239" t="str">
        <f t="shared" si="1525"/>
        <v>Scotland</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15</v>
      </c>
      <c r="DW100" s="239" t="str">
        <f t="shared" si="1528"/>
        <v>Mexico</v>
      </c>
      <c r="DX100" s="240">
        <f t="shared" si="1529"/>
        <v>43</v>
      </c>
      <c r="DY100" s="239" t="str">
        <f t="shared" si="1530"/>
        <v>Scotland</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15</v>
      </c>
      <c r="EJ100" s="239" t="str">
        <f t="shared" si="1533"/>
        <v>Mexico</v>
      </c>
      <c r="EK100" s="240">
        <f t="shared" si="1534"/>
        <v>43</v>
      </c>
      <c r="EL100" s="239" t="str">
        <f t="shared" si="1535"/>
        <v>Scotland</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15</v>
      </c>
      <c r="EW100" s="239" t="str">
        <f t="shared" si="1538"/>
        <v>Mexico</v>
      </c>
      <c r="EX100" s="240">
        <f t="shared" si="1539"/>
        <v>43</v>
      </c>
      <c r="EY100" s="239" t="str">
        <f t="shared" si="1540"/>
        <v>Scotland</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15</v>
      </c>
      <c r="FJ100" s="239" t="str">
        <f t="shared" si="1543"/>
        <v>Mexico</v>
      </c>
      <c r="FK100" s="240">
        <f t="shared" si="1544"/>
        <v>43</v>
      </c>
      <c r="FL100" s="239" t="str">
        <f t="shared" si="1545"/>
        <v>Scotland</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15</v>
      </c>
      <c r="FW100" s="239" t="str">
        <f t="shared" si="1548"/>
        <v>Mexico</v>
      </c>
      <c r="FX100" s="240">
        <f t="shared" si="1549"/>
        <v>43</v>
      </c>
      <c r="FY100" s="239" t="str">
        <f t="shared" si="1550"/>
        <v>Scotland</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15</v>
      </c>
      <c r="GJ100" s="239" t="str">
        <f t="shared" si="1553"/>
        <v>Mexico</v>
      </c>
      <c r="GK100" s="240">
        <f t="shared" si="1554"/>
        <v>43</v>
      </c>
      <c r="GL100" s="239" t="str">
        <f t="shared" si="1555"/>
        <v>Scotland</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15</v>
      </c>
      <c r="GW100" s="239" t="str">
        <f t="shared" si="1558"/>
        <v>Mexico</v>
      </c>
      <c r="GX100" s="240">
        <f t="shared" si="1559"/>
        <v>43</v>
      </c>
      <c r="GY100" s="239" t="str">
        <f t="shared" si="1560"/>
        <v>Scotland</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15</v>
      </c>
      <c r="HJ100" s="239" t="str">
        <f t="shared" si="1563"/>
        <v>Mexico</v>
      </c>
      <c r="HK100" s="240">
        <f t="shared" si="1564"/>
        <v>43</v>
      </c>
      <c r="HL100" s="239" t="str">
        <f t="shared" si="1565"/>
        <v>Scotland</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15</v>
      </c>
      <c r="HW100" s="239" t="str">
        <f t="shared" si="1568"/>
        <v>Mexico</v>
      </c>
      <c r="HX100" s="240">
        <f t="shared" si="1569"/>
        <v>43</v>
      </c>
      <c r="HY100" s="239" t="str">
        <f t="shared" si="1570"/>
        <v>Scotland</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15</v>
      </c>
      <c r="IJ100" s="239" t="str">
        <f t="shared" si="1573"/>
        <v>Mexico</v>
      </c>
      <c r="IK100" s="240">
        <f t="shared" si="1574"/>
        <v>43</v>
      </c>
      <c r="IL100" s="239" t="str">
        <f t="shared" si="1575"/>
        <v>Scotland</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15</v>
      </c>
      <c r="IW100" s="239" t="str">
        <f t="shared" si="1578"/>
        <v>Mexico</v>
      </c>
      <c r="IX100" s="240">
        <f t="shared" si="1579"/>
        <v>43</v>
      </c>
      <c r="IY100" s="239" t="str">
        <f t="shared" si="1580"/>
        <v>Scotland</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15</v>
      </c>
      <c r="JJ100" s="239" t="str">
        <f t="shared" si="1583"/>
        <v>Mexico</v>
      </c>
      <c r="JK100" s="240">
        <f t="shared" si="1584"/>
        <v>43</v>
      </c>
      <c r="JL100" s="239" t="str">
        <f t="shared" si="1585"/>
        <v>Scotland</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15</v>
      </c>
      <c r="JW100" s="239" t="str">
        <f t="shared" si="1588"/>
        <v>Mexico</v>
      </c>
      <c r="JX100" s="240">
        <f t="shared" si="1589"/>
        <v>43</v>
      </c>
      <c r="JY100" s="239" t="str">
        <f t="shared" si="1590"/>
        <v>Scotland</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15</v>
      </c>
      <c r="KJ100" s="239" t="str">
        <f t="shared" si="1593"/>
        <v>Mexico</v>
      </c>
      <c r="KK100" s="240">
        <f t="shared" si="1594"/>
        <v>43</v>
      </c>
      <c r="KL100" s="239" t="str">
        <f t="shared" si="1595"/>
        <v>Scotland</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15</v>
      </c>
      <c r="KW100" s="239" t="str">
        <f t="shared" si="1598"/>
        <v>Mexico</v>
      </c>
      <c r="KX100" s="240">
        <f t="shared" si="1599"/>
        <v>43</v>
      </c>
      <c r="KY100" s="239" t="str">
        <f t="shared" si="1600"/>
        <v>Scotland</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15</v>
      </c>
      <c r="LJ100" s="239" t="str">
        <f t="shared" si="1603"/>
        <v>Mexico</v>
      </c>
      <c r="LK100" s="240">
        <f t="shared" si="1604"/>
        <v>43</v>
      </c>
      <c r="LL100" s="239" t="str">
        <f t="shared" si="1605"/>
        <v>Scotland</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15</v>
      </c>
      <c r="LW100" s="239" t="str">
        <f t="shared" si="1608"/>
        <v>Mexico</v>
      </c>
      <c r="LX100" s="240">
        <f t="shared" si="1609"/>
        <v>43</v>
      </c>
      <c r="LY100" s="239" t="str">
        <f t="shared" si="1610"/>
        <v>Scotland</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x14ac:dyDescent="0.2">
      <c r="B101" s="238">
        <f>IF(C101="","",INDEX(Groups!$C$7:$C$65,MATCH(C101,Groups!$D$7:$D$65,0)))</f>
        <v>4</v>
      </c>
      <c r="C101" s="239" t="str">
        <f>'World Cup'!$AI$50</f>
        <v>England</v>
      </c>
      <c r="D101" s="240">
        <f>IF(E101="","",INDEX(Groups!$C$7:$C$65,MATCH(E101,Groups!$D$7:$D$65,0)))</f>
        <v>34</v>
      </c>
      <c r="E101" s="239" t="str">
        <f>'World Cup'!$AJ$50</f>
        <v>Ivory Coast</v>
      </c>
      <c r="F101" s="241">
        <f>IF(AND('World Cup'!$AI$51&lt;&gt;"",'World Cup'!$AJ$51&lt;&gt;""),'World Cup'!$AI$51,"")</f>
        <v>3</v>
      </c>
      <c r="G101" s="242">
        <f>IF(AND('World Cup'!$AI$51&lt;&gt;"",'World Cup'!$AJ$51&lt;&gt;""),'World Cup'!$AJ$51,"")</f>
        <v>0</v>
      </c>
      <c r="I101" s="238">
        <f t="shared" si="1482"/>
        <v>4</v>
      </c>
      <c r="J101" s="239" t="str">
        <f t="shared" si="1483"/>
        <v>England</v>
      </c>
      <c r="K101" s="240">
        <f t="shared" si="1484"/>
        <v>34</v>
      </c>
      <c r="L101" s="239" t="str">
        <f t="shared" si="1485"/>
        <v>Ivory Coast</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34</v>
      </c>
      <c r="Y101" s="239" t="str">
        <f t="shared" si="1490"/>
        <v>Ivory Coast</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34</v>
      </c>
      <c r="AL101" s="239" t="str">
        <f t="shared" si="1495"/>
        <v>Ivory Coast</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34</v>
      </c>
      <c r="AY101" s="239" t="str">
        <f t="shared" si="1500"/>
        <v>Ivory Coast</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34</v>
      </c>
      <c r="BL101" s="239" t="str">
        <f t="shared" si="1505"/>
        <v>Ivory Coast</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34</v>
      </c>
      <c r="BY101" s="239" t="str">
        <f t="shared" si="1510"/>
        <v>Ivory Coast</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34</v>
      </c>
      <c r="CL101" s="239" t="str">
        <f t="shared" si="1515"/>
        <v>Ivory Coast</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34</v>
      </c>
      <c r="CY101" s="239" t="str">
        <f t="shared" si="1520"/>
        <v>Ivory Coast</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34</v>
      </c>
      <c r="DL101" s="239" t="str">
        <f t="shared" si="1525"/>
        <v>Ivory Coast</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34</v>
      </c>
      <c r="DY101" s="239" t="str">
        <f t="shared" si="1530"/>
        <v>Ivory Coast</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34</v>
      </c>
      <c r="EL101" s="239" t="str">
        <f t="shared" si="1535"/>
        <v>Ivory Coast</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34</v>
      </c>
      <c r="EY101" s="239" t="str">
        <f t="shared" si="1540"/>
        <v>Ivory Coast</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34</v>
      </c>
      <c r="FL101" s="239" t="str">
        <f t="shared" si="1545"/>
        <v>Ivory Coast</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34</v>
      </c>
      <c r="FY101" s="239" t="str">
        <f t="shared" si="1550"/>
        <v>Ivory Coast</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34</v>
      </c>
      <c r="GL101" s="239" t="str">
        <f t="shared" si="1555"/>
        <v>Ivory Coast</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34</v>
      </c>
      <c r="GY101" s="239" t="str">
        <f t="shared" si="1560"/>
        <v>Ivory Coast</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34</v>
      </c>
      <c r="HL101" s="239" t="str">
        <f t="shared" si="1565"/>
        <v>Ivory Coast</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34</v>
      </c>
      <c r="HY101" s="239" t="str">
        <f t="shared" si="1570"/>
        <v>Ivory Coast</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34</v>
      </c>
      <c r="IL101" s="239" t="str">
        <f t="shared" si="1575"/>
        <v>Ivory Coast</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34</v>
      </c>
      <c r="IY101" s="239" t="str">
        <f t="shared" si="1580"/>
        <v>Ivory Coast</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34</v>
      </c>
      <c r="JL101" s="239" t="str">
        <f t="shared" si="1585"/>
        <v>Ivory Coast</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34</v>
      </c>
      <c r="JY101" s="239" t="str">
        <f t="shared" si="1590"/>
        <v>Ivory Coast</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34</v>
      </c>
      <c r="KL101" s="239" t="str">
        <f t="shared" si="1595"/>
        <v>Ivory Coast</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34</v>
      </c>
      <c r="KY101" s="239" t="str">
        <f t="shared" si="1600"/>
        <v>Ivory Coast</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34</v>
      </c>
      <c r="LL101" s="239" t="str">
        <f t="shared" si="1605"/>
        <v>Ivory Coast</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34</v>
      </c>
      <c r="LY101" s="239" t="str">
        <f t="shared" si="1610"/>
        <v>Ivory Coast</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x14ac:dyDescent="0.2">
      <c r="B102" s="238">
        <f>IF(C102="","",INDEX(Groups!$C$7:$C$65,MATCH(C102,Groups!$D$7:$D$65,0)))</f>
        <v>24</v>
      </c>
      <c r="C102" s="239" t="str">
        <f>'World Cup'!$AL$50</f>
        <v>Austria</v>
      </c>
      <c r="D102" s="240">
        <f>IF(E102="","",INDEX(Groups!$C$7:$C$65,MATCH(E102,Groups!$D$7:$D$65,0)))</f>
        <v>17</v>
      </c>
      <c r="E102" s="239" t="str">
        <f>'World Cup'!$AM$50</f>
        <v>Uruguay</v>
      </c>
      <c r="F102" s="241">
        <f>IF(AND('World Cup'!$AL$51&lt;&gt;"",'World Cup'!$AM$51&lt;&gt;""),'World Cup'!$AL$51,"")</f>
        <v>2</v>
      </c>
      <c r="G102" s="242">
        <f>IF(AND('World Cup'!$AL$51&lt;&gt;"",'World Cup'!$AM$51&lt;&gt;""),'World Cup'!$AM$51,"")</f>
        <v>1</v>
      </c>
      <c r="I102" s="238">
        <f t="shared" si="1482"/>
        <v>24</v>
      </c>
      <c r="J102" s="239" t="str">
        <f t="shared" si="1483"/>
        <v>Austria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24</v>
      </c>
      <c r="W102" s="239" t="str">
        <f t="shared" si="1488"/>
        <v>Austria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24</v>
      </c>
      <c r="AJ102" s="239" t="str">
        <f t="shared" si="1493"/>
        <v>Austria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24</v>
      </c>
      <c r="AW102" s="239" t="str">
        <f t="shared" si="1498"/>
        <v>Austria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24</v>
      </c>
      <c r="BJ102" s="239" t="str">
        <f t="shared" si="1503"/>
        <v>Austria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24</v>
      </c>
      <c r="BW102" s="239" t="str">
        <f t="shared" si="1508"/>
        <v>Austria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24</v>
      </c>
      <c r="CJ102" s="239" t="str">
        <f t="shared" si="1513"/>
        <v>Austria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24</v>
      </c>
      <c r="CW102" s="239" t="str">
        <f t="shared" si="1518"/>
        <v>Austria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24</v>
      </c>
      <c r="DJ102" s="239" t="str">
        <f t="shared" si="1523"/>
        <v>Austria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24</v>
      </c>
      <c r="DW102" s="239" t="str">
        <f t="shared" si="1528"/>
        <v>Austria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24</v>
      </c>
      <c r="EJ102" s="239" t="str">
        <f t="shared" si="1533"/>
        <v>Austria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24</v>
      </c>
      <c r="EW102" s="239" t="str">
        <f t="shared" si="1538"/>
        <v>Austria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24</v>
      </c>
      <c r="FJ102" s="239" t="str">
        <f t="shared" si="1543"/>
        <v>Austria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24</v>
      </c>
      <c r="FW102" s="239" t="str">
        <f t="shared" si="1548"/>
        <v>Austria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24</v>
      </c>
      <c r="GJ102" s="239" t="str">
        <f t="shared" si="1553"/>
        <v>Austria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24</v>
      </c>
      <c r="GW102" s="239" t="str">
        <f t="shared" si="1558"/>
        <v>Austria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24</v>
      </c>
      <c r="HJ102" s="239" t="str">
        <f t="shared" si="1563"/>
        <v>Austria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24</v>
      </c>
      <c r="HW102" s="239" t="str">
        <f t="shared" si="1568"/>
        <v>Austria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24</v>
      </c>
      <c r="IJ102" s="239" t="str">
        <f t="shared" si="1573"/>
        <v>Austria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24</v>
      </c>
      <c r="IW102" s="239" t="str">
        <f t="shared" si="1578"/>
        <v>Austria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24</v>
      </c>
      <c r="JJ102" s="239" t="str">
        <f t="shared" si="1583"/>
        <v>Austria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24</v>
      </c>
      <c r="JW102" s="239" t="str">
        <f t="shared" si="1588"/>
        <v>Austria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24</v>
      </c>
      <c r="KJ102" s="239" t="str">
        <f t="shared" si="1593"/>
        <v>Austria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24</v>
      </c>
      <c r="KW102" s="239" t="str">
        <f t="shared" si="1598"/>
        <v>Austria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24</v>
      </c>
      <c r="LJ102" s="239" t="str">
        <f t="shared" si="1603"/>
        <v>Austria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24</v>
      </c>
      <c r="LW102" s="239" t="str">
        <f t="shared" si="1608"/>
        <v>Austria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x14ac:dyDescent="0.2">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f>
        <v>2</v>
      </c>
      <c r="G103" s="242">
        <f>IF(AND('World Cup'!$AO$51&lt;&gt;"",'World Cup'!$AP$51&lt;&gt;""),'World Cup'!$AP$51,"")</f>
        <v>0</v>
      </c>
      <c r="I103" s="238">
        <f t="shared" si="1482"/>
        <v>16</v>
      </c>
      <c r="J103" s="239" t="str">
        <f t="shared" si="1483"/>
        <v>USA</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16</v>
      </c>
      <c r="W103" s="239" t="str">
        <f t="shared" si="1488"/>
        <v>USA</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16</v>
      </c>
      <c r="AJ103" s="239" t="str">
        <f t="shared" si="1493"/>
        <v>USA</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16</v>
      </c>
      <c r="AW103" s="239" t="str">
        <f t="shared" si="1498"/>
        <v>USA</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16</v>
      </c>
      <c r="BJ103" s="239" t="str">
        <f t="shared" si="1503"/>
        <v>USA</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16</v>
      </c>
      <c r="BW103" s="239" t="str">
        <f t="shared" si="1508"/>
        <v>USA</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16</v>
      </c>
      <c r="CJ103" s="239" t="str">
        <f t="shared" si="1513"/>
        <v>USA</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16</v>
      </c>
      <c r="CW103" s="239" t="str">
        <f t="shared" si="1518"/>
        <v>USA</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16</v>
      </c>
      <c r="DJ103" s="239" t="str">
        <f t="shared" si="1523"/>
        <v>USA</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16</v>
      </c>
      <c r="DW103" s="239" t="str">
        <f t="shared" si="1528"/>
        <v>USA</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16</v>
      </c>
      <c r="EJ103" s="239" t="str">
        <f t="shared" si="1533"/>
        <v>USA</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16</v>
      </c>
      <c r="EW103" s="239" t="str">
        <f t="shared" si="1538"/>
        <v>USA</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16</v>
      </c>
      <c r="FJ103" s="239" t="str">
        <f t="shared" si="1543"/>
        <v>USA</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16</v>
      </c>
      <c r="FW103" s="239" t="str">
        <f t="shared" si="1548"/>
        <v>USA</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16</v>
      </c>
      <c r="GJ103" s="239" t="str">
        <f t="shared" si="1553"/>
        <v>USA</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16</v>
      </c>
      <c r="GW103" s="239" t="str">
        <f t="shared" si="1558"/>
        <v>USA</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16</v>
      </c>
      <c r="HJ103" s="239" t="str">
        <f t="shared" si="1563"/>
        <v>USA</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16</v>
      </c>
      <c r="HW103" s="239" t="str">
        <f t="shared" si="1568"/>
        <v>USA</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16</v>
      </c>
      <c r="IJ103" s="239" t="str">
        <f t="shared" si="1573"/>
        <v>USA</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16</v>
      </c>
      <c r="IW103" s="239" t="str">
        <f t="shared" si="1578"/>
        <v>USA</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16</v>
      </c>
      <c r="JJ103" s="239" t="str">
        <f t="shared" si="1583"/>
        <v>USA</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16</v>
      </c>
      <c r="JW103" s="239" t="str">
        <f t="shared" si="1588"/>
        <v>USA</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16</v>
      </c>
      <c r="KJ103" s="239" t="str">
        <f t="shared" si="1593"/>
        <v>USA</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16</v>
      </c>
      <c r="KW103" s="239" t="str">
        <f t="shared" si="1598"/>
        <v>USA</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16</v>
      </c>
      <c r="LJ103" s="239" t="str">
        <f t="shared" si="1603"/>
        <v>USA</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16</v>
      </c>
      <c r="LW103" s="239" t="str">
        <f t="shared" si="1608"/>
        <v>USA</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x14ac:dyDescent="0.2">
      <c r="B104" s="238">
        <f>IF(C104="","",INDEX(Groups!$C$7:$C$65,MATCH(C104,Groups!$D$7:$D$65,0)))</f>
        <v>19</v>
      </c>
      <c r="C104" s="239" t="str">
        <f>'World Cup'!$AR$50</f>
        <v>Switzerland</v>
      </c>
      <c r="D104" s="240">
        <f>IF(E104="","",INDEX(Groups!$C$7:$C$65,MATCH(E104,Groups!$D$7:$D$65,0)))</f>
        <v>21</v>
      </c>
      <c r="E104" s="239" t="str">
        <f>'World Cup'!$AS$50</f>
        <v>IR Iran</v>
      </c>
      <c r="F104" s="241">
        <f>IF(AND('World Cup'!$AR$51&lt;&gt;"",'World Cup'!$AS$51&lt;&gt;""),'World Cup'!$AR$51,"")</f>
        <v>2</v>
      </c>
      <c r="G104" s="242">
        <f>IF(AND('World Cup'!$AR$51&lt;&gt;"",'World Cup'!$AS$51&lt;&gt;""),'World Cup'!$AS$51,"")</f>
        <v>0</v>
      </c>
      <c r="I104" s="238">
        <f t="shared" si="1482"/>
        <v>19</v>
      </c>
      <c r="J104" s="239" t="str">
        <f t="shared" si="1483"/>
        <v>Switzerland</v>
      </c>
      <c r="K104" s="240">
        <f t="shared" si="1484"/>
        <v>21</v>
      </c>
      <c r="L104" s="239" t="str">
        <f t="shared" si="1485"/>
        <v>IR Iran</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21</v>
      </c>
      <c r="Y104" s="239" t="str">
        <f t="shared" si="1490"/>
        <v>IR Iran</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21</v>
      </c>
      <c r="AL104" s="239" t="str">
        <f t="shared" si="1495"/>
        <v>IR Iran</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21</v>
      </c>
      <c r="AY104" s="239" t="str">
        <f t="shared" si="1500"/>
        <v>IR Iran</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21</v>
      </c>
      <c r="BL104" s="239" t="str">
        <f t="shared" si="1505"/>
        <v>IR Iran</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21</v>
      </c>
      <c r="BY104" s="239" t="str">
        <f t="shared" si="1510"/>
        <v>IR Iran</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21</v>
      </c>
      <c r="CL104" s="239" t="str">
        <f t="shared" si="1515"/>
        <v>IR Iran</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21</v>
      </c>
      <c r="CY104" s="239" t="str">
        <f t="shared" si="1520"/>
        <v>IR Iran</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21</v>
      </c>
      <c r="DL104" s="239" t="str">
        <f t="shared" si="1525"/>
        <v>IR Iran</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21</v>
      </c>
      <c r="DY104" s="239" t="str">
        <f t="shared" si="1530"/>
        <v>IR Iran</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21</v>
      </c>
      <c r="EL104" s="239" t="str">
        <f t="shared" si="1535"/>
        <v>IR Iran</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21</v>
      </c>
      <c r="EY104" s="239" t="str">
        <f t="shared" si="1540"/>
        <v>IR Iran</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21</v>
      </c>
      <c r="FL104" s="239" t="str">
        <f t="shared" si="1545"/>
        <v>IR Iran</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21</v>
      </c>
      <c r="FY104" s="239" t="str">
        <f t="shared" si="1550"/>
        <v>IR Iran</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21</v>
      </c>
      <c r="GL104" s="239" t="str">
        <f t="shared" si="1555"/>
        <v>IR Iran</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21</v>
      </c>
      <c r="GY104" s="239" t="str">
        <f t="shared" si="1560"/>
        <v>IR Iran</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21</v>
      </c>
      <c r="HL104" s="239" t="str">
        <f t="shared" si="1565"/>
        <v>IR Iran</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21</v>
      </c>
      <c r="HY104" s="239" t="str">
        <f t="shared" si="1570"/>
        <v>IR Iran</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21</v>
      </c>
      <c r="IL104" s="239" t="str">
        <f t="shared" si="1575"/>
        <v>IR Iran</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21</v>
      </c>
      <c r="IY104" s="239" t="str">
        <f t="shared" si="1580"/>
        <v>IR Iran</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21</v>
      </c>
      <c r="JL104" s="239" t="str">
        <f t="shared" si="1585"/>
        <v>IR Iran</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21</v>
      </c>
      <c r="JY104" s="239" t="str">
        <f t="shared" si="1590"/>
        <v>IR Iran</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21</v>
      </c>
      <c r="KL104" s="239" t="str">
        <f t="shared" si="1595"/>
        <v>IR Iran</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21</v>
      </c>
      <c r="KY104" s="239" t="str">
        <f t="shared" si="1600"/>
        <v>IR Iran</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21</v>
      </c>
      <c r="LL104" s="239" t="str">
        <f t="shared" si="1605"/>
        <v>IR Iran</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21</v>
      </c>
      <c r="LY104" s="239" t="str">
        <f t="shared" si="1610"/>
        <v>IR Iran</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x14ac:dyDescent="0.2">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f>
        <v>3</v>
      </c>
      <c r="G105" s="242">
        <f>IF(AND('World Cup'!$AU$51&lt;&gt;"",'World Cup'!$AV$51&lt;&gt;""),'World Cup'!$AV$51,"")</f>
        <v>0</v>
      </c>
      <c r="I105" s="238">
        <f t="shared" si="1482"/>
        <v>5</v>
      </c>
      <c r="J105" s="239" t="str">
        <f t="shared" si="1483"/>
        <v>Portugal</v>
      </c>
      <c r="K105" s="240">
        <f t="shared" si="1484"/>
        <v>74</v>
      </c>
      <c r="L105" s="239" t="str">
        <f t="shared" si="1485"/>
        <v>Ghana</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74</v>
      </c>
      <c r="Y105" s="239" t="str">
        <f t="shared" si="1490"/>
        <v>Ghana</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74</v>
      </c>
      <c r="AL105" s="239" t="str">
        <f t="shared" si="1495"/>
        <v>Ghana</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74</v>
      </c>
      <c r="AY105" s="239" t="str">
        <f t="shared" si="1500"/>
        <v>Ghana</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74</v>
      </c>
      <c r="BL105" s="239" t="str">
        <f t="shared" si="1505"/>
        <v>Ghana</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74</v>
      </c>
      <c r="BY105" s="239" t="str">
        <f t="shared" si="1510"/>
        <v>Ghana</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74</v>
      </c>
      <c r="CL105" s="239" t="str">
        <f t="shared" si="1515"/>
        <v>Ghana</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74</v>
      </c>
      <c r="CY105" s="239" t="str">
        <f t="shared" si="1520"/>
        <v>Ghana</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74</v>
      </c>
      <c r="DL105" s="239" t="str">
        <f t="shared" si="1525"/>
        <v>Ghana</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74</v>
      </c>
      <c r="DY105" s="239" t="str">
        <f t="shared" si="1530"/>
        <v>Ghana</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74</v>
      </c>
      <c r="EL105" s="239" t="str">
        <f t="shared" si="1535"/>
        <v>Ghana</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74</v>
      </c>
      <c r="EY105" s="239" t="str">
        <f t="shared" si="1540"/>
        <v>Ghana</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74</v>
      </c>
      <c r="FL105" s="239" t="str">
        <f t="shared" si="1545"/>
        <v>Ghana</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74</v>
      </c>
      <c r="FY105" s="239" t="str">
        <f t="shared" si="1550"/>
        <v>Ghana</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74</v>
      </c>
      <c r="GL105" s="239" t="str">
        <f t="shared" si="1555"/>
        <v>Ghana</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74</v>
      </c>
      <c r="GY105" s="239" t="str">
        <f t="shared" si="1560"/>
        <v>Ghana</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74</v>
      </c>
      <c r="HL105" s="239" t="str">
        <f t="shared" si="1565"/>
        <v>Ghana</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74</v>
      </c>
      <c r="HY105" s="239" t="str">
        <f t="shared" si="1570"/>
        <v>Ghana</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74</v>
      </c>
      <c r="IL105" s="239" t="str">
        <f t="shared" si="1575"/>
        <v>Ghana</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74</v>
      </c>
      <c r="IY105" s="239" t="str">
        <f t="shared" si="1580"/>
        <v>Ghana</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74</v>
      </c>
      <c r="JL105" s="239" t="str">
        <f t="shared" si="1585"/>
        <v>Ghana</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74</v>
      </c>
      <c r="JY105" s="239" t="str">
        <f t="shared" si="1590"/>
        <v>Ghana</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74</v>
      </c>
      <c r="KL105" s="239" t="str">
        <f t="shared" si="1595"/>
        <v>Ghana</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74</v>
      </c>
      <c r="KY105" s="239" t="str">
        <f t="shared" si="1600"/>
        <v>Ghana</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74</v>
      </c>
      <c r="LL105" s="239" t="str">
        <f t="shared" si="1605"/>
        <v>Ghana</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74</v>
      </c>
      <c r="LY105" s="239" t="str">
        <f t="shared" si="1610"/>
        <v>Ghana</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x14ac:dyDescent="0.2">
      <c r="A107" s="235"/>
      <c r="B107" s="238">
        <f>IF(C107="","",INDEX(Groups!$C$7:$C$65,MATCH(C107,Groups!$D$7:$D$65,0)))</f>
        <v>23</v>
      </c>
      <c r="C107" s="239" t="str">
        <f>'World Cup'!$B$60</f>
        <v>Ecuador</v>
      </c>
      <c r="D107" s="240">
        <f>IF(E107="","",INDEX(Groups!$C$7:$C$65,MATCH(E107,Groups!$D$7:$D$65,0)))</f>
        <v>1</v>
      </c>
      <c r="E107" s="239" t="str">
        <f>'World Cup'!$C$60</f>
        <v>France</v>
      </c>
      <c r="F107" s="241">
        <f>IF(AND('World Cup'!$B$61&lt;&gt;"",'World Cup'!$C$61&lt;&gt;""),'World Cup'!$B$61,"")</f>
        <v>2</v>
      </c>
      <c r="G107" s="242">
        <f>IF(AND('World Cup'!$B$61&lt;&gt;"",'World Cup'!$C$61&lt;&gt;""),'World Cup'!$C$61,"")</f>
        <v>3</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x14ac:dyDescent="0.2">
      <c r="A108" s="235"/>
      <c r="B108" s="238">
        <f>IF(C108="","",INDEX(Groups!$C$7:$C$65,MATCH(C108,Groups!$D$7:$D$65,0)))</f>
        <v>41</v>
      </c>
      <c r="C108" s="239" t="str">
        <f>'World Cup'!$E$60</f>
        <v>Czech Rep.</v>
      </c>
      <c r="D108" s="240">
        <f>IF(E108="","",INDEX(Groups!$C$7:$C$65,MATCH(E108,Groups!$D$7:$D$65,0)))</f>
        <v>7</v>
      </c>
      <c r="E108" s="239" t="str">
        <f>'World Cup'!$F$60</f>
        <v>Netherlands</v>
      </c>
      <c r="F108" s="241">
        <f>IF(AND('World Cup'!$E$61&lt;&gt;"",'World Cup'!$F$61&lt;&gt;""),'World Cup'!$E$61,"")</f>
        <v>0</v>
      </c>
      <c r="G108" s="242">
        <f>IF(AND('World Cup'!$E$61&lt;&gt;"",'World Cup'!$F$61&lt;&gt;""),'World Cup'!$F$61,"")</f>
        <v>2</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f>
        <v>0</v>
      </c>
      <c r="G109" s="242">
        <f>IF(AND('World Cup'!$H$61&lt;&gt;"",'World Cup'!$I$61&lt;&gt;""),'World Cup'!$I$61,"")</f>
        <v>3</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x14ac:dyDescent="0.2">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f>
        <v>1</v>
      </c>
      <c r="G110" s="242">
        <f>IF(AND('World Cup'!$K$61&lt;&gt;"",'World Cup'!$L$61&lt;&gt;""),'World Cup'!$L$61,"")</f>
        <v>2</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x14ac:dyDescent="0.2">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f>
        <v>2</v>
      </c>
      <c r="G111" s="242">
        <f>IF(AND('World Cup'!$N$61&lt;&gt;"",'World Cup'!$O$61&lt;&gt;""),'World Cup'!$O$61,"")</f>
        <v>1</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x14ac:dyDescent="0.2">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f>
        <v>1</v>
      </c>
      <c r="G112" s="242">
        <f>IF(AND('World Cup'!$Q$61&lt;&gt;"",'World Cup'!$R$61&lt;&gt;""),'World Cup'!$R$61,"")</f>
        <v>3</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x14ac:dyDescent="0.2">
      <c r="A113" s="235"/>
      <c r="B113" s="238">
        <f>IF(C113="","",INDEX(Groups!$C$7:$C$65,MATCH(C113,Groups!$D$7:$D$65,0)))</f>
        <v>24</v>
      </c>
      <c r="C113" s="239" t="str">
        <f>'World Cup'!$T$60</f>
        <v>Austria</v>
      </c>
      <c r="D113" s="240">
        <f>IF(E113="","",INDEX(Groups!$C$7:$C$65,MATCH(E113,Groups!$D$7:$D$65,0)))</f>
        <v>16</v>
      </c>
      <c r="E113" s="239" t="str">
        <f>'World Cup'!$U$60</f>
        <v>USA</v>
      </c>
      <c r="F113" s="241">
        <f>IF(AND('World Cup'!$T$61&lt;&gt;"",'World Cup'!$U$61&lt;&gt;""),'World Cup'!$T$61,"")</f>
        <v>2</v>
      </c>
      <c r="G113" s="242">
        <f>IF(AND('World Cup'!$T$61&lt;&gt;"",'World Cup'!$U$61&lt;&gt;""),'World Cup'!$U$61,"")</f>
        <v>1</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x14ac:dyDescent="0.2">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2</v>
      </c>
      <c r="G114" s="242">
        <f>IF(AND('World Cup'!$W$61&lt;&gt;"",'World Cup'!$X$61&lt;&gt;""),'World Cup'!$X$61,"")</f>
        <v>3</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x14ac:dyDescent="0.2">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f>
        <v>3</v>
      </c>
      <c r="G116" s="242">
        <f>IF(AND('World Cup'!$C$71&lt;&gt;"",'World Cup'!$E$71&lt;&gt;""),'World Cup'!$E$71,"")</f>
        <v>2</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3</v>
      </c>
      <c r="G117" s="242">
        <f>IF(AND('World Cup'!$I$71&lt;&gt;"",'World Cup'!$K$71&lt;&gt;""),'World Cup'!$K$71,"")</f>
        <v>0</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x14ac:dyDescent="0.2">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2</v>
      </c>
      <c r="G118" s="242">
        <f>IF(AND('World Cup'!$O$71&lt;&gt;"",'World Cup'!$Q$71&lt;&gt;""),'World Cup'!$Q$71,"")</f>
        <v>2</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x14ac:dyDescent="0.2">
      <c r="B119" s="238">
        <f>IF(C119="","",INDEX(Groups!$C$7:$C$65,MATCH(C119,Groups!$D$7:$D$65,0)))</f>
        <v>24</v>
      </c>
      <c r="C119" s="239" t="str">
        <f>'World Cup'!$U$70</f>
        <v>Austria</v>
      </c>
      <c r="D119" s="240">
        <f>IF(E119="","",INDEX(Groups!$C$7:$C$65,MATCH(E119,Groups!$D$7:$D$65,0)))</f>
        <v>5</v>
      </c>
      <c r="E119" s="239" t="str">
        <f>'World Cup'!$W$70</f>
        <v>Portugal</v>
      </c>
      <c r="F119" s="241">
        <f>IF(AND('World Cup'!$U$71&lt;&gt;"",'World Cup'!$W$71&lt;&gt;""),'World Cup'!$U$71,"")</f>
        <v>1</v>
      </c>
      <c r="G119" s="242">
        <f>IF(AND('World Cup'!$U$71&lt;&gt;"",'World Cup'!$W$71&lt;&gt;""),'World Cup'!$W$71,"")</f>
        <v>3</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x14ac:dyDescent="0.2">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f>
        <v>3</v>
      </c>
      <c r="G121" s="242">
        <f>IF(AND('World Cup'!$F$81&lt;&gt;"",'World Cup'!$H$81&lt;&gt;""),'World Cup'!$H$81,"")</f>
        <v>2</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x14ac:dyDescent="0.2">
      <c r="B122" s="238">
        <f>IF(C122="","",INDEX(Groups!$C$7:$C$65,MATCH(C122,Groups!$D$7:$D$65,0)))</f>
        <v>6</v>
      </c>
      <c r="C122" s="239" t="str">
        <f>'World Cup'!$R$80</f>
        <v>Brazil</v>
      </c>
      <c r="D122" s="240">
        <f>IF(E122="","",INDEX(Groups!$C$7:$C$65,MATCH(E122,Groups!$D$7:$D$65,0)))</f>
        <v>5</v>
      </c>
      <c r="E122" s="239" t="str">
        <f>'World Cup'!$T$80</f>
        <v>Portugal</v>
      </c>
      <c r="F122" s="241">
        <f>IF(AND('World Cup'!$R$81&lt;&gt;"",'World Cup'!$T$81&lt;&gt;""),'World Cup'!$R$81,"")</f>
        <v>3</v>
      </c>
      <c r="G122" s="242">
        <f>IF(AND('World Cup'!$R$81&lt;&gt;"",'World Cup'!$T$81&lt;&gt;""),'World Cup'!$T$81,"")</f>
        <v>3</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x14ac:dyDescent="0.2">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x14ac:dyDescent="0.2">
      <c r="B124" s="238">
        <f>IF(C124="","",INDEX(Groups!$C$7:$C$65,MATCH(C124,Groups!$D$7:$D$65,0)))</f>
        <v>2</v>
      </c>
      <c r="C124" s="239" t="str">
        <f>'World Cup'!$L$88</f>
        <v>Spain</v>
      </c>
      <c r="D124" s="240">
        <f>IF(E124="","",INDEX(Groups!$C$7:$C$65,MATCH(E124,Groups!$D$7:$D$65,0)))</f>
        <v>6</v>
      </c>
      <c r="E124" s="239" t="str">
        <f>'World Cup'!$N$88</f>
        <v>Brazil</v>
      </c>
      <c r="F124" s="241">
        <f>IF(AND('World Cup'!$L$89&lt;&gt;"",'World Cup'!$N$89&lt;&gt;""),'World Cup'!$L$89+IF(AND('World Cup'!$L$91&lt;&gt;"",'World Cup'!$N$91&lt;&gt;"",'World Cup'!$L$89='World Cup'!$N$89),'World Cup'!$L$91,0),"")</f>
        <v>2</v>
      </c>
      <c r="G124" s="242">
        <f>IF(AND('World Cup'!$L$89&lt;&gt;"",'World Cup'!$N$89&lt;&gt;""),'World Cup'!$N$89+IF(AND('World Cup'!$L$91&lt;&gt;"",'World Cup'!$N$91&lt;&gt;"",'World Cup'!$L$89='World Cup'!$N$89),'World Cup'!$N$91,0),"")</f>
        <v>0</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x14ac:dyDescent="0.2">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5.75" thickBot="1" x14ac:dyDescent="0.25">
      <c r="B126" s="243">
        <f>IF(C126="","",INDEX(Groups!$C$7:$C$65,MATCH(C126,Groups!$D$7:$D$65,0)))</f>
        <v>1</v>
      </c>
      <c r="C126" s="244" t="str">
        <f>'World Cup'!$L$98</f>
        <v>France</v>
      </c>
      <c r="D126" s="245">
        <f>IF(E126="","",INDEX(Groups!$C$7:$C$65,MATCH(E126,Groups!$D$7:$D$65,0)))</f>
        <v>5</v>
      </c>
      <c r="E126" s="246" t="str">
        <f>'World Cup'!$N$98</f>
        <v>Portugal</v>
      </c>
      <c r="F126" s="352">
        <f>IF(AND('World Cup'!$L$99&lt;&gt;"",'World Cup'!$N$99&lt;&gt;""),'World Cup'!$L$99+IF(AND('World Cup'!$L$101&lt;&gt;"",'World Cup'!$N$101&lt;&gt;"",'World Cup'!$L$99='World Cup'!$N$99),'World Cup'!$L$101,0),"")</f>
        <v>2</v>
      </c>
      <c r="G126" s="353">
        <f>IF(AND('World Cup'!$L$99&lt;&gt;"",'World Cup'!$N$99&lt;&gt;""),'World Cup'!$N$99+IF(AND('World Cup'!$L$101&lt;&gt;"",'World Cup'!$N$101&lt;&gt;"",'World Cup'!$L$99='World Cup'!$N$99),'World Cup'!$N$101,0),"")</f>
        <v>3</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x14ac:dyDescent="0.2">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x14ac:dyDescent="0.2">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5.75" thickBot="1" x14ac:dyDescent="0.25">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x14ac:dyDescent="0.25">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x14ac:dyDescent="0.2"/>
    <row r="132" spans="2:345" ht="15.75" thickBot="1" x14ac:dyDescent="0.25">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x14ac:dyDescent="0.2">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x14ac:dyDescent="0.2">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x14ac:dyDescent="0.2">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x14ac:dyDescent="0.2">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x14ac:dyDescent="0.2">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x14ac:dyDescent="0.2">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x14ac:dyDescent="0.2">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x14ac:dyDescent="0.2">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5.75" thickBot="1" x14ac:dyDescent="0.25">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5.75" thickTop="1" x14ac:dyDescent="0.2">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x14ac:dyDescent="0.2">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x14ac:dyDescent="0.2">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x14ac:dyDescent="0.2">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x14ac:dyDescent="0.2">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x14ac:dyDescent="0.2">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x14ac:dyDescent="0.2">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x14ac:dyDescent="0.2">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x14ac:dyDescent="0.2">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x14ac:dyDescent="0.2">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x14ac:dyDescent="0.2">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x14ac:dyDescent="0.2">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x14ac:dyDescent="0.2">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x14ac:dyDescent="0.2">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x14ac:dyDescent="0.2"/>
    <row r="105" spans="2:10" x14ac:dyDescent="0.2"/>
    <row r="106"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x14ac:dyDescent="0.2"/>
  <cols>
    <col min="1" max="12" width="11.43359375" customWidth="1"/>
    <col min="13" max="13" width="5.24609375" customWidth="1"/>
    <col min="14" max="14" width="4.03515625" customWidth="1"/>
    <col min="15" max="15" width="6.859375" customWidth="1"/>
    <col min="16" max="16" width="11.43359375" customWidth="1"/>
    <col min="17" max="16384" width="11.43359375" hidden="1"/>
  </cols>
  <sheetData>
    <row r="1" spans="2:15" ht="29.25" x14ac:dyDescent="0.4">
      <c r="B1" s="997" t="str">
        <f>Language!$E$223</f>
        <v>Settings</v>
      </c>
      <c r="C1" s="997"/>
      <c r="D1" s="997"/>
      <c r="E1" s="997"/>
      <c r="F1" s="997"/>
    </row>
    <row r="2" spans="2:15" x14ac:dyDescent="0.2"/>
    <row r="3" spans="2:15" ht="15.75" thickBot="1" x14ac:dyDescent="0.25">
      <c r="B3" s="1004" t="str">
        <f>Language!$E$222</f>
        <v>Factors</v>
      </c>
      <c r="C3" s="1004"/>
      <c r="D3" s="1004"/>
      <c r="E3" s="1004"/>
      <c r="F3" s="1004"/>
      <c r="H3" s="1004" t="str">
        <f>Language!$E$223</f>
        <v>Settings</v>
      </c>
      <c r="I3" s="1004"/>
      <c r="J3" s="1004"/>
      <c r="K3" s="1004"/>
      <c r="L3" s="1004"/>
      <c r="M3" s="1004"/>
      <c r="N3" s="1004"/>
      <c r="O3" s="1004"/>
    </row>
    <row r="4" spans="2:15" ht="24" thickTop="1" x14ac:dyDescent="0.2">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x14ac:dyDescent="0.2">
      <c r="B5" s="1010" t="str">
        <f>Language!$E$226</f>
        <v>goal difference:</v>
      </c>
      <c r="C5" s="1011"/>
      <c r="D5" s="1011"/>
      <c r="E5" s="1011"/>
      <c r="F5" s="346">
        <v>5</v>
      </c>
      <c r="H5" s="1005"/>
      <c r="I5" s="1006"/>
      <c r="J5" s="1006"/>
      <c r="K5" s="1006"/>
      <c r="L5" s="1006"/>
      <c r="M5" s="1006"/>
      <c r="N5" s="1006"/>
      <c r="O5" s="1007"/>
    </row>
    <row r="6" spans="2:15" ht="18" customHeight="1" x14ac:dyDescent="0.2">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x14ac:dyDescent="0.2">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x14ac:dyDescent="0.2">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x14ac:dyDescent="0.25">
      <c r="B9" s="1032" t="str">
        <f>Language!$E$235</f>
        <v>Final/Third-Place Winner:</v>
      </c>
      <c r="C9" s="1033"/>
      <c r="D9" s="1033"/>
      <c r="E9" s="1033"/>
      <c r="F9" s="348">
        <v>10</v>
      </c>
      <c r="H9" s="1012"/>
      <c r="I9" s="1013"/>
      <c r="J9" s="1013"/>
      <c r="K9" s="1013"/>
      <c r="L9" s="1013"/>
      <c r="M9" s="351"/>
      <c r="N9" s="351"/>
      <c r="O9" s="335"/>
    </row>
    <row r="10" spans="2:15" ht="15.75" thickTop="1" x14ac:dyDescent="0.2"/>
    <row r="11" spans="2:15" x14ac:dyDescent="0.2"/>
    <row r="12" spans="2:15" ht="15.75" thickBot="1" x14ac:dyDescent="0.25">
      <c r="H12" s="1022" t="str">
        <f>Language!$E$221</f>
        <v>Hint</v>
      </c>
      <c r="I12" s="1022"/>
      <c r="J12" s="1022"/>
      <c r="K12" s="1022"/>
      <c r="L12" s="1022"/>
      <c r="M12" s="1022"/>
      <c r="N12" s="1022"/>
      <c r="O12" s="1022"/>
    </row>
    <row r="13" spans="2:15" ht="21.75" customHeight="1" thickTop="1" x14ac:dyDescent="0.2">
      <c r="H13" s="1026" t="s">
        <v>26</v>
      </c>
      <c r="I13" s="1027"/>
      <c r="J13" s="1027"/>
      <c r="K13" s="1027"/>
      <c r="L13" s="1027"/>
      <c r="M13" s="1027"/>
      <c r="N13" s="1027"/>
      <c r="O13" s="1028"/>
    </row>
    <row r="14" spans="2:15" ht="15" customHeight="1" x14ac:dyDescent="0.2">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x14ac:dyDescent="0.2">
      <c r="H15" s="1014"/>
      <c r="I15" s="1015"/>
      <c r="J15" s="1015"/>
      <c r="K15" s="1015"/>
      <c r="L15" s="1015"/>
      <c r="M15" s="1015"/>
      <c r="N15" s="1015"/>
      <c r="O15" s="1016"/>
    </row>
    <row r="16" spans="2:15" ht="15" customHeight="1" x14ac:dyDescent="0.2">
      <c r="H16" s="1014"/>
      <c r="I16" s="1015"/>
      <c r="J16" s="1015"/>
      <c r="K16" s="1015"/>
      <c r="L16" s="1015"/>
      <c r="M16" s="1015"/>
      <c r="N16" s="1015"/>
      <c r="O16" s="1016"/>
    </row>
    <row r="17" spans="8:15" ht="15" customHeight="1" x14ac:dyDescent="0.2">
      <c r="H17" s="1014"/>
      <c r="I17" s="1015"/>
      <c r="J17" s="1015"/>
      <c r="K17" s="1015"/>
      <c r="L17" s="1015"/>
      <c r="M17" s="1015"/>
      <c r="N17" s="1015"/>
      <c r="O17" s="1016"/>
    </row>
    <row r="18" spans="8:15" ht="15" customHeight="1" x14ac:dyDescent="0.2">
      <c r="H18" s="1023"/>
      <c r="I18" s="1024"/>
      <c r="J18" s="1024"/>
      <c r="K18" s="1024"/>
      <c r="L18" s="1024"/>
      <c r="M18" s="1024"/>
      <c r="N18" s="1024"/>
      <c r="O18" s="1025"/>
    </row>
    <row r="19" spans="8:15" ht="30" customHeight="1" x14ac:dyDescent="0.2">
      <c r="H19" s="1029" t="s">
        <v>27</v>
      </c>
      <c r="I19" s="1030"/>
      <c r="J19" s="1030"/>
      <c r="K19" s="1030"/>
      <c r="L19" s="1030"/>
      <c r="M19" s="1030"/>
      <c r="N19" s="1030"/>
      <c r="O19" s="1031"/>
    </row>
    <row r="20" spans="8:15" ht="15" customHeight="1" x14ac:dyDescent="0.2">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x14ac:dyDescent="0.2">
      <c r="H21" s="1014"/>
      <c r="I21" s="1015"/>
      <c r="J21" s="1015"/>
      <c r="K21" s="1015"/>
      <c r="L21" s="1015"/>
      <c r="M21" s="1015"/>
      <c r="N21" s="1015"/>
      <c r="O21" s="1016"/>
    </row>
    <row r="22" spans="8:15" x14ac:dyDescent="0.2">
      <c r="H22" s="1014"/>
      <c r="I22" s="1015"/>
      <c r="J22" s="1015"/>
      <c r="K22" s="1015"/>
      <c r="L22" s="1015"/>
      <c r="M22" s="1015"/>
      <c r="N22" s="1015"/>
      <c r="O22" s="1016"/>
    </row>
    <row r="23" spans="8:15" x14ac:dyDescent="0.2">
      <c r="H23" s="1014"/>
      <c r="I23" s="1015"/>
      <c r="J23" s="1015"/>
      <c r="K23" s="1015"/>
      <c r="L23" s="1015"/>
      <c r="M23" s="1015"/>
      <c r="N23" s="1015"/>
      <c r="O23" s="1016"/>
    </row>
    <row r="24" spans="8:15" x14ac:dyDescent="0.2">
      <c r="H24" s="1014"/>
      <c r="I24" s="1015"/>
      <c r="J24" s="1015"/>
      <c r="K24" s="1015"/>
      <c r="L24" s="1015"/>
      <c r="M24" s="1015"/>
      <c r="N24" s="1015"/>
      <c r="O24" s="1016"/>
    </row>
    <row r="25" spans="8:15" x14ac:dyDescent="0.2">
      <c r="H25" s="1014"/>
      <c r="I25" s="1015"/>
      <c r="J25" s="1015"/>
      <c r="K25" s="1015"/>
      <c r="L25" s="1015"/>
      <c r="M25" s="1015"/>
      <c r="N25" s="1015"/>
      <c r="O25" s="1016"/>
    </row>
    <row r="26" spans="8:15" x14ac:dyDescent="0.2">
      <c r="H26" s="1014"/>
      <c r="I26" s="1015"/>
      <c r="J26" s="1015"/>
      <c r="K26" s="1015"/>
      <c r="L26" s="1015"/>
      <c r="M26" s="1015"/>
      <c r="N26" s="1015"/>
      <c r="O26" s="1016"/>
    </row>
    <row r="27" spans="8:15" x14ac:dyDescent="0.2">
      <c r="H27" s="1014"/>
      <c r="I27" s="1015"/>
      <c r="J27" s="1015"/>
      <c r="K27" s="1015"/>
      <c r="L27" s="1015"/>
      <c r="M27" s="1015"/>
      <c r="N27" s="1015"/>
      <c r="O27" s="1016"/>
    </row>
    <row r="28" spans="8:15" ht="15.75" thickBot="1" x14ac:dyDescent="0.25">
      <c r="H28" s="1017"/>
      <c r="I28" s="1018"/>
      <c r="J28" s="1018"/>
      <c r="K28" s="1018"/>
      <c r="L28" s="1018"/>
      <c r="M28" s="1018"/>
      <c r="N28" s="1018"/>
      <c r="O28" s="1019"/>
    </row>
    <row r="29" spans="8:15" ht="15.75" thickTop="1" x14ac:dyDescent="0.2"/>
    <row r="30" spans="8:15" x14ac:dyDescent="0.2"/>
    <row r="31" spans="8:15" x14ac:dyDescent="0.2"/>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x14ac:dyDescent="0.2"/>
  <cols>
    <col min="1" max="1" width="7.93359375" customWidth="1"/>
    <col min="2" max="2" width="19.234375" hidden="1" customWidth="1"/>
    <col min="3" max="3" width="11.43359375" hidden="1" customWidth="1"/>
    <col min="4" max="4" width="6.9921875" style="4" customWidth="1"/>
    <col min="5" max="5" width="22.734375" hidden="1" customWidth="1"/>
    <col min="6" max="12" width="22.734375" customWidth="1"/>
    <col min="13" max="13" width="3.8984375" customWidth="1"/>
    <col min="14" max="14" width="17.75390625" customWidth="1"/>
    <col min="15" max="15" width="9.14453125" customWidth="1"/>
    <col min="16" max="16384" width="11.43359375" hidden="1"/>
  </cols>
  <sheetData>
    <row r="1" spans="2:15" ht="42.75" customHeight="1" thickBot="1" x14ac:dyDescent="0.45">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x14ac:dyDescent="0.25">
      <c r="D2" s="228">
        <v>46113</v>
      </c>
      <c r="F2" s="1039"/>
      <c r="G2" s="1039"/>
      <c r="H2" s="1039"/>
      <c r="I2" s="1039"/>
      <c r="J2" s="1039"/>
      <c r="K2" s="366"/>
      <c r="M2" s="94"/>
      <c r="N2" s="96"/>
    </row>
    <row r="3" spans="2:15" ht="15.75" thickTop="1" x14ac:dyDescent="0.2">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x14ac:dyDescent="0.2">
      <c r="B4" s="25" t="s">
        <v>89</v>
      </c>
      <c r="C4" s="42">
        <f t="shared" ref="C4:C9" si="0">IF($N$1=B4,1,0)</f>
        <v>0</v>
      </c>
      <c r="D4" s="1041"/>
      <c r="E4" s="1044"/>
      <c r="F4" s="1046"/>
      <c r="G4" s="1043"/>
      <c r="H4" s="1043"/>
      <c r="I4" s="1048"/>
      <c r="J4" s="1043"/>
      <c r="K4" s="1049"/>
      <c r="L4" s="1035"/>
      <c r="M4" s="47"/>
      <c r="N4" s="48"/>
    </row>
    <row r="5" spans="2:15" x14ac:dyDescent="0.2">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x14ac:dyDescent="0.2">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x14ac:dyDescent="0.2">
      <c r="B7" s="25" t="s">
        <v>110</v>
      </c>
      <c r="C7" s="42">
        <f t="shared" si="0"/>
        <v>0</v>
      </c>
      <c r="D7" s="182">
        <v>3</v>
      </c>
      <c r="E7" s="205" t="str">
        <f t="shared" si="1"/>
        <v>Argentina</v>
      </c>
      <c r="F7" s="133" t="s">
        <v>337</v>
      </c>
      <c r="G7" s="134" t="s">
        <v>337</v>
      </c>
      <c r="H7" s="132" t="s">
        <v>337</v>
      </c>
      <c r="I7" s="135" t="s">
        <v>390</v>
      </c>
      <c r="J7" s="132" t="s">
        <v>255</v>
      </c>
      <c r="K7" s="628" t="s">
        <v>743</v>
      </c>
      <c r="L7" s="73"/>
    </row>
    <row r="8" spans="2:15" x14ac:dyDescent="0.2">
      <c r="B8" s="25" t="s">
        <v>739</v>
      </c>
      <c r="C8" s="42">
        <f t="shared" si="0"/>
        <v>0</v>
      </c>
      <c r="D8" s="182">
        <v>4</v>
      </c>
      <c r="E8" s="205" t="str">
        <f t="shared" si="1"/>
        <v>England</v>
      </c>
      <c r="F8" s="133" t="s">
        <v>1</v>
      </c>
      <c r="G8" s="134" t="s">
        <v>62</v>
      </c>
      <c r="H8" s="132" t="s">
        <v>76</v>
      </c>
      <c r="I8" s="135" t="s">
        <v>77</v>
      </c>
      <c r="J8" s="132" t="s">
        <v>1</v>
      </c>
      <c r="K8" s="628" t="s">
        <v>744</v>
      </c>
      <c r="L8" s="73"/>
    </row>
    <row r="9" spans="2:15" x14ac:dyDescent="0.2">
      <c r="B9" s="25" t="s">
        <v>92</v>
      </c>
      <c r="C9" s="42">
        <f t="shared" si="0"/>
        <v>0</v>
      </c>
      <c r="D9" s="182">
        <v>5</v>
      </c>
      <c r="E9" s="205" t="str">
        <f t="shared" si="1"/>
        <v>Portugal</v>
      </c>
      <c r="F9" s="133" t="s">
        <v>0</v>
      </c>
      <c r="G9" s="134" t="s">
        <v>0</v>
      </c>
      <c r="H9" s="132" t="s">
        <v>85</v>
      </c>
      <c r="I9" s="135" t="s">
        <v>0</v>
      </c>
      <c r="J9" s="132" t="s">
        <v>0</v>
      </c>
      <c r="K9" s="628" t="s">
        <v>0</v>
      </c>
      <c r="L9" s="73"/>
    </row>
    <row r="10" spans="2:15" x14ac:dyDescent="0.2">
      <c r="D10" s="182">
        <v>6</v>
      </c>
      <c r="E10" s="205" t="str">
        <f t="shared" si="1"/>
        <v>Brazil</v>
      </c>
      <c r="F10" s="133" t="s">
        <v>342</v>
      </c>
      <c r="G10" s="134" t="s">
        <v>343</v>
      </c>
      <c r="H10" s="132" t="s">
        <v>344</v>
      </c>
      <c r="I10" s="135" t="s">
        <v>345</v>
      </c>
      <c r="J10" s="132" t="s">
        <v>170</v>
      </c>
      <c r="K10" s="628" t="s">
        <v>740</v>
      </c>
      <c r="L10" s="73"/>
    </row>
    <row r="11" spans="2:15" x14ac:dyDescent="0.2">
      <c r="D11" s="182">
        <v>7</v>
      </c>
      <c r="E11" s="205" t="str">
        <f t="shared" si="1"/>
        <v>Netherlands</v>
      </c>
      <c r="F11" s="133" t="s">
        <v>411</v>
      </c>
      <c r="G11" s="134" t="s">
        <v>452</v>
      </c>
      <c r="H11" s="132" t="s">
        <v>453</v>
      </c>
      <c r="I11" s="135" t="s">
        <v>454</v>
      </c>
      <c r="J11" s="132" t="s">
        <v>455</v>
      </c>
      <c r="K11" s="628" t="s">
        <v>745</v>
      </c>
      <c r="L11" s="73"/>
    </row>
    <row r="12" spans="2:15" x14ac:dyDescent="0.2">
      <c r="D12" s="182">
        <v>8</v>
      </c>
      <c r="E12" s="205" t="str">
        <f t="shared" si="1"/>
        <v>Morocco</v>
      </c>
      <c r="F12" s="133" t="s">
        <v>328</v>
      </c>
      <c r="G12" s="134" t="s">
        <v>329</v>
      </c>
      <c r="H12" s="132" t="s">
        <v>330</v>
      </c>
      <c r="I12" s="135" t="s">
        <v>331</v>
      </c>
      <c r="J12" s="132" t="s">
        <v>252</v>
      </c>
      <c r="K12" s="628" t="s">
        <v>252</v>
      </c>
      <c r="L12" s="73"/>
    </row>
    <row r="13" spans="2:15" x14ac:dyDescent="0.2">
      <c r="D13" s="182">
        <v>9</v>
      </c>
      <c r="E13" s="205" t="str">
        <f t="shared" si="1"/>
        <v>Belgium</v>
      </c>
      <c r="F13" s="133" t="s">
        <v>36</v>
      </c>
      <c r="G13" s="134" t="s">
        <v>60</v>
      </c>
      <c r="H13" s="132" t="s">
        <v>73</v>
      </c>
      <c r="I13" s="135" t="s">
        <v>74</v>
      </c>
      <c r="J13" s="132" t="s">
        <v>107</v>
      </c>
      <c r="K13" s="628" t="s">
        <v>741</v>
      </c>
      <c r="L13" s="73"/>
    </row>
    <row r="14" spans="2:15" x14ac:dyDescent="0.2">
      <c r="D14" s="182">
        <v>10</v>
      </c>
      <c r="E14" s="205" t="str">
        <f t="shared" si="1"/>
        <v>Germany</v>
      </c>
      <c r="F14" s="133" t="s">
        <v>37</v>
      </c>
      <c r="G14" s="134" t="s">
        <v>68</v>
      </c>
      <c r="H14" s="132" t="s">
        <v>86</v>
      </c>
      <c r="I14" s="135" t="s">
        <v>87</v>
      </c>
      <c r="J14" s="132" t="s">
        <v>102</v>
      </c>
      <c r="K14" s="628" t="s">
        <v>747</v>
      </c>
      <c r="L14" s="73"/>
    </row>
    <row r="15" spans="2:15" x14ac:dyDescent="0.2">
      <c r="D15" s="182">
        <v>11</v>
      </c>
      <c r="E15" s="205" t="str">
        <f t="shared" si="1"/>
        <v>Croatia</v>
      </c>
      <c r="F15" s="133" t="s">
        <v>41</v>
      </c>
      <c r="G15" s="134" t="s">
        <v>63</v>
      </c>
      <c r="H15" s="132" t="s">
        <v>78</v>
      </c>
      <c r="I15" s="135" t="s">
        <v>79</v>
      </c>
      <c r="J15" s="132" t="s">
        <v>109</v>
      </c>
      <c r="K15" s="628" t="s">
        <v>749</v>
      </c>
      <c r="L15" s="73"/>
    </row>
    <row r="16" spans="2:15" x14ac:dyDescent="0.2">
      <c r="D16" s="182">
        <v>12</v>
      </c>
      <c r="E16" s="205" t="str">
        <f t="shared" si="1"/>
        <v>Italy</v>
      </c>
      <c r="F16" s="133" t="s">
        <v>410</v>
      </c>
      <c r="G16" s="134" t="s">
        <v>449</v>
      </c>
      <c r="H16" s="132" t="s">
        <v>449</v>
      </c>
      <c r="I16" s="135" t="s">
        <v>450</v>
      </c>
      <c r="J16" s="132" t="s">
        <v>451</v>
      </c>
      <c r="K16" s="628" t="s">
        <v>839</v>
      </c>
      <c r="L16" s="73"/>
    </row>
    <row r="17" spans="4:12" x14ac:dyDescent="0.2">
      <c r="D17" s="182">
        <v>13</v>
      </c>
      <c r="E17" s="205" t="str">
        <f t="shared" si="1"/>
        <v>Colombia</v>
      </c>
      <c r="F17" s="133" t="s">
        <v>357</v>
      </c>
      <c r="G17" s="134" t="s">
        <v>357</v>
      </c>
      <c r="H17" s="132" t="s">
        <v>357</v>
      </c>
      <c r="I17" s="135" t="s">
        <v>358</v>
      </c>
      <c r="J17" s="132" t="s">
        <v>264</v>
      </c>
      <c r="K17" s="628" t="s">
        <v>357</v>
      </c>
      <c r="L17" s="73"/>
    </row>
    <row r="18" spans="4:12" x14ac:dyDescent="0.2">
      <c r="D18" s="182">
        <v>14</v>
      </c>
      <c r="E18" s="205" t="str">
        <f t="shared" si="1"/>
        <v>Senegal</v>
      </c>
      <c r="F18" s="133" t="s">
        <v>263</v>
      </c>
      <c r="G18" s="134" t="s">
        <v>263</v>
      </c>
      <c r="H18" s="132" t="s">
        <v>263</v>
      </c>
      <c r="I18" s="135" t="s">
        <v>356</v>
      </c>
      <c r="J18" s="132" t="s">
        <v>263</v>
      </c>
      <c r="K18" s="628" t="s">
        <v>263</v>
      </c>
      <c r="L18" s="73"/>
    </row>
    <row r="19" spans="4:12" x14ac:dyDescent="0.2">
      <c r="D19" s="182">
        <v>15</v>
      </c>
      <c r="E19" s="205" t="str">
        <f t="shared" si="1"/>
        <v>Mexico</v>
      </c>
      <c r="F19" s="133" t="s">
        <v>348</v>
      </c>
      <c r="G19" s="134" t="s">
        <v>349</v>
      </c>
      <c r="H19" s="132" t="s">
        <v>350</v>
      </c>
      <c r="I19" s="135" t="s">
        <v>351</v>
      </c>
      <c r="J19" s="132" t="s">
        <v>260</v>
      </c>
      <c r="K19" s="628" t="s">
        <v>348</v>
      </c>
      <c r="L19" s="73"/>
    </row>
    <row r="20" spans="4:12" x14ac:dyDescent="0.2">
      <c r="D20" s="182">
        <v>16</v>
      </c>
      <c r="E20" s="205" t="str">
        <f t="shared" si="1"/>
        <v>USA</v>
      </c>
      <c r="F20" s="133" t="s">
        <v>456</v>
      </c>
      <c r="G20" s="134" t="s">
        <v>457</v>
      </c>
      <c r="H20" s="132" t="s">
        <v>456</v>
      </c>
      <c r="I20" s="135" t="s">
        <v>456</v>
      </c>
      <c r="J20" s="132" t="s">
        <v>456</v>
      </c>
      <c r="K20" s="628" t="s">
        <v>456</v>
      </c>
      <c r="L20" s="73"/>
    </row>
    <row r="21" spans="4:12" x14ac:dyDescent="0.2">
      <c r="D21" s="182">
        <v>17</v>
      </c>
      <c r="E21" s="205" t="str">
        <f t="shared" si="1"/>
        <v>Uruguay</v>
      </c>
      <c r="F21" s="133" t="s">
        <v>251</v>
      </c>
      <c r="G21" s="134" t="s">
        <v>251</v>
      </c>
      <c r="H21" s="132" t="s">
        <v>251</v>
      </c>
      <c r="I21" s="135" t="s">
        <v>251</v>
      </c>
      <c r="J21" s="132" t="s">
        <v>251</v>
      </c>
      <c r="K21" s="628" t="s">
        <v>251</v>
      </c>
      <c r="L21" s="73"/>
    </row>
    <row r="22" spans="4:12" x14ac:dyDescent="0.2">
      <c r="D22" s="182">
        <v>18</v>
      </c>
      <c r="E22" s="205" t="str">
        <f t="shared" si="1"/>
        <v>Japan</v>
      </c>
      <c r="F22" s="133" t="s">
        <v>265</v>
      </c>
      <c r="G22" s="134" t="s">
        <v>359</v>
      </c>
      <c r="H22" s="132" t="s">
        <v>360</v>
      </c>
      <c r="I22" s="135" t="s">
        <v>361</v>
      </c>
      <c r="J22" s="132" t="s">
        <v>265</v>
      </c>
      <c r="K22" s="628" t="s">
        <v>265</v>
      </c>
      <c r="L22" s="73"/>
    </row>
    <row r="23" spans="4:12" x14ac:dyDescent="0.2">
      <c r="D23" s="182">
        <v>19</v>
      </c>
      <c r="E23" s="205" t="str">
        <f t="shared" si="1"/>
        <v>Switzerland</v>
      </c>
      <c r="F23" s="133" t="s">
        <v>57</v>
      </c>
      <c r="G23" s="134" t="s">
        <v>58</v>
      </c>
      <c r="H23" s="132" t="s">
        <v>69</v>
      </c>
      <c r="I23" s="135" t="s">
        <v>70</v>
      </c>
      <c r="J23" s="132" t="s">
        <v>105</v>
      </c>
      <c r="K23" s="628" t="s">
        <v>748</v>
      </c>
      <c r="L23" s="73"/>
    </row>
    <row r="24" spans="4:12" x14ac:dyDescent="0.2">
      <c r="D24" s="182">
        <v>20</v>
      </c>
      <c r="E24" s="205" t="str">
        <f t="shared" si="1"/>
        <v>Denmark</v>
      </c>
      <c r="F24" s="133" t="s">
        <v>43</v>
      </c>
      <c r="G24" s="134" t="s">
        <v>59</v>
      </c>
      <c r="H24" s="132" t="s">
        <v>71</v>
      </c>
      <c r="I24" s="135" t="s">
        <v>72</v>
      </c>
      <c r="J24" s="132" t="s">
        <v>106</v>
      </c>
      <c r="K24" s="628" t="s">
        <v>746</v>
      </c>
      <c r="L24" s="73"/>
    </row>
    <row r="25" spans="4:12" x14ac:dyDescent="0.2">
      <c r="D25" s="182">
        <v>21</v>
      </c>
      <c r="E25" s="205" t="str">
        <f t="shared" si="1"/>
        <v>IR Iran</v>
      </c>
      <c r="F25" s="133" t="s">
        <v>362</v>
      </c>
      <c r="G25" s="134" t="s">
        <v>1740</v>
      </c>
      <c r="H25" s="132" t="s">
        <v>362</v>
      </c>
      <c r="I25" s="135" t="s">
        <v>1739</v>
      </c>
      <c r="J25" s="132" t="s">
        <v>362</v>
      </c>
      <c r="K25" s="628" t="s">
        <v>362</v>
      </c>
      <c r="L25" s="73"/>
    </row>
    <row r="26" spans="4:12" x14ac:dyDescent="0.2">
      <c r="D26" s="182">
        <v>22</v>
      </c>
      <c r="E26" s="205" t="str">
        <f t="shared" si="1"/>
        <v>Turkey</v>
      </c>
      <c r="F26" s="133" t="s">
        <v>423</v>
      </c>
      <c r="G26" s="134" t="s">
        <v>485</v>
      </c>
      <c r="H26" s="132" t="s">
        <v>484</v>
      </c>
      <c r="I26" s="135" t="s">
        <v>483</v>
      </c>
      <c r="J26" s="132" t="s">
        <v>486</v>
      </c>
      <c r="K26" s="628" t="s">
        <v>761</v>
      </c>
      <c r="L26" s="73"/>
    </row>
    <row r="27" spans="4:12" x14ac:dyDescent="0.2">
      <c r="D27" s="182">
        <v>23</v>
      </c>
      <c r="E27" s="205" t="str">
        <f t="shared" si="1"/>
        <v>Ecuador</v>
      </c>
      <c r="F27" s="133" t="s">
        <v>415</v>
      </c>
      <c r="G27" s="134" t="s">
        <v>415</v>
      </c>
      <c r="H27" s="132" t="s">
        <v>415</v>
      </c>
      <c r="I27" s="135" t="s">
        <v>464</v>
      </c>
      <c r="J27" s="132" t="s">
        <v>415</v>
      </c>
      <c r="K27" s="628" t="s">
        <v>415</v>
      </c>
      <c r="L27" s="73"/>
    </row>
    <row r="28" spans="4:12" x14ac:dyDescent="0.2">
      <c r="D28" s="182">
        <v>24</v>
      </c>
      <c r="E28" s="205" t="str">
        <f t="shared" si="1"/>
        <v>Austria</v>
      </c>
      <c r="F28" s="133" t="s">
        <v>422</v>
      </c>
      <c r="G28" s="134" t="s">
        <v>422</v>
      </c>
      <c r="H28" s="132" t="s">
        <v>422</v>
      </c>
      <c r="I28" s="135" t="s">
        <v>481</v>
      </c>
      <c r="J28" s="132" t="s">
        <v>482</v>
      </c>
      <c r="K28" s="628" t="s">
        <v>753</v>
      </c>
      <c r="L28" s="73"/>
    </row>
    <row r="29" spans="4:12" x14ac:dyDescent="0.2">
      <c r="D29" s="182">
        <v>25</v>
      </c>
      <c r="E29" s="205" t="str">
        <f t="shared" si="1"/>
        <v>Rep. of Korea</v>
      </c>
      <c r="F29" s="133" t="s">
        <v>1892</v>
      </c>
      <c r="G29" s="134" t="s">
        <v>1893</v>
      </c>
      <c r="H29" s="132" t="s">
        <v>1894</v>
      </c>
      <c r="I29" s="135" t="s">
        <v>1895</v>
      </c>
      <c r="J29" s="132" t="s">
        <v>1896</v>
      </c>
      <c r="K29" s="628" t="s">
        <v>1897</v>
      </c>
      <c r="L29" s="73"/>
    </row>
    <row r="30" spans="4:12" x14ac:dyDescent="0.2">
      <c r="D30" s="182">
        <v>26</v>
      </c>
      <c r="E30" s="205" t="str">
        <f t="shared" si="1"/>
        <v>Nigeria</v>
      </c>
      <c r="F30" s="133" t="s">
        <v>257</v>
      </c>
      <c r="G30" s="134" t="s">
        <v>257</v>
      </c>
      <c r="H30" s="132" t="s">
        <v>257</v>
      </c>
      <c r="I30" s="135" t="s">
        <v>257</v>
      </c>
      <c r="J30" s="132" t="s">
        <v>257</v>
      </c>
      <c r="K30" s="628" t="s">
        <v>257</v>
      </c>
      <c r="L30" s="73"/>
    </row>
    <row r="31" spans="4:12" x14ac:dyDescent="0.2">
      <c r="D31" s="182">
        <v>27</v>
      </c>
      <c r="E31" s="205" t="str">
        <f t="shared" si="1"/>
        <v>Australia</v>
      </c>
      <c r="F31" s="133" t="s">
        <v>332</v>
      </c>
      <c r="G31" s="134" t="s">
        <v>332</v>
      </c>
      <c r="H31" s="132" t="s">
        <v>332</v>
      </c>
      <c r="I31" s="135" t="s">
        <v>333</v>
      </c>
      <c r="J31" s="132" t="s">
        <v>253</v>
      </c>
      <c r="K31" s="628" t="s">
        <v>760</v>
      </c>
      <c r="L31" s="73"/>
    </row>
    <row r="32" spans="4:12" x14ac:dyDescent="0.2">
      <c r="D32" s="182">
        <v>28</v>
      </c>
      <c r="E32" s="205" t="str">
        <f t="shared" si="1"/>
        <v>Algeria</v>
      </c>
      <c r="F32" s="133" t="s">
        <v>417</v>
      </c>
      <c r="G32" s="134" t="s">
        <v>469</v>
      </c>
      <c r="H32" s="132" t="s">
        <v>417</v>
      </c>
      <c r="I32" s="135" t="s">
        <v>467</v>
      </c>
      <c r="J32" s="132" t="s">
        <v>468</v>
      </c>
      <c r="K32" s="628" t="s">
        <v>762</v>
      </c>
      <c r="L32" s="73"/>
    </row>
    <row r="33" spans="4:12" x14ac:dyDescent="0.2">
      <c r="D33" s="182">
        <v>29</v>
      </c>
      <c r="E33" s="205" t="str">
        <f t="shared" si="1"/>
        <v>Egypt</v>
      </c>
      <c r="F33" s="133" t="s">
        <v>324</v>
      </c>
      <c r="G33" s="134" t="s">
        <v>325</v>
      </c>
      <c r="H33" s="132" t="s">
        <v>326</v>
      </c>
      <c r="I33" s="135" t="s">
        <v>327</v>
      </c>
      <c r="J33" s="132" t="s">
        <v>250</v>
      </c>
      <c r="K33" s="628" t="s">
        <v>327</v>
      </c>
      <c r="L33" s="73"/>
    </row>
    <row r="34" spans="4:12" x14ac:dyDescent="0.2">
      <c r="D34" s="182">
        <v>30</v>
      </c>
      <c r="E34" s="205" t="str">
        <f t="shared" si="1"/>
        <v>Canada</v>
      </c>
      <c r="F34" s="133" t="s">
        <v>419</v>
      </c>
      <c r="G34" s="134" t="s">
        <v>474</v>
      </c>
      <c r="H34" s="132" t="s">
        <v>419</v>
      </c>
      <c r="I34" s="135" t="s">
        <v>419</v>
      </c>
      <c r="J34" s="132" t="s">
        <v>475</v>
      </c>
      <c r="K34" s="628" t="s">
        <v>419</v>
      </c>
      <c r="L34" s="73"/>
    </row>
    <row r="35" spans="4:12" x14ac:dyDescent="0.2">
      <c r="D35" s="182">
        <v>31</v>
      </c>
      <c r="E35" s="205" t="str">
        <f t="shared" si="1"/>
        <v>Norway</v>
      </c>
      <c r="F35" s="133" t="s">
        <v>418</v>
      </c>
      <c r="G35" s="134" t="s">
        <v>470</v>
      </c>
      <c r="H35" s="132" t="s">
        <v>471</v>
      </c>
      <c r="I35" s="135" t="s">
        <v>472</v>
      </c>
      <c r="J35" s="132" t="s">
        <v>473</v>
      </c>
      <c r="K35" s="628" t="s">
        <v>759</v>
      </c>
      <c r="L35" s="73"/>
    </row>
    <row r="36" spans="4:12" x14ac:dyDescent="0.2">
      <c r="D36" s="182">
        <v>32</v>
      </c>
      <c r="E36" s="205" t="str">
        <f t="shared" si="1"/>
        <v>Ukraine</v>
      </c>
      <c r="F36" s="133" t="s">
        <v>414</v>
      </c>
      <c r="G36" s="134" t="s">
        <v>463</v>
      </c>
      <c r="H36" s="132" t="s">
        <v>462</v>
      </c>
      <c r="I36" s="135" t="s">
        <v>414</v>
      </c>
      <c r="J36" s="132" t="s">
        <v>414</v>
      </c>
      <c r="K36" s="628" t="s">
        <v>752</v>
      </c>
      <c r="L36" s="73"/>
    </row>
    <row r="37" spans="4:12" x14ac:dyDescent="0.2">
      <c r="D37" s="182">
        <v>33</v>
      </c>
      <c r="E37" s="205" t="str">
        <f t="shared" si="1"/>
        <v>Panama</v>
      </c>
      <c r="F37" s="133" t="s">
        <v>261</v>
      </c>
      <c r="G37" s="134" t="s">
        <v>352</v>
      </c>
      <c r="H37" s="132" t="s">
        <v>261</v>
      </c>
      <c r="I37" s="135" t="s">
        <v>261</v>
      </c>
      <c r="J37" s="132" t="s">
        <v>261</v>
      </c>
      <c r="K37" s="628" t="s">
        <v>261</v>
      </c>
      <c r="L37" s="73"/>
    </row>
    <row r="38" spans="4:12" x14ac:dyDescent="0.2">
      <c r="D38" s="182">
        <v>34</v>
      </c>
      <c r="E38" s="205" t="str">
        <f t="shared" si="1"/>
        <v>Ivory Coast</v>
      </c>
      <c r="F38" s="133" t="s">
        <v>431</v>
      </c>
      <c r="G38" s="134" t="s">
        <v>506</v>
      </c>
      <c r="H38" s="132" t="s">
        <v>505</v>
      </c>
      <c r="I38" s="135" t="s">
        <v>507</v>
      </c>
      <c r="J38" s="132" t="s">
        <v>508</v>
      </c>
      <c r="K38" s="628" t="s">
        <v>765</v>
      </c>
      <c r="L38" s="73"/>
    </row>
    <row r="39" spans="4:12" x14ac:dyDescent="0.2">
      <c r="D39" s="182">
        <v>35</v>
      </c>
      <c r="E39" s="205" t="str">
        <f t="shared" si="1"/>
        <v>Poland</v>
      </c>
      <c r="F39" s="133" t="s">
        <v>40</v>
      </c>
      <c r="G39" s="134" t="s">
        <v>64</v>
      </c>
      <c r="H39" s="132" t="s">
        <v>64</v>
      </c>
      <c r="I39" s="135" t="s">
        <v>80</v>
      </c>
      <c r="J39" s="132" t="s">
        <v>100</v>
      </c>
      <c r="K39" s="628" t="s">
        <v>100</v>
      </c>
      <c r="L39" s="73"/>
    </row>
    <row r="40" spans="4:12" x14ac:dyDescent="0.2">
      <c r="D40" s="182">
        <v>36</v>
      </c>
      <c r="E40" s="205" t="str">
        <f t="shared" si="1"/>
        <v>Russia</v>
      </c>
      <c r="F40" s="133" t="s">
        <v>42</v>
      </c>
      <c r="G40" s="134" t="s">
        <v>61</v>
      </c>
      <c r="H40" s="132" t="s">
        <v>42</v>
      </c>
      <c r="I40" s="135" t="s">
        <v>75</v>
      </c>
      <c r="J40" s="132" t="s">
        <v>108</v>
      </c>
      <c r="K40" s="628" t="s">
        <v>755</v>
      </c>
      <c r="L40" s="73"/>
    </row>
    <row r="41" spans="4:12" x14ac:dyDescent="0.2">
      <c r="D41" s="182">
        <v>37</v>
      </c>
      <c r="E41" s="205" t="str">
        <f t="shared" si="1"/>
        <v>Wales</v>
      </c>
      <c r="F41" s="133" t="s">
        <v>412</v>
      </c>
      <c r="G41" s="134" t="s">
        <v>461</v>
      </c>
      <c r="H41" s="132" t="s">
        <v>460</v>
      </c>
      <c r="I41" s="135" t="s">
        <v>459</v>
      </c>
      <c r="J41" s="132" t="s">
        <v>412</v>
      </c>
      <c r="K41" s="628" t="s">
        <v>412</v>
      </c>
      <c r="L41" s="73"/>
    </row>
    <row r="42" spans="4:12" x14ac:dyDescent="0.2">
      <c r="D42" s="182">
        <v>38</v>
      </c>
      <c r="E42" s="205" t="str">
        <f t="shared" si="1"/>
        <v>Sweden</v>
      </c>
      <c r="F42" s="133" t="s">
        <v>44</v>
      </c>
      <c r="G42" s="134" t="s">
        <v>66</v>
      </c>
      <c r="H42" s="132" t="s">
        <v>83</v>
      </c>
      <c r="I42" s="135" t="s">
        <v>84</v>
      </c>
      <c r="J42" s="132" t="s">
        <v>104</v>
      </c>
      <c r="K42" s="628" t="s">
        <v>750</v>
      </c>
      <c r="L42" s="73"/>
    </row>
    <row r="43" spans="4:12" x14ac:dyDescent="0.2">
      <c r="D43" s="182">
        <v>39</v>
      </c>
      <c r="E43" s="205" t="str">
        <f t="shared" si="1"/>
        <v>Serbia</v>
      </c>
      <c r="F43" s="133" t="s">
        <v>346</v>
      </c>
      <c r="G43" s="134" t="s">
        <v>346</v>
      </c>
      <c r="H43" s="132" t="s">
        <v>346</v>
      </c>
      <c r="I43" s="135" t="s">
        <v>347</v>
      </c>
      <c r="J43" s="132" t="s">
        <v>259</v>
      </c>
      <c r="K43" s="628" t="s">
        <v>751</v>
      </c>
      <c r="L43" s="73"/>
    </row>
    <row r="44" spans="4:12" x14ac:dyDescent="0.2">
      <c r="D44" s="182">
        <v>40</v>
      </c>
      <c r="E44" s="205" t="str">
        <f t="shared" si="1"/>
        <v>Paraguay</v>
      </c>
      <c r="F44" s="133" t="s">
        <v>413</v>
      </c>
      <c r="G44" s="134" t="s">
        <v>413</v>
      </c>
      <c r="H44" s="132" t="s">
        <v>413</v>
      </c>
      <c r="I44" s="135" t="s">
        <v>413</v>
      </c>
      <c r="J44" s="132" t="s">
        <v>413</v>
      </c>
      <c r="K44" s="628" t="s">
        <v>413</v>
      </c>
      <c r="L44" s="73"/>
    </row>
    <row r="45" spans="4:12" x14ac:dyDescent="0.2">
      <c r="D45" s="182">
        <v>41</v>
      </c>
      <c r="E45" s="205" t="str">
        <f t="shared" si="1"/>
        <v>Czech Rep.</v>
      </c>
      <c r="F45" s="133" t="s">
        <v>1886</v>
      </c>
      <c r="G45" s="134" t="s">
        <v>1887</v>
      </c>
      <c r="H45" s="132" t="s">
        <v>1888</v>
      </c>
      <c r="I45" s="135" t="s">
        <v>1889</v>
      </c>
      <c r="J45" s="132" t="s">
        <v>1890</v>
      </c>
      <c r="K45" s="628" t="s">
        <v>1891</v>
      </c>
      <c r="L45" s="73"/>
    </row>
    <row r="46" spans="4:12" x14ac:dyDescent="0.2">
      <c r="D46" s="182">
        <v>42</v>
      </c>
      <c r="E46" s="205" t="str">
        <f t="shared" si="1"/>
        <v>Hungary</v>
      </c>
      <c r="F46" s="133" t="s">
        <v>421</v>
      </c>
      <c r="G46" s="134" t="s">
        <v>480</v>
      </c>
      <c r="H46" s="132" t="s">
        <v>479</v>
      </c>
      <c r="I46" s="135" t="s">
        <v>477</v>
      </c>
      <c r="J46" s="132" t="s">
        <v>478</v>
      </c>
      <c r="K46" s="628" t="s">
        <v>758</v>
      </c>
      <c r="L46" s="73"/>
    </row>
    <row r="47" spans="4:12" x14ac:dyDescent="0.2">
      <c r="D47" s="182">
        <v>43</v>
      </c>
      <c r="E47" s="205" t="str">
        <f t="shared" si="1"/>
        <v>Scotland</v>
      </c>
      <c r="F47" s="133" t="s">
        <v>429</v>
      </c>
      <c r="G47" s="134" t="s">
        <v>503</v>
      </c>
      <c r="H47" s="132" t="s">
        <v>502</v>
      </c>
      <c r="I47" s="135" t="s">
        <v>500</v>
      </c>
      <c r="J47" s="132" t="s">
        <v>501</v>
      </c>
      <c r="K47" s="628" t="s">
        <v>757</v>
      </c>
      <c r="L47" s="73"/>
    </row>
    <row r="48" spans="4:12" x14ac:dyDescent="0.2">
      <c r="D48" s="182">
        <v>44</v>
      </c>
      <c r="E48" s="205" t="str">
        <f t="shared" si="1"/>
        <v>Tunisia</v>
      </c>
      <c r="F48" s="133" t="s">
        <v>353</v>
      </c>
      <c r="G48" s="134" t="s">
        <v>354</v>
      </c>
      <c r="H48" s="132" t="s">
        <v>353</v>
      </c>
      <c r="I48" s="135" t="s">
        <v>355</v>
      </c>
      <c r="J48" s="132" t="s">
        <v>262</v>
      </c>
      <c r="K48" s="628" t="s">
        <v>754</v>
      </c>
      <c r="L48" s="73"/>
    </row>
    <row r="49" spans="4:12" x14ac:dyDescent="0.2">
      <c r="D49" s="182">
        <v>45</v>
      </c>
      <c r="E49" s="205" t="str">
        <f t="shared" si="1"/>
        <v>Cameroon</v>
      </c>
      <c r="F49" s="133" t="s">
        <v>440</v>
      </c>
      <c r="G49" s="134" t="s">
        <v>521</v>
      </c>
      <c r="H49" s="132" t="s">
        <v>523</v>
      </c>
      <c r="I49" s="135" t="s">
        <v>522</v>
      </c>
      <c r="J49" s="132" t="s">
        <v>524</v>
      </c>
      <c r="K49" s="628" t="s">
        <v>756</v>
      </c>
      <c r="L49" s="73"/>
    </row>
    <row r="50" spans="4:12" x14ac:dyDescent="0.2">
      <c r="D50" s="182">
        <v>46</v>
      </c>
      <c r="E50" s="205" t="str">
        <f t="shared" si="1"/>
        <v>DR Congo</v>
      </c>
      <c r="F50" s="133" t="s">
        <v>1878</v>
      </c>
      <c r="G50" s="134" t="s">
        <v>1879</v>
      </c>
      <c r="H50" s="132" t="s">
        <v>1879</v>
      </c>
      <c r="I50" s="135" t="s">
        <v>1879</v>
      </c>
      <c r="J50" s="132" t="s">
        <v>1734</v>
      </c>
      <c r="K50" s="628" t="s">
        <v>1878</v>
      </c>
      <c r="L50" s="73"/>
    </row>
    <row r="51" spans="4:12" x14ac:dyDescent="0.2">
      <c r="D51" s="182">
        <v>47</v>
      </c>
      <c r="E51" s="205" t="str">
        <f t="shared" si="1"/>
        <v>Greece</v>
      </c>
      <c r="F51" s="133" t="s">
        <v>425</v>
      </c>
      <c r="G51" s="134" t="s">
        <v>492</v>
      </c>
      <c r="H51" s="132" t="s">
        <v>492</v>
      </c>
      <c r="I51" s="135" t="s">
        <v>490</v>
      </c>
      <c r="J51" s="132" t="s">
        <v>491</v>
      </c>
      <c r="K51" s="628" t="s">
        <v>767</v>
      </c>
      <c r="L51" s="73"/>
    </row>
    <row r="52" spans="4:12" x14ac:dyDescent="0.2">
      <c r="D52" s="182">
        <v>48</v>
      </c>
      <c r="E52" s="205" t="str">
        <f t="shared" si="1"/>
        <v>Slovakia</v>
      </c>
      <c r="F52" s="133" t="s">
        <v>428</v>
      </c>
      <c r="G52" s="134" t="s">
        <v>496</v>
      </c>
      <c r="H52" s="132" t="s">
        <v>497</v>
      </c>
      <c r="I52" s="135" t="s">
        <v>498</v>
      </c>
      <c r="J52" s="132" t="s">
        <v>499</v>
      </c>
      <c r="K52" s="628" t="s">
        <v>763</v>
      </c>
      <c r="L52" s="73"/>
    </row>
    <row r="53" spans="4:12" x14ac:dyDescent="0.2">
      <c r="D53" s="182">
        <v>49</v>
      </c>
      <c r="E53" s="205" t="str">
        <f t="shared" si="1"/>
        <v>Venezuela</v>
      </c>
      <c r="F53" s="133" t="s">
        <v>420</v>
      </c>
      <c r="G53" s="134" t="s">
        <v>420</v>
      </c>
      <c r="H53" s="132" t="s">
        <v>420</v>
      </c>
      <c r="I53" s="135" t="s">
        <v>420</v>
      </c>
      <c r="J53" s="132" t="s">
        <v>420</v>
      </c>
      <c r="K53" s="628" t="s">
        <v>420</v>
      </c>
      <c r="L53" s="73"/>
    </row>
    <row r="54" spans="4:12" x14ac:dyDescent="0.2">
      <c r="D54" s="182">
        <v>50</v>
      </c>
      <c r="E54" s="205" t="str">
        <f t="shared" si="1"/>
        <v>Uzbekistan</v>
      </c>
      <c r="F54" s="133" t="s">
        <v>442</v>
      </c>
      <c r="G54" s="134" t="s">
        <v>525</v>
      </c>
      <c r="H54" s="132" t="s">
        <v>442</v>
      </c>
      <c r="I54" s="135" t="s">
        <v>527</v>
      </c>
      <c r="J54" s="132" t="s">
        <v>528</v>
      </c>
      <c r="K54" s="628" t="s">
        <v>774</v>
      </c>
      <c r="L54" s="73"/>
    </row>
    <row r="55" spans="4:12" x14ac:dyDescent="0.2">
      <c r="D55" s="182">
        <v>51</v>
      </c>
      <c r="E55" s="205" t="str">
        <f t="shared" si="1"/>
        <v>Costa Rica</v>
      </c>
      <c r="F55" s="133" t="s">
        <v>258</v>
      </c>
      <c r="G55" s="134" t="s">
        <v>258</v>
      </c>
      <c r="H55" s="132" t="s">
        <v>258</v>
      </c>
      <c r="I55" s="135" t="s">
        <v>258</v>
      </c>
      <c r="J55" s="132" t="s">
        <v>258</v>
      </c>
      <c r="K55" s="628" t="s">
        <v>258</v>
      </c>
      <c r="L55" s="73"/>
    </row>
    <row r="56" spans="4:12" x14ac:dyDescent="0.2">
      <c r="D56" s="182">
        <v>52</v>
      </c>
      <c r="E56" s="205" t="str">
        <f t="shared" si="1"/>
        <v>Mali</v>
      </c>
      <c r="F56" s="133" t="s">
        <v>441</v>
      </c>
      <c r="G56" s="134" t="s">
        <v>441</v>
      </c>
      <c r="H56" s="132" t="s">
        <v>441</v>
      </c>
      <c r="I56" s="135" t="s">
        <v>441</v>
      </c>
      <c r="J56" s="132" t="s">
        <v>441</v>
      </c>
      <c r="K56" s="628" t="s">
        <v>441</v>
      </c>
      <c r="L56" s="73"/>
    </row>
    <row r="57" spans="4:12" x14ac:dyDescent="0.2">
      <c r="D57" s="182">
        <v>53</v>
      </c>
      <c r="E57" s="205" t="str">
        <f t="shared" si="1"/>
        <v>Peru</v>
      </c>
      <c r="F57" s="133" t="s">
        <v>254</v>
      </c>
      <c r="G57" s="134" t="s">
        <v>334</v>
      </c>
      <c r="H57" s="132" t="s">
        <v>335</v>
      </c>
      <c r="I57" s="135" t="s">
        <v>336</v>
      </c>
      <c r="J57" s="132" t="s">
        <v>254</v>
      </c>
      <c r="K57" s="628" t="s">
        <v>254</v>
      </c>
      <c r="L57" s="73"/>
    </row>
    <row r="58" spans="4:12" x14ac:dyDescent="0.2">
      <c r="D58" s="182">
        <v>54</v>
      </c>
      <c r="E58" s="205" t="str">
        <f t="shared" si="1"/>
        <v>Chile</v>
      </c>
      <c r="F58" s="133" t="s">
        <v>416</v>
      </c>
      <c r="G58" s="134" t="s">
        <v>416</v>
      </c>
      <c r="H58" s="132" t="s">
        <v>466</v>
      </c>
      <c r="I58" s="135" t="s">
        <v>465</v>
      </c>
      <c r="J58" s="132" t="s">
        <v>416</v>
      </c>
      <c r="K58" s="628" t="s">
        <v>465</v>
      </c>
      <c r="L58" s="73"/>
    </row>
    <row r="59" spans="4:12" x14ac:dyDescent="0.2">
      <c r="D59" s="182">
        <v>55</v>
      </c>
      <c r="E59" s="205" t="str">
        <f t="shared" si="1"/>
        <v>Qatar</v>
      </c>
      <c r="F59" s="133" t="s">
        <v>426</v>
      </c>
      <c r="G59" s="134" t="s">
        <v>426</v>
      </c>
      <c r="H59" s="132" t="s">
        <v>426</v>
      </c>
      <c r="I59" s="135" t="s">
        <v>426</v>
      </c>
      <c r="J59" s="132" t="s">
        <v>476</v>
      </c>
      <c r="K59" s="628" t="s">
        <v>426</v>
      </c>
      <c r="L59" s="73"/>
    </row>
    <row r="60" spans="4:12" x14ac:dyDescent="0.2">
      <c r="D60" s="182">
        <v>56</v>
      </c>
      <c r="E60" s="205" t="str">
        <f t="shared" si="1"/>
        <v>Romania</v>
      </c>
      <c r="F60" s="133" t="s">
        <v>427</v>
      </c>
      <c r="G60" s="134" t="s">
        <v>494</v>
      </c>
      <c r="H60" s="132" t="s">
        <v>427</v>
      </c>
      <c r="I60" s="135" t="s">
        <v>493</v>
      </c>
      <c r="J60" s="132" t="s">
        <v>495</v>
      </c>
      <c r="K60" s="628" t="s">
        <v>764</v>
      </c>
      <c r="L60" s="73"/>
    </row>
    <row r="61" spans="4:12" x14ac:dyDescent="0.2">
      <c r="D61" s="182">
        <v>57</v>
      </c>
      <c r="E61" s="205" t="str">
        <f t="shared" si="1"/>
        <v>Iraq</v>
      </c>
      <c r="F61" s="133" t="s">
        <v>432</v>
      </c>
      <c r="G61" s="134" t="s">
        <v>432</v>
      </c>
      <c r="H61" s="132" t="s">
        <v>432</v>
      </c>
      <c r="I61" s="135" t="s">
        <v>509</v>
      </c>
      <c r="J61" s="132" t="s">
        <v>509</v>
      </c>
      <c r="K61" s="628" t="s">
        <v>509</v>
      </c>
      <c r="L61" s="73"/>
    </row>
    <row r="62" spans="4:12" x14ac:dyDescent="0.2">
      <c r="D62" s="182">
        <v>58</v>
      </c>
      <c r="E62" s="205" t="str">
        <f t="shared" si="1"/>
        <v>Slovenia</v>
      </c>
      <c r="F62" s="133" t="s">
        <v>433</v>
      </c>
      <c r="G62" s="134" t="s">
        <v>510</v>
      </c>
      <c r="H62" s="132" t="s">
        <v>433</v>
      </c>
      <c r="I62" s="135" t="s">
        <v>511</v>
      </c>
      <c r="J62" s="132" t="s">
        <v>512</v>
      </c>
      <c r="K62" s="628" t="s">
        <v>769</v>
      </c>
      <c r="L62" s="73"/>
    </row>
    <row r="63" spans="4:12" x14ac:dyDescent="0.2">
      <c r="D63" s="182">
        <v>59</v>
      </c>
      <c r="E63" s="205">
        <f t="shared" si="1"/>
        <v>0</v>
      </c>
      <c r="F63" s="133"/>
      <c r="G63" s="134"/>
      <c r="H63" s="132"/>
      <c r="I63" s="135"/>
      <c r="J63" s="132" t="s">
        <v>1733</v>
      </c>
      <c r="K63" s="628"/>
      <c r="L63" s="73"/>
    </row>
    <row r="64" spans="4:12" x14ac:dyDescent="0.2">
      <c r="D64" s="182">
        <v>60</v>
      </c>
      <c r="E64" s="205" t="str">
        <f t="shared" si="1"/>
        <v>South Africa</v>
      </c>
      <c r="F64" s="133" t="s">
        <v>445</v>
      </c>
      <c r="G64" s="134" t="s">
        <v>536</v>
      </c>
      <c r="H64" s="132" t="s">
        <v>535</v>
      </c>
      <c r="I64" s="135" t="s">
        <v>534</v>
      </c>
      <c r="J64" s="132" t="s">
        <v>537</v>
      </c>
      <c r="K64" s="628" t="s">
        <v>771</v>
      </c>
      <c r="L64" s="73"/>
    </row>
    <row r="65" spans="4:12" x14ac:dyDescent="0.2">
      <c r="D65" s="182">
        <v>61</v>
      </c>
      <c r="E65" s="205" t="str">
        <f t="shared" si="1"/>
        <v>Saudi Arabia</v>
      </c>
      <c r="F65" s="133" t="s">
        <v>1751</v>
      </c>
      <c r="G65" s="134" t="s">
        <v>1750</v>
      </c>
      <c r="H65" s="132" t="s">
        <v>1750</v>
      </c>
      <c r="I65" s="135" t="s">
        <v>1749</v>
      </c>
      <c r="J65" s="132" t="s">
        <v>1732</v>
      </c>
      <c r="K65" s="628" t="s">
        <v>1748</v>
      </c>
      <c r="L65" s="73"/>
    </row>
    <row r="66" spans="4:12" x14ac:dyDescent="0.2">
      <c r="D66" s="182">
        <v>62</v>
      </c>
      <c r="E66" s="205" t="str">
        <f t="shared" si="1"/>
        <v>Burkina Faso</v>
      </c>
      <c r="F66" s="133" t="s">
        <v>439</v>
      </c>
      <c r="G66" s="134" t="s">
        <v>439</v>
      </c>
      <c r="H66" s="132" t="s">
        <v>439</v>
      </c>
      <c r="I66" s="135" t="s">
        <v>439</v>
      </c>
      <c r="J66" s="132" t="s">
        <v>439</v>
      </c>
      <c r="K66" s="628" t="s">
        <v>439</v>
      </c>
      <c r="L66" s="73"/>
    </row>
    <row r="67" spans="4:12" x14ac:dyDescent="0.2">
      <c r="D67" s="182">
        <v>63</v>
      </c>
      <c r="E67" s="205" t="str">
        <f t="shared" si="1"/>
        <v>Jordan</v>
      </c>
      <c r="F67" s="133" t="s">
        <v>1743</v>
      </c>
      <c r="G67" s="134" t="s">
        <v>1744</v>
      </c>
      <c r="H67" s="132" t="s">
        <v>1745</v>
      </c>
      <c r="I67" s="135" t="s">
        <v>1746</v>
      </c>
      <c r="J67" s="132" t="s">
        <v>1735</v>
      </c>
      <c r="K67" s="628" t="s">
        <v>1747</v>
      </c>
      <c r="L67" s="73"/>
    </row>
    <row r="68" spans="4:12" x14ac:dyDescent="0.2">
      <c r="D68" s="182">
        <v>64</v>
      </c>
      <c r="E68" s="205" t="str">
        <f t="shared" si="1"/>
        <v>Albania</v>
      </c>
      <c r="F68" s="133" t="s">
        <v>438</v>
      </c>
      <c r="G68" s="134" t="s">
        <v>438</v>
      </c>
      <c r="H68" s="132" t="s">
        <v>438</v>
      </c>
      <c r="I68" s="135" t="s">
        <v>518</v>
      </c>
      <c r="J68" s="132" t="s">
        <v>520</v>
      </c>
      <c r="K68" s="628" t="s">
        <v>770</v>
      </c>
      <c r="L68" s="73"/>
    </row>
    <row r="69" spans="4:12" x14ac:dyDescent="0.2">
      <c r="D69" s="182">
        <v>65</v>
      </c>
      <c r="E69" s="205" t="str">
        <f t="shared" si="1"/>
        <v>Bosnia/Herzeg.</v>
      </c>
      <c r="F69" s="133" t="s">
        <v>1881</v>
      </c>
      <c r="G69" s="134" t="s">
        <v>1881</v>
      </c>
      <c r="H69" s="132" t="s">
        <v>1882</v>
      </c>
      <c r="I69" s="135" t="s">
        <v>1883</v>
      </c>
      <c r="J69" s="132" t="s">
        <v>1884</v>
      </c>
      <c r="K69" s="628" t="s">
        <v>1885</v>
      </c>
      <c r="L69" s="73"/>
    </row>
    <row r="70" spans="4:12" x14ac:dyDescent="0.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x14ac:dyDescent="0.2">
      <c r="D71" s="182">
        <v>67</v>
      </c>
      <c r="E71" s="205">
        <f t="shared" si="2"/>
        <v>0</v>
      </c>
      <c r="F71" s="133"/>
      <c r="G71" s="134"/>
      <c r="H71" s="132"/>
      <c r="I71" s="135"/>
      <c r="J71" s="132" t="s">
        <v>909</v>
      </c>
      <c r="K71" s="628"/>
      <c r="L71" s="73"/>
    </row>
    <row r="72" spans="4:12" x14ac:dyDescent="0.2">
      <c r="D72" s="182">
        <v>68</v>
      </c>
      <c r="E72" s="205">
        <f t="shared" si="2"/>
        <v>0</v>
      </c>
      <c r="F72" s="133"/>
      <c r="G72" s="134"/>
      <c r="H72" s="132"/>
      <c r="I72" s="135"/>
      <c r="J72" s="132" t="s">
        <v>1736</v>
      </c>
      <c r="K72" s="628"/>
      <c r="L72" s="73"/>
    </row>
    <row r="73" spans="4:12" x14ac:dyDescent="0.2">
      <c r="D73" s="182">
        <v>69</v>
      </c>
      <c r="E73" s="205" t="str">
        <f t="shared" si="2"/>
        <v>Cape Verde</v>
      </c>
      <c r="F73" s="133" t="s">
        <v>1752</v>
      </c>
      <c r="G73" s="134" t="s">
        <v>1753</v>
      </c>
      <c r="H73" s="132" t="s">
        <v>1754</v>
      </c>
      <c r="I73" s="135" t="s">
        <v>1755</v>
      </c>
      <c r="J73" s="132" t="s">
        <v>910</v>
      </c>
      <c r="K73" s="628" t="s">
        <v>1756</v>
      </c>
      <c r="L73" s="73"/>
    </row>
    <row r="74" spans="4:12" x14ac:dyDescent="0.2">
      <c r="D74" s="182">
        <v>70</v>
      </c>
      <c r="E74" s="205" t="str">
        <f t="shared" si="2"/>
        <v>Northern Ireland</v>
      </c>
      <c r="F74" s="133" t="s">
        <v>434</v>
      </c>
      <c r="G74" s="134" t="s">
        <v>516</v>
      </c>
      <c r="H74" s="132" t="s">
        <v>515</v>
      </c>
      <c r="I74" s="135" t="s">
        <v>514</v>
      </c>
      <c r="J74" s="132" t="s">
        <v>513</v>
      </c>
      <c r="K74" s="628" t="s">
        <v>766</v>
      </c>
      <c r="L74" s="73"/>
    </row>
    <row r="75" spans="4:12" x14ac:dyDescent="0.2">
      <c r="D75" s="182">
        <v>71</v>
      </c>
      <c r="E75" s="205" t="str">
        <f t="shared" si="2"/>
        <v>Jamaica</v>
      </c>
      <c r="F75" s="133" t="s">
        <v>444</v>
      </c>
      <c r="G75" s="134" t="s">
        <v>444</v>
      </c>
      <c r="H75" s="132" t="s">
        <v>531</v>
      </c>
      <c r="I75" s="135" t="s">
        <v>532</v>
      </c>
      <c r="J75" s="132" t="s">
        <v>533</v>
      </c>
      <c r="K75" s="628" t="s">
        <v>444</v>
      </c>
      <c r="L75" s="73"/>
    </row>
    <row r="76" spans="4:12" x14ac:dyDescent="0.2">
      <c r="D76" s="182">
        <v>72</v>
      </c>
      <c r="E76" s="205" t="str">
        <f t="shared" si="2"/>
        <v>Georgia</v>
      </c>
      <c r="F76" s="133" t="s">
        <v>448</v>
      </c>
      <c r="G76" s="134" t="s">
        <v>448</v>
      </c>
      <c r="H76" s="132" t="s">
        <v>448</v>
      </c>
      <c r="I76" s="135" t="s">
        <v>539</v>
      </c>
      <c r="J76" s="132" t="s">
        <v>540</v>
      </c>
      <c r="K76" s="628" t="s">
        <v>775</v>
      </c>
      <c r="L76" s="73"/>
    </row>
    <row r="77" spans="4:12" x14ac:dyDescent="0.2">
      <c r="D77" s="182">
        <v>73</v>
      </c>
      <c r="E77" s="205" t="str">
        <f t="shared" si="2"/>
        <v>Finland</v>
      </c>
      <c r="F77" s="133" t="s">
        <v>424</v>
      </c>
      <c r="G77" s="134" t="s">
        <v>489</v>
      </c>
      <c r="H77" s="132" t="s">
        <v>489</v>
      </c>
      <c r="I77" s="135" t="s">
        <v>487</v>
      </c>
      <c r="J77" s="132" t="s">
        <v>908</v>
      </c>
      <c r="K77" s="628" t="s">
        <v>424</v>
      </c>
      <c r="L77" s="73"/>
    </row>
    <row r="78" spans="4:12" x14ac:dyDescent="0.2">
      <c r="D78" s="182">
        <v>74</v>
      </c>
      <c r="E78" s="205" t="str">
        <f t="shared" si="2"/>
        <v>Ghana</v>
      </c>
      <c r="F78" s="133" t="s">
        <v>436</v>
      </c>
      <c r="G78" s="134" t="s">
        <v>436</v>
      </c>
      <c r="H78" s="132" t="s">
        <v>436</v>
      </c>
      <c r="I78" s="135" t="s">
        <v>436</v>
      </c>
      <c r="J78" s="132" t="s">
        <v>436</v>
      </c>
      <c r="K78" s="628" t="s">
        <v>436</v>
      </c>
      <c r="L78" s="73"/>
    </row>
    <row r="79" spans="4:12" x14ac:dyDescent="0.2">
      <c r="D79" s="182">
        <v>75</v>
      </c>
      <c r="E79" s="205" t="str">
        <f t="shared" si="2"/>
        <v>Iceland</v>
      </c>
      <c r="F79" s="133" t="s">
        <v>338</v>
      </c>
      <c r="G79" s="134" t="s">
        <v>339</v>
      </c>
      <c r="H79" s="132" t="s">
        <v>340</v>
      </c>
      <c r="I79" s="135" t="s">
        <v>341</v>
      </c>
      <c r="J79" s="132" t="s">
        <v>256</v>
      </c>
      <c r="K79" s="628" t="s">
        <v>768</v>
      </c>
      <c r="L79" s="73"/>
    </row>
    <row r="80" spans="4:12" x14ac:dyDescent="0.2">
      <c r="D80" s="182">
        <v>76</v>
      </c>
      <c r="E80" s="205" t="str">
        <f t="shared" si="2"/>
        <v>Bolivia</v>
      </c>
      <c r="F80" s="133" t="s">
        <v>435</v>
      </c>
      <c r="G80" s="134" t="s">
        <v>435</v>
      </c>
      <c r="H80" s="132" t="s">
        <v>435</v>
      </c>
      <c r="I80" s="135" t="s">
        <v>517</v>
      </c>
      <c r="J80" s="132" t="s">
        <v>519</v>
      </c>
      <c r="K80" s="628" t="s">
        <v>773</v>
      </c>
      <c r="L80" s="73"/>
    </row>
    <row r="81" spans="4:12" x14ac:dyDescent="0.2">
      <c r="D81" s="182">
        <v>77</v>
      </c>
      <c r="E81" s="205" t="str">
        <f t="shared" si="2"/>
        <v>Israel</v>
      </c>
      <c r="F81" s="133" t="s">
        <v>430</v>
      </c>
      <c r="G81" s="134" t="s">
        <v>430</v>
      </c>
      <c r="H81" s="132" t="s">
        <v>488</v>
      </c>
      <c r="I81" s="135" t="s">
        <v>504</v>
      </c>
      <c r="J81" s="132" t="s">
        <v>430</v>
      </c>
      <c r="K81" s="628" t="s">
        <v>504</v>
      </c>
      <c r="L81" s="73"/>
    </row>
    <row r="82" spans="4:12" x14ac:dyDescent="0.2">
      <c r="D82" s="182">
        <v>78</v>
      </c>
      <c r="E82" s="205">
        <f t="shared" si="2"/>
        <v>0</v>
      </c>
      <c r="F82" s="133"/>
      <c r="G82" s="134"/>
      <c r="H82" s="132"/>
      <c r="I82" s="135"/>
      <c r="J82" s="132" t="s">
        <v>1861</v>
      </c>
      <c r="K82" s="628"/>
      <c r="L82" s="73"/>
    </row>
    <row r="83" spans="4:12" x14ac:dyDescent="0.2">
      <c r="D83" s="182">
        <v>79</v>
      </c>
      <c r="E83" s="205" t="str">
        <f t="shared" si="2"/>
        <v>Oman</v>
      </c>
      <c r="F83" s="133" t="s">
        <v>446</v>
      </c>
      <c r="G83" s="134" t="s">
        <v>526</v>
      </c>
      <c r="H83" s="132" t="s">
        <v>446</v>
      </c>
      <c r="I83" s="135" t="s">
        <v>446</v>
      </c>
      <c r="J83" s="132" t="s">
        <v>446</v>
      </c>
      <c r="K83" s="628" t="s">
        <v>446</v>
      </c>
      <c r="L83" s="73"/>
    </row>
    <row r="84" spans="4:12" x14ac:dyDescent="0.2">
      <c r="D84" s="182">
        <v>80</v>
      </c>
      <c r="E84" s="205">
        <f t="shared" si="2"/>
        <v>0</v>
      </c>
      <c r="F84" s="133"/>
      <c r="G84" s="134"/>
      <c r="H84" s="132"/>
      <c r="I84" s="135"/>
      <c r="J84" s="132" t="s">
        <v>1862</v>
      </c>
      <c r="K84" s="628"/>
      <c r="L84" s="73"/>
    </row>
    <row r="85" spans="4:12" x14ac:dyDescent="0.2">
      <c r="D85" s="182">
        <v>81</v>
      </c>
      <c r="E85" s="205" t="str">
        <f t="shared" si="2"/>
        <v>Montenegro</v>
      </c>
      <c r="F85" s="133" t="s">
        <v>447</v>
      </c>
      <c r="G85" s="134" t="s">
        <v>447</v>
      </c>
      <c r="H85" s="132" t="s">
        <v>447</v>
      </c>
      <c r="I85" s="135" t="s">
        <v>538</v>
      </c>
      <c r="J85" s="132" t="s">
        <v>447</v>
      </c>
      <c r="K85" s="628" t="s">
        <v>447</v>
      </c>
      <c r="L85" s="73"/>
    </row>
    <row r="86" spans="4:12" x14ac:dyDescent="0.2">
      <c r="D86" s="182">
        <v>82</v>
      </c>
      <c r="E86" s="205" t="str">
        <f t="shared" si="2"/>
        <v>Curaçao</v>
      </c>
      <c r="F86" s="133" t="s">
        <v>1737</v>
      </c>
      <c r="G86" s="134" t="s">
        <v>1758</v>
      </c>
      <c r="H86" s="132" t="s">
        <v>1737</v>
      </c>
      <c r="I86" s="135" t="s">
        <v>1737</v>
      </c>
      <c r="J86" s="132" t="s">
        <v>1737</v>
      </c>
      <c r="K86" s="628" t="s">
        <v>1757</v>
      </c>
      <c r="L86" s="73"/>
    </row>
    <row r="87" spans="4:12" x14ac:dyDescent="0.2">
      <c r="D87" s="182">
        <v>83</v>
      </c>
      <c r="E87" s="205" t="str">
        <f t="shared" si="2"/>
        <v>Haiti</v>
      </c>
      <c r="F87" s="133" t="s">
        <v>1738</v>
      </c>
      <c r="G87" s="134" t="s">
        <v>1738</v>
      </c>
      <c r="H87" s="132" t="s">
        <v>1738</v>
      </c>
      <c r="I87" s="135" t="s">
        <v>1759</v>
      </c>
      <c r="J87" s="132" t="s">
        <v>1738</v>
      </c>
      <c r="K87" s="628" t="s">
        <v>1759</v>
      </c>
      <c r="L87" s="73"/>
    </row>
    <row r="88" spans="4:12" x14ac:dyDescent="0.2">
      <c r="D88" s="182">
        <v>84</v>
      </c>
      <c r="E88" s="205">
        <f t="shared" si="2"/>
        <v>0</v>
      </c>
      <c r="F88" s="209"/>
      <c r="G88" s="131"/>
      <c r="H88" s="210"/>
      <c r="I88" s="211"/>
      <c r="J88" s="210" t="s">
        <v>1863</v>
      </c>
      <c r="K88" s="628"/>
      <c r="L88" s="212"/>
    </row>
    <row r="89" spans="4:12" x14ac:dyDescent="0.2">
      <c r="D89" s="182">
        <v>85</v>
      </c>
      <c r="E89" s="205" t="str">
        <f t="shared" si="2"/>
        <v>New Zealand</v>
      </c>
      <c r="F89" s="209" t="s">
        <v>1760</v>
      </c>
      <c r="G89" s="131" t="s">
        <v>1763</v>
      </c>
      <c r="H89" s="210" t="s">
        <v>1762</v>
      </c>
      <c r="I89" s="211" t="s">
        <v>1764</v>
      </c>
      <c r="J89" s="210" t="s">
        <v>541</v>
      </c>
      <c r="K89" s="628" t="s">
        <v>1761</v>
      </c>
      <c r="L89" s="212"/>
    </row>
    <row r="90" spans="4:12" x14ac:dyDescent="0.2">
      <c r="D90" s="182">
        <v>86</v>
      </c>
      <c r="E90" s="205" t="str">
        <f t="shared" si="2"/>
        <v>Bulgaria</v>
      </c>
      <c r="F90" s="209" t="s">
        <v>443</v>
      </c>
      <c r="G90" s="131" t="s">
        <v>443</v>
      </c>
      <c r="H90" s="210" t="s">
        <v>443</v>
      </c>
      <c r="I90" s="211" t="s">
        <v>529</v>
      </c>
      <c r="J90" s="210" t="s">
        <v>530</v>
      </c>
      <c r="K90" s="628" t="s">
        <v>772</v>
      </c>
      <c r="L90" s="212"/>
    </row>
    <row r="91" spans="4:12" x14ac:dyDescent="0.2">
      <c r="D91" s="182">
        <v>87</v>
      </c>
      <c r="E91" s="205">
        <f t="shared" si="2"/>
        <v>0</v>
      </c>
      <c r="F91" s="209"/>
      <c r="G91" s="131"/>
      <c r="H91" s="210"/>
      <c r="I91" s="211"/>
      <c r="J91" s="210" t="s">
        <v>911</v>
      </c>
      <c r="K91" s="628"/>
      <c r="L91" s="212"/>
    </row>
    <row r="92" spans="4:12" x14ac:dyDescent="0.2">
      <c r="D92" s="182">
        <v>88</v>
      </c>
      <c r="E92" s="205">
        <f t="shared" si="2"/>
        <v>0</v>
      </c>
      <c r="F92" s="209"/>
      <c r="G92" s="131"/>
      <c r="H92" s="210"/>
      <c r="I92" s="211"/>
      <c r="J92" s="210" t="s">
        <v>1864</v>
      </c>
      <c r="K92" s="628"/>
      <c r="L92" s="212"/>
    </row>
    <row r="93" spans="4:12" x14ac:dyDescent="0.2">
      <c r="D93" s="182">
        <v>89</v>
      </c>
      <c r="E93" s="205">
        <f t="shared" si="2"/>
        <v>0</v>
      </c>
      <c r="F93" s="209"/>
      <c r="G93" s="131"/>
      <c r="H93" s="210"/>
      <c r="I93" s="211"/>
      <c r="J93" s="210" t="s">
        <v>1865</v>
      </c>
      <c r="K93" s="628"/>
      <c r="L93" s="212"/>
    </row>
    <row r="94" spans="4:12" x14ac:dyDescent="0.2">
      <c r="D94" s="182">
        <v>90</v>
      </c>
      <c r="E94" s="205">
        <f t="shared" si="2"/>
        <v>0</v>
      </c>
      <c r="F94" s="209"/>
      <c r="G94" s="131"/>
      <c r="H94" s="210"/>
      <c r="I94" s="211"/>
      <c r="J94" s="886" t="s">
        <v>1880</v>
      </c>
      <c r="K94" s="887"/>
      <c r="L94" s="212"/>
    </row>
    <row r="95" spans="4:12" x14ac:dyDescent="0.2">
      <c r="D95" s="182">
        <v>91</v>
      </c>
      <c r="E95" s="205" t="str">
        <f t="shared" si="2"/>
        <v>Play-Off 1</v>
      </c>
      <c r="F95" s="209" t="s">
        <v>1866</v>
      </c>
      <c r="G95" s="131" t="s">
        <v>1866</v>
      </c>
      <c r="H95" s="210" t="s">
        <v>1866</v>
      </c>
      <c r="I95" s="211" t="s">
        <v>1866</v>
      </c>
      <c r="J95" s="886" t="s">
        <v>1866</v>
      </c>
      <c r="K95" s="887" t="s">
        <v>1866</v>
      </c>
      <c r="L95" s="212"/>
    </row>
    <row r="96" spans="4:12" x14ac:dyDescent="0.2">
      <c r="D96" s="182">
        <v>92</v>
      </c>
      <c r="E96" s="205" t="str">
        <f t="shared" si="2"/>
        <v>Play-Off 2</v>
      </c>
      <c r="F96" s="209" t="s">
        <v>1867</v>
      </c>
      <c r="G96" s="131" t="s">
        <v>1867</v>
      </c>
      <c r="H96" s="210" t="s">
        <v>1867</v>
      </c>
      <c r="I96" s="211" t="s">
        <v>1867</v>
      </c>
      <c r="J96" s="886" t="s">
        <v>1867</v>
      </c>
      <c r="K96" s="887" t="s">
        <v>1867</v>
      </c>
      <c r="L96" s="212"/>
    </row>
    <row r="97" spans="4:15" x14ac:dyDescent="0.2">
      <c r="D97" s="182">
        <v>93</v>
      </c>
      <c r="E97" s="205" t="str">
        <f t="shared" si="2"/>
        <v>Play-Off A</v>
      </c>
      <c r="F97" s="209" t="s">
        <v>1868</v>
      </c>
      <c r="G97" s="131" t="s">
        <v>1868</v>
      </c>
      <c r="H97" s="210" t="s">
        <v>1868</v>
      </c>
      <c r="I97" s="211" t="s">
        <v>1868</v>
      </c>
      <c r="J97" s="886" t="s">
        <v>1868</v>
      </c>
      <c r="K97" s="887" t="s">
        <v>1868</v>
      </c>
      <c r="L97" s="212"/>
    </row>
    <row r="98" spans="4:15" x14ac:dyDescent="0.2">
      <c r="D98" s="182">
        <v>94</v>
      </c>
      <c r="E98" s="205" t="str">
        <f t="shared" si="2"/>
        <v>Play-Off B</v>
      </c>
      <c r="F98" s="209" t="s">
        <v>1869</v>
      </c>
      <c r="G98" s="131" t="s">
        <v>1869</v>
      </c>
      <c r="H98" s="210" t="s">
        <v>1869</v>
      </c>
      <c r="I98" s="211" t="s">
        <v>1869</v>
      </c>
      <c r="J98" s="886" t="s">
        <v>1869</v>
      </c>
      <c r="K98" s="887" t="s">
        <v>1869</v>
      </c>
      <c r="L98" s="212"/>
    </row>
    <row r="99" spans="4:15" x14ac:dyDescent="0.2">
      <c r="D99" s="182">
        <v>95</v>
      </c>
      <c r="E99" s="205" t="str">
        <f t="shared" si="2"/>
        <v>Play-Off C</v>
      </c>
      <c r="F99" s="209" t="s">
        <v>1870</v>
      </c>
      <c r="G99" s="131" t="s">
        <v>1870</v>
      </c>
      <c r="H99" s="210" t="s">
        <v>1870</v>
      </c>
      <c r="I99" s="211" t="s">
        <v>1870</v>
      </c>
      <c r="J99" s="886" t="s">
        <v>1870</v>
      </c>
      <c r="K99" s="887" t="s">
        <v>1870</v>
      </c>
      <c r="L99" s="212"/>
    </row>
    <row r="100" spans="4:15" ht="15.75" thickBot="1" x14ac:dyDescent="0.25">
      <c r="D100" s="208">
        <v>96</v>
      </c>
      <c r="E100" s="205" t="str">
        <f t="shared" si="2"/>
        <v>Play-Off D</v>
      </c>
      <c r="F100" s="136" t="s">
        <v>1871</v>
      </c>
      <c r="G100" s="137" t="s">
        <v>1871</v>
      </c>
      <c r="H100" s="138" t="s">
        <v>1871</v>
      </c>
      <c r="I100" s="139" t="s">
        <v>1871</v>
      </c>
      <c r="J100" s="367" t="s">
        <v>1871</v>
      </c>
      <c r="K100" s="629" t="s">
        <v>1871</v>
      </c>
      <c r="L100" s="74"/>
    </row>
    <row r="101" spans="4:15" ht="16.5" thickTop="1" thickBot="1" x14ac:dyDescent="0.25">
      <c r="E101" s="205"/>
      <c r="F101" s="75"/>
      <c r="G101" s="75"/>
      <c r="H101" s="75"/>
      <c r="I101" s="75"/>
      <c r="J101" s="75"/>
      <c r="K101" s="630"/>
      <c r="L101" s="75"/>
    </row>
    <row r="102" spans="4:15" ht="31.5" thickTop="1" x14ac:dyDescent="0.4">
      <c r="D102" s="181" t="s">
        <v>391</v>
      </c>
      <c r="E102" s="206"/>
      <c r="F102" s="189" t="s">
        <v>111</v>
      </c>
      <c r="G102" s="190"/>
      <c r="H102" s="190"/>
      <c r="I102" s="190"/>
      <c r="J102" s="190"/>
      <c r="K102" s="631"/>
      <c r="L102" s="191"/>
    </row>
    <row r="103" spans="4:15" x14ac:dyDescent="0.2">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x14ac:dyDescent="0.2">
      <c r="D104" s="128">
        <v>2</v>
      </c>
      <c r="E104" s="205" t="str">
        <f t="shared" si="3"/>
        <v>Toronto</v>
      </c>
      <c r="F104" s="133" t="s">
        <v>913</v>
      </c>
      <c r="G104" s="134" t="s">
        <v>913</v>
      </c>
      <c r="H104" s="132" t="s">
        <v>913</v>
      </c>
      <c r="I104" s="135" t="s">
        <v>913</v>
      </c>
      <c r="J104" s="132" t="s">
        <v>913</v>
      </c>
      <c r="K104" s="628" t="s">
        <v>913</v>
      </c>
      <c r="L104" s="73"/>
      <c r="O104" s="584"/>
    </row>
    <row r="105" spans="4:15" x14ac:dyDescent="0.2">
      <c r="D105" s="128">
        <v>3</v>
      </c>
      <c r="E105" s="205" t="str">
        <f t="shared" si="3"/>
        <v>New York/New Jersey</v>
      </c>
      <c r="F105" s="133" t="s">
        <v>1008</v>
      </c>
      <c r="G105" s="134" t="s">
        <v>1008</v>
      </c>
      <c r="H105" s="132" t="s">
        <v>1008</v>
      </c>
      <c r="I105" s="135" t="s">
        <v>1008</v>
      </c>
      <c r="J105" s="132" t="s">
        <v>1008</v>
      </c>
      <c r="K105" s="628" t="s">
        <v>1008</v>
      </c>
      <c r="L105" s="73"/>
      <c r="O105" s="584"/>
    </row>
    <row r="106" spans="4:15" x14ac:dyDescent="0.2">
      <c r="D106" s="128">
        <v>4</v>
      </c>
      <c r="E106" s="205" t="str">
        <f t="shared" si="3"/>
        <v>Kansas City</v>
      </c>
      <c r="F106" s="133" t="s">
        <v>914</v>
      </c>
      <c r="G106" s="134" t="s">
        <v>914</v>
      </c>
      <c r="H106" s="132" t="s">
        <v>914</v>
      </c>
      <c r="I106" s="135" t="s">
        <v>914</v>
      </c>
      <c r="J106" s="132" t="s">
        <v>914</v>
      </c>
      <c r="K106" s="628" t="s">
        <v>914</v>
      </c>
      <c r="L106" s="73"/>
      <c r="O106" s="584"/>
    </row>
    <row r="107" spans="4:15" x14ac:dyDescent="0.2">
      <c r="D107" s="128">
        <v>5</v>
      </c>
      <c r="E107" s="205" t="str">
        <f t="shared" si="3"/>
        <v>Dallas</v>
      </c>
      <c r="F107" s="133" t="s">
        <v>1012</v>
      </c>
      <c r="G107" s="134" t="s">
        <v>1012</v>
      </c>
      <c r="H107" s="132" t="s">
        <v>1012</v>
      </c>
      <c r="I107" s="135" t="s">
        <v>1012</v>
      </c>
      <c r="J107" s="132" t="s">
        <v>1012</v>
      </c>
      <c r="K107" s="628" t="s">
        <v>1012</v>
      </c>
      <c r="L107" s="73"/>
      <c r="O107" s="584"/>
    </row>
    <row r="108" spans="4:15" x14ac:dyDescent="0.2">
      <c r="D108" s="128">
        <v>6</v>
      </c>
      <c r="E108" s="205" t="str">
        <f t="shared" si="3"/>
        <v>Houston</v>
      </c>
      <c r="F108" s="133" t="s">
        <v>915</v>
      </c>
      <c r="G108" s="134" t="s">
        <v>915</v>
      </c>
      <c r="H108" s="132" t="s">
        <v>915</v>
      </c>
      <c r="I108" s="135" t="s">
        <v>915</v>
      </c>
      <c r="J108" s="132" t="s">
        <v>915</v>
      </c>
      <c r="K108" s="628" t="s">
        <v>915</v>
      </c>
      <c r="L108" s="73"/>
      <c r="O108" s="584"/>
    </row>
    <row r="109" spans="4:15" x14ac:dyDescent="0.2">
      <c r="D109" s="128">
        <v>7</v>
      </c>
      <c r="E109" s="205" t="str">
        <f t="shared" si="3"/>
        <v>Atlanta</v>
      </c>
      <c r="F109" s="133" t="s">
        <v>916</v>
      </c>
      <c r="G109" s="134" t="s">
        <v>916</v>
      </c>
      <c r="H109" s="132" t="s">
        <v>916</v>
      </c>
      <c r="I109" s="135" t="s">
        <v>916</v>
      </c>
      <c r="J109" s="132" t="s">
        <v>916</v>
      </c>
      <c r="K109" s="628" t="s">
        <v>916</v>
      </c>
      <c r="L109" s="73"/>
      <c r="O109" s="584"/>
    </row>
    <row r="110" spans="4:15" x14ac:dyDescent="0.2">
      <c r="D110" s="128">
        <v>8</v>
      </c>
      <c r="E110" s="205" t="str">
        <f t="shared" si="3"/>
        <v>Los Angeles</v>
      </c>
      <c r="F110" s="133" t="s">
        <v>917</v>
      </c>
      <c r="G110" s="134" t="s">
        <v>917</v>
      </c>
      <c r="H110" s="132" t="s">
        <v>917</v>
      </c>
      <c r="I110" s="135" t="s">
        <v>917</v>
      </c>
      <c r="J110" s="132" t="s">
        <v>917</v>
      </c>
      <c r="K110" s="628" t="s">
        <v>917</v>
      </c>
      <c r="L110" s="73"/>
      <c r="O110" s="584"/>
    </row>
    <row r="111" spans="4:15" x14ac:dyDescent="0.2">
      <c r="D111" s="128">
        <v>9</v>
      </c>
      <c r="E111" s="205" t="str">
        <f t="shared" si="3"/>
        <v>Philadelphia</v>
      </c>
      <c r="F111" s="133" t="s">
        <v>918</v>
      </c>
      <c r="G111" s="134" t="s">
        <v>918</v>
      </c>
      <c r="H111" s="132" t="s">
        <v>918</v>
      </c>
      <c r="I111" s="135" t="s">
        <v>918</v>
      </c>
      <c r="J111" s="132" t="s">
        <v>918</v>
      </c>
      <c r="K111" s="628" t="s">
        <v>918</v>
      </c>
      <c r="L111" s="73"/>
      <c r="O111" s="584"/>
    </row>
    <row r="112" spans="4:15" x14ac:dyDescent="0.2">
      <c r="D112" s="128">
        <v>10</v>
      </c>
      <c r="E112" s="205" t="str">
        <f t="shared" si="3"/>
        <v>Seattle</v>
      </c>
      <c r="F112" s="133" t="s">
        <v>919</v>
      </c>
      <c r="G112" s="134" t="s">
        <v>919</v>
      </c>
      <c r="H112" s="132" t="s">
        <v>919</v>
      </c>
      <c r="I112" s="135" t="s">
        <v>919</v>
      </c>
      <c r="J112" s="132" t="s">
        <v>919</v>
      </c>
      <c r="K112" s="628" t="s">
        <v>919</v>
      </c>
      <c r="L112" s="73"/>
      <c r="O112" s="584"/>
    </row>
    <row r="113" spans="4:15" x14ac:dyDescent="0.2">
      <c r="D113" s="128">
        <v>11</v>
      </c>
      <c r="E113" s="205" t="str">
        <f t="shared" si="3"/>
        <v>San Francisco Bay Area</v>
      </c>
      <c r="F113" s="133" t="s">
        <v>1009</v>
      </c>
      <c r="G113" s="134" t="s">
        <v>1009</v>
      </c>
      <c r="H113" s="132" t="s">
        <v>1009</v>
      </c>
      <c r="I113" s="135" t="s">
        <v>1009</v>
      </c>
      <c r="J113" s="132" t="s">
        <v>1009</v>
      </c>
      <c r="K113" s="628" t="s">
        <v>1009</v>
      </c>
      <c r="L113" s="73"/>
      <c r="O113" s="584"/>
    </row>
    <row r="114" spans="4:15" x14ac:dyDescent="0.2">
      <c r="D114" s="128">
        <v>12</v>
      </c>
      <c r="E114" s="205" t="str">
        <f t="shared" si="3"/>
        <v>Boston</v>
      </c>
      <c r="F114" s="133" t="s">
        <v>920</v>
      </c>
      <c r="G114" s="134" t="s">
        <v>920</v>
      </c>
      <c r="H114" s="132" t="s">
        <v>920</v>
      </c>
      <c r="I114" s="135" t="s">
        <v>920</v>
      </c>
      <c r="J114" s="132" t="s">
        <v>920</v>
      </c>
      <c r="K114" s="628" t="s">
        <v>920</v>
      </c>
      <c r="L114" s="73"/>
      <c r="O114" s="584"/>
    </row>
    <row r="115" spans="4:15" x14ac:dyDescent="0.2">
      <c r="D115" s="128">
        <v>13</v>
      </c>
      <c r="E115" s="205" t="str">
        <f t="shared" si="3"/>
        <v>Miami</v>
      </c>
      <c r="F115" s="133" t="s">
        <v>921</v>
      </c>
      <c r="G115" s="134" t="s">
        <v>921</v>
      </c>
      <c r="H115" s="132" t="s">
        <v>921</v>
      </c>
      <c r="I115" s="135" t="s">
        <v>921</v>
      </c>
      <c r="J115" s="132" t="s">
        <v>921</v>
      </c>
      <c r="K115" s="628" t="s">
        <v>921</v>
      </c>
      <c r="L115" s="73"/>
      <c r="O115" s="584"/>
    </row>
    <row r="116" spans="4:15" x14ac:dyDescent="0.2">
      <c r="D116" s="128">
        <v>14</v>
      </c>
      <c r="E116" s="205" t="str">
        <f t="shared" si="3"/>
        <v>Mexico City</v>
      </c>
      <c r="F116" s="133" t="s">
        <v>922</v>
      </c>
      <c r="G116" s="134" t="s">
        <v>922</v>
      </c>
      <c r="H116" s="132" t="s">
        <v>922</v>
      </c>
      <c r="I116" s="135" t="s">
        <v>922</v>
      </c>
      <c r="J116" s="132" t="s">
        <v>922</v>
      </c>
      <c r="K116" s="628" t="s">
        <v>922</v>
      </c>
      <c r="L116" s="73"/>
      <c r="O116" s="584"/>
    </row>
    <row r="117" spans="4:15" x14ac:dyDescent="0.2">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x14ac:dyDescent="0.25">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x14ac:dyDescent="0.25">
      <c r="D119" s="30"/>
      <c r="E119" s="205"/>
      <c r="F119" s="192"/>
      <c r="G119" s="192"/>
      <c r="H119" s="192"/>
      <c r="I119" s="192"/>
      <c r="J119" s="192"/>
      <c r="K119" s="632"/>
      <c r="L119" s="192"/>
    </row>
    <row r="120" spans="4:15" ht="30" thickTop="1" x14ac:dyDescent="0.4">
      <c r="E120" s="25"/>
      <c r="F120" s="76" t="s">
        <v>278</v>
      </c>
      <c r="G120" s="77"/>
      <c r="H120" s="77"/>
      <c r="I120" s="77"/>
      <c r="J120" s="77"/>
      <c r="K120" s="633"/>
      <c r="L120" s="78"/>
    </row>
    <row r="121" spans="4:15" ht="61.5" customHeight="1" x14ac:dyDescent="0.2">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x14ac:dyDescent="0.2">
      <c r="E122" s="205" t="str">
        <f t="shared" si="4"/>
        <v>Direct comparisons</v>
      </c>
      <c r="F122" s="447" t="s">
        <v>287</v>
      </c>
      <c r="G122" s="448" t="s">
        <v>301</v>
      </c>
      <c r="H122" s="449" t="s">
        <v>302</v>
      </c>
      <c r="I122" s="450" t="s">
        <v>300</v>
      </c>
      <c r="J122" s="449" t="s">
        <v>299</v>
      </c>
      <c r="K122" s="634" t="s">
        <v>776</v>
      </c>
      <c r="L122" s="451"/>
    </row>
    <row r="123" spans="4:15" x14ac:dyDescent="0.2">
      <c r="E123" s="205" t="str">
        <f t="shared" si="4"/>
        <v>Fair play</v>
      </c>
      <c r="F123" s="288" t="s">
        <v>30</v>
      </c>
      <c r="G123" s="289" t="s">
        <v>1741</v>
      </c>
      <c r="H123" s="290" t="s">
        <v>30</v>
      </c>
      <c r="I123" s="291" t="s">
        <v>1741</v>
      </c>
      <c r="J123" s="290" t="s">
        <v>1742</v>
      </c>
      <c r="K123" s="634" t="s">
        <v>1742</v>
      </c>
      <c r="L123" s="292"/>
    </row>
    <row r="124" spans="4:15" x14ac:dyDescent="0.2">
      <c r="E124" s="205" t="str">
        <f t="shared" si="4"/>
        <v>Choose time zone</v>
      </c>
      <c r="F124" s="447" t="s">
        <v>369</v>
      </c>
      <c r="G124" s="448" t="s">
        <v>377</v>
      </c>
      <c r="H124" s="449" t="s">
        <v>376</v>
      </c>
      <c r="I124" s="450" t="s">
        <v>375</v>
      </c>
      <c r="J124" s="449" t="s">
        <v>370</v>
      </c>
      <c r="K124" s="634" t="s">
        <v>777</v>
      </c>
      <c r="L124" s="451"/>
    </row>
    <row r="125" spans="4:15" x14ac:dyDescent="0.2">
      <c r="E125" s="205" t="str">
        <f t="shared" si="4"/>
        <v>Matches</v>
      </c>
      <c r="F125" s="447" t="s">
        <v>249</v>
      </c>
      <c r="G125" s="448" t="s">
        <v>378</v>
      </c>
      <c r="H125" s="449" t="s">
        <v>379</v>
      </c>
      <c r="I125" s="450" t="s">
        <v>374</v>
      </c>
      <c r="J125" s="449" t="s">
        <v>371</v>
      </c>
      <c r="K125" s="634" t="s">
        <v>778</v>
      </c>
      <c r="L125" s="451"/>
    </row>
    <row r="126" spans="4:15" x14ac:dyDescent="0.2">
      <c r="E126" s="205" t="str">
        <f t="shared" si="4"/>
        <v>Choose language</v>
      </c>
      <c r="F126" s="447" t="s">
        <v>112</v>
      </c>
      <c r="G126" s="448" t="s">
        <v>381</v>
      </c>
      <c r="H126" s="449" t="s">
        <v>380</v>
      </c>
      <c r="I126" s="450" t="s">
        <v>372</v>
      </c>
      <c r="J126" s="449" t="s">
        <v>373</v>
      </c>
      <c r="K126" s="634" t="s">
        <v>779</v>
      </c>
      <c r="L126" s="451"/>
    </row>
    <row r="127" spans="4:15" x14ac:dyDescent="0.2">
      <c r="E127" s="205" t="str">
        <f t="shared" si="4"/>
        <v>Predictions Ranking</v>
      </c>
      <c r="F127" s="447" t="s">
        <v>639</v>
      </c>
      <c r="G127" s="448" t="s">
        <v>641</v>
      </c>
      <c r="H127" s="449" t="s">
        <v>642</v>
      </c>
      <c r="I127" s="450" t="s">
        <v>643</v>
      </c>
      <c r="J127" s="449" t="s">
        <v>640</v>
      </c>
      <c r="K127" s="634" t="s">
        <v>780</v>
      </c>
      <c r="L127" s="451"/>
    </row>
    <row r="128" spans="4:15" ht="41.25" x14ac:dyDescent="0.2">
      <c r="E128" s="205" t="str">
        <f t="shared" si="4"/>
        <v>Assignment of the group third in the round of 32</v>
      </c>
      <c r="F128" s="288" t="s">
        <v>1106</v>
      </c>
      <c r="G128" s="289" t="s">
        <v>1105</v>
      </c>
      <c r="H128" s="290" t="s">
        <v>1104</v>
      </c>
      <c r="I128" s="291" t="s">
        <v>1103</v>
      </c>
      <c r="J128" s="290" t="s">
        <v>1101</v>
      </c>
      <c r="K128" s="634" t="s">
        <v>1102</v>
      </c>
      <c r="L128" s="292"/>
    </row>
    <row r="129" spans="4:15" ht="29.25" x14ac:dyDescent="0.4">
      <c r="E129" s="25"/>
      <c r="F129" s="79" t="s">
        <v>151</v>
      </c>
      <c r="G129" s="80"/>
      <c r="H129" s="80"/>
      <c r="I129" s="80"/>
      <c r="J129" s="80"/>
      <c r="K129" s="625"/>
      <c r="L129" s="81"/>
      <c r="M129" s="50"/>
    </row>
    <row r="130" spans="4:15" ht="15" customHeight="1" x14ac:dyDescent="0.4">
      <c r="E130" s="205" t="str">
        <f t="shared" si="4"/>
        <v>Group</v>
      </c>
      <c r="F130" s="140" t="s">
        <v>198</v>
      </c>
      <c r="G130" s="141" t="s">
        <v>406</v>
      </c>
      <c r="H130" s="142" t="s">
        <v>407</v>
      </c>
      <c r="I130" s="143" t="s">
        <v>408</v>
      </c>
      <c r="J130" s="142" t="s">
        <v>409</v>
      </c>
      <c r="K130" s="635" t="s">
        <v>781</v>
      </c>
      <c r="L130" s="73"/>
      <c r="M130" s="50"/>
    </row>
    <row r="131" spans="4:15" ht="15" customHeight="1" x14ac:dyDescent="0.4">
      <c r="E131" s="205" t="str">
        <f t="shared" si="4"/>
        <v>Pts.</v>
      </c>
      <c r="F131" s="140" t="s">
        <v>288</v>
      </c>
      <c r="G131" s="141" t="s">
        <v>290</v>
      </c>
      <c r="H131" s="142" t="s">
        <v>290</v>
      </c>
      <c r="I131" s="143" t="s">
        <v>290</v>
      </c>
      <c r="J131" s="142" t="s">
        <v>289</v>
      </c>
      <c r="K131" s="635" t="s">
        <v>782</v>
      </c>
      <c r="L131" s="73"/>
      <c r="M131" s="50"/>
    </row>
    <row r="132" spans="4:15" ht="15" customHeight="1" x14ac:dyDescent="0.4">
      <c r="E132" s="205" t="str">
        <f t="shared" si="4"/>
        <v>GD</v>
      </c>
      <c r="F132" s="140" t="s">
        <v>190</v>
      </c>
      <c r="G132" s="141" t="s">
        <v>297</v>
      </c>
      <c r="H132" s="142" t="s">
        <v>291</v>
      </c>
      <c r="I132" s="143" t="s">
        <v>291</v>
      </c>
      <c r="J132" s="142" t="s">
        <v>663</v>
      </c>
      <c r="K132" s="635" t="s">
        <v>838</v>
      </c>
      <c r="L132" s="73"/>
      <c r="M132" s="50"/>
    </row>
    <row r="133" spans="4:15" ht="15" customHeight="1" x14ac:dyDescent="0.4">
      <c r="E133" s="205" t="str">
        <f t="shared" si="4"/>
        <v>Goals</v>
      </c>
      <c r="F133" s="140" t="s">
        <v>294</v>
      </c>
      <c r="G133" s="141" t="s">
        <v>296</v>
      </c>
      <c r="H133" s="142" t="s">
        <v>295</v>
      </c>
      <c r="I133" s="143" t="s">
        <v>293</v>
      </c>
      <c r="J133" s="142" t="s">
        <v>292</v>
      </c>
      <c r="K133" s="635" t="s">
        <v>783</v>
      </c>
      <c r="L133" s="73"/>
      <c r="M133" s="50"/>
    </row>
    <row r="134" spans="4:15" ht="19.5" customHeight="1" x14ac:dyDescent="0.4">
      <c r="E134" s="205" t="str">
        <f t="shared" si="4"/>
        <v xml:space="preserve">  Pts.     Goals</v>
      </c>
      <c r="F134" s="140" t="s">
        <v>248</v>
      </c>
      <c r="G134" s="141" t="s">
        <v>247</v>
      </c>
      <c r="H134" s="142" t="s">
        <v>246</v>
      </c>
      <c r="I134" s="143" t="s">
        <v>245</v>
      </c>
      <c r="J134" s="142" t="s">
        <v>244</v>
      </c>
      <c r="K134" s="635" t="s">
        <v>854</v>
      </c>
      <c r="L134" s="73"/>
      <c r="M134" s="50"/>
    </row>
    <row r="135" spans="4:15" ht="15" customHeight="1" x14ac:dyDescent="0.4">
      <c r="E135" s="205" t="str">
        <f t="shared" si="4"/>
        <v>Total</v>
      </c>
      <c r="F135" s="140" t="s">
        <v>298</v>
      </c>
      <c r="G135" s="141" t="s">
        <v>298</v>
      </c>
      <c r="H135" s="142" t="s">
        <v>303</v>
      </c>
      <c r="I135" s="143" t="s">
        <v>298</v>
      </c>
      <c r="J135" s="142" t="s">
        <v>298</v>
      </c>
      <c r="K135" s="635" t="s">
        <v>784</v>
      </c>
      <c r="L135" s="73"/>
      <c r="M135" s="50"/>
    </row>
    <row r="136" spans="4:15" ht="15" customHeight="1" x14ac:dyDescent="0.4">
      <c r="E136" s="205" t="str">
        <f t="shared" si="4"/>
        <v>(repeated)</v>
      </c>
      <c r="F136" s="140" t="s">
        <v>1858</v>
      </c>
      <c r="G136" s="141" t="s">
        <v>1857</v>
      </c>
      <c r="H136" s="142" t="s">
        <v>1856</v>
      </c>
      <c r="I136" s="143" t="s">
        <v>1860</v>
      </c>
      <c r="J136" s="142" t="s">
        <v>1855</v>
      </c>
      <c r="K136" s="635" t="s">
        <v>1859</v>
      </c>
      <c r="L136" s="73"/>
      <c r="M136" s="50"/>
    </row>
    <row r="137" spans="4:15" ht="45" customHeight="1" x14ac:dyDescent="0.4">
      <c r="E137" s="205" t="str">
        <f t="shared" si="4"/>
        <v>head-to-head record 1</v>
      </c>
      <c r="F137" s="824" t="s">
        <v>1806</v>
      </c>
      <c r="G137" s="825" t="s">
        <v>1804</v>
      </c>
      <c r="H137" s="826" t="s">
        <v>1803</v>
      </c>
      <c r="I137" s="827" t="s">
        <v>1802</v>
      </c>
      <c r="J137" s="826" t="s">
        <v>1801</v>
      </c>
      <c r="K137" s="635" t="s">
        <v>1805</v>
      </c>
      <c r="L137" s="73"/>
      <c r="M137" s="50"/>
    </row>
    <row r="138" spans="4:15" ht="15" customHeight="1" x14ac:dyDescent="0.4">
      <c r="E138" s="205" t="str">
        <f t="shared" si="4"/>
        <v>head-to-head record 2</v>
      </c>
      <c r="F138" s="140" t="s">
        <v>1807</v>
      </c>
      <c r="G138" s="141" t="s">
        <v>1809</v>
      </c>
      <c r="H138" s="142" t="s">
        <v>1811</v>
      </c>
      <c r="I138" s="143" t="s">
        <v>1813</v>
      </c>
      <c r="J138" s="142" t="s">
        <v>1815</v>
      </c>
      <c r="K138" s="635" t="s">
        <v>1817</v>
      </c>
      <c r="L138" s="73"/>
      <c r="M138" s="50"/>
    </row>
    <row r="139" spans="4:15" ht="15" customHeight="1" x14ac:dyDescent="0.4">
      <c r="E139" s="205" t="str">
        <f t="shared" si="4"/>
        <v>head-to-head record 3</v>
      </c>
      <c r="F139" s="140" t="s">
        <v>1808</v>
      </c>
      <c r="G139" s="141" t="s">
        <v>1810</v>
      </c>
      <c r="H139" s="142" t="s">
        <v>1812</v>
      </c>
      <c r="I139" s="143" t="s">
        <v>1814</v>
      </c>
      <c r="J139" s="142" t="s">
        <v>1816</v>
      </c>
      <c r="K139" s="635" t="s">
        <v>1818</v>
      </c>
      <c r="L139" s="73"/>
      <c r="M139" s="50"/>
    </row>
    <row r="140" spans="4:15" x14ac:dyDescent="0.2">
      <c r="E140" s="205" t="str">
        <f t="shared" si="4"/>
        <v>Overall table</v>
      </c>
      <c r="F140" s="133" t="s">
        <v>1819</v>
      </c>
      <c r="G140" s="134" t="s">
        <v>1823</v>
      </c>
      <c r="H140" s="132" t="s">
        <v>1822</v>
      </c>
      <c r="I140" s="135" t="s">
        <v>200</v>
      </c>
      <c r="J140" s="132" t="s">
        <v>1820</v>
      </c>
      <c r="K140" s="628" t="s">
        <v>1821</v>
      </c>
      <c r="L140" s="73"/>
      <c r="M140" s="72"/>
      <c r="N140" s="72"/>
      <c r="O140" s="72"/>
    </row>
    <row r="141" spans="4:15" ht="15.75" thickBot="1" x14ac:dyDescent="0.25">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x14ac:dyDescent="0.2">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x14ac:dyDescent="0.2">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x14ac:dyDescent="0.2">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x14ac:dyDescent="0.2">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x14ac:dyDescent="0.2">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x14ac:dyDescent="0.2">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x14ac:dyDescent="0.2">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x14ac:dyDescent="0.2">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x14ac:dyDescent="0.2">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x14ac:dyDescent="0.2">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x14ac:dyDescent="0.2">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x14ac:dyDescent="0.2">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x14ac:dyDescent="0.2">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x14ac:dyDescent="0.2">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x14ac:dyDescent="0.2">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x14ac:dyDescent="0.25">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x14ac:dyDescent="0.2">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x14ac:dyDescent="0.2">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x14ac:dyDescent="0.2">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x14ac:dyDescent="0.2">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x14ac:dyDescent="0.2">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x14ac:dyDescent="0.2">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x14ac:dyDescent="0.2">
      <c r="D164" s="128">
        <v>7</v>
      </c>
      <c r="E164" s="205" t="str">
        <f t="shared" si="4"/>
        <v>Round of 16 - 7</v>
      </c>
      <c r="F164" s="133" t="s">
        <v>51</v>
      </c>
      <c r="G164" s="134" t="s">
        <v>207</v>
      </c>
      <c r="H164" s="132" t="s">
        <v>215</v>
      </c>
      <c r="I164" s="135" t="s">
        <v>223</v>
      </c>
      <c r="J164" s="132" t="s">
        <v>159</v>
      </c>
      <c r="K164" s="628" t="s">
        <v>791</v>
      </c>
      <c r="L164" s="73"/>
    </row>
    <row r="165" spans="4:15" ht="15.75" thickBot="1" x14ac:dyDescent="0.25">
      <c r="D165" s="130">
        <v>8</v>
      </c>
      <c r="E165" s="205" t="str">
        <f t="shared" si="4"/>
        <v>Round of 16 - 8</v>
      </c>
      <c r="F165" s="133" t="s">
        <v>52</v>
      </c>
      <c r="G165" s="134" t="s">
        <v>208</v>
      </c>
      <c r="H165" s="132" t="s">
        <v>216</v>
      </c>
      <c r="I165" s="135" t="s">
        <v>224</v>
      </c>
      <c r="J165" s="132" t="s">
        <v>160</v>
      </c>
      <c r="K165" s="628" t="s">
        <v>792</v>
      </c>
      <c r="L165" s="73"/>
    </row>
    <row r="166" spans="4:15" ht="15.75" thickTop="1" x14ac:dyDescent="0.2">
      <c r="D166" s="200">
        <v>1</v>
      </c>
      <c r="E166" s="205" t="str">
        <f t="shared" si="4"/>
        <v>Quarter final 1</v>
      </c>
      <c r="F166" s="177" t="s">
        <v>365</v>
      </c>
      <c r="G166" s="134" t="s">
        <v>233</v>
      </c>
      <c r="H166" s="132" t="s">
        <v>229</v>
      </c>
      <c r="I166" s="135" t="s">
        <v>225</v>
      </c>
      <c r="J166" s="132" t="s">
        <v>161</v>
      </c>
      <c r="K166" s="628" t="s">
        <v>793</v>
      </c>
      <c r="L166" s="73"/>
    </row>
    <row r="167" spans="4:15" x14ac:dyDescent="0.2">
      <c r="D167" s="128">
        <v>2</v>
      </c>
      <c r="E167" s="205" t="str">
        <f t="shared" si="4"/>
        <v>Quarter final 2</v>
      </c>
      <c r="F167" s="177" t="s">
        <v>366</v>
      </c>
      <c r="G167" s="134" t="s">
        <v>234</v>
      </c>
      <c r="H167" s="132" t="s">
        <v>230</v>
      </c>
      <c r="I167" s="135" t="s">
        <v>226</v>
      </c>
      <c r="J167" s="132" t="s">
        <v>162</v>
      </c>
      <c r="K167" s="628" t="s">
        <v>794</v>
      </c>
      <c r="L167" s="73"/>
    </row>
    <row r="168" spans="4:15" x14ac:dyDescent="0.2">
      <c r="D168" s="128">
        <v>3</v>
      </c>
      <c r="E168" s="205" t="str">
        <f t="shared" si="4"/>
        <v>Quarter final 3</v>
      </c>
      <c r="F168" s="177" t="s">
        <v>367</v>
      </c>
      <c r="G168" s="134" t="s">
        <v>235</v>
      </c>
      <c r="H168" s="132" t="s">
        <v>231</v>
      </c>
      <c r="I168" s="135" t="s">
        <v>227</v>
      </c>
      <c r="J168" s="132" t="s">
        <v>163</v>
      </c>
      <c r="K168" s="628" t="s">
        <v>795</v>
      </c>
      <c r="L168" s="73"/>
    </row>
    <row r="169" spans="4:15" ht="15.75" thickBot="1" x14ac:dyDescent="0.25">
      <c r="D169" s="130">
        <v>4</v>
      </c>
      <c r="E169" s="205" t="str">
        <f t="shared" si="4"/>
        <v>Quarter final 4</v>
      </c>
      <c r="F169" s="177" t="s">
        <v>368</v>
      </c>
      <c r="G169" s="134" t="s">
        <v>236</v>
      </c>
      <c r="H169" s="132" t="s">
        <v>232</v>
      </c>
      <c r="I169" s="135" t="s">
        <v>228</v>
      </c>
      <c r="J169" s="132" t="s">
        <v>164</v>
      </c>
      <c r="K169" s="628" t="s">
        <v>796</v>
      </c>
      <c r="L169" s="73"/>
    </row>
    <row r="170" spans="4:15" ht="15.75" thickTop="1" x14ac:dyDescent="0.2">
      <c r="E170" s="205" t="str">
        <f t="shared" si="4"/>
        <v>Semi-Final 1</v>
      </c>
      <c r="F170" s="133" t="s">
        <v>53</v>
      </c>
      <c r="G170" s="134" t="s">
        <v>237</v>
      </c>
      <c r="H170" s="132" t="s">
        <v>239</v>
      </c>
      <c r="I170" s="135" t="s">
        <v>241</v>
      </c>
      <c r="J170" s="132" t="s">
        <v>165</v>
      </c>
      <c r="K170" s="628" t="s">
        <v>797</v>
      </c>
      <c r="L170" s="73"/>
    </row>
    <row r="171" spans="4:15" x14ac:dyDescent="0.2">
      <c r="E171" s="205" t="str">
        <f t="shared" si="4"/>
        <v>Semi-Final 2</v>
      </c>
      <c r="F171" s="133" t="s">
        <v>54</v>
      </c>
      <c r="G171" s="134" t="s">
        <v>238</v>
      </c>
      <c r="H171" s="132" t="s">
        <v>240</v>
      </c>
      <c r="I171" s="135" t="s">
        <v>242</v>
      </c>
      <c r="J171" s="132" t="s">
        <v>166</v>
      </c>
      <c r="K171" s="628" t="s">
        <v>798</v>
      </c>
      <c r="L171" s="73"/>
    </row>
    <row r="172" spans="4:15" x14ac:dyDescent="0.2">
      <c r="E172" s="205" t="str">
        <f t="shared" si="4"/>
        <v>Third place</v>
      </c>
      <c r="F172" s="133" t="s">
        <v>152</v>
      </c>
      <c r="G172" s="134" t="s">
        <v>394</v>
      </c>
      <c r="H172" s="132" t="s">
        <v>395</v>
      </c>
      <c r="I172" s="135" t="s">
        <v>243</v>
      </c>
      <c r="J172" s="132" t="s">
        <v>167</v>
      </c>
      <c r="K172" s="628" t="s">
        <v>799</v>
      </c>
      <c r="L172" s="73"/>
    </row>
    <row r="173" spans="4:15" x14ac:dyDescent="0.2">
      <c r="E173" s="205" t="str">
        <f t="shared" si="4"/>
        <v>Final</v>
      </c>
      <c r="F173" s="133" t="s">
        <v>55</v>
      </c>
      <c r="G173" s="134" t="s">
        <v>55</v>
      </c>
      <c r="H173" s="132" t="s">
        <v>168</v>
      </c>
      <c r="I173" s="135" t="s">
        <v>55</v>
      </c>
      <c r="J173" s="132" t="s">
        <v>168</v>
      </c>
      <c r="K173" s="628" t="s">
        <v>168</v>
      </c>
      <c r="L173" s="73"/>
    </row>
    <row r="174" spans="4:15" x14ac:dyDescent="0.2">
      <c r="E174" s="205" t="str">
        <f t="shared" si="4"/>
        <v>Rating</v>
      </c>
      <c r="F174" s="133" t="s">
        <v>1840</v>
      </c>
      <c r="G174" s="134" t="s">
        <v>1844</v>
      </c>
      <c r="H174" s="132" t="s">
        <v>1843</v>
      </c>
      <c r="I174" s="135" t="s">
        <v>1842</v>
      </c>
      <c r="J174" s="132" t="s">
        <v>1839</v>
      </c>
      <c r="K174" s="628" t="s">
        <v>1841</v>
      </c>
      <c r="L174" s="73"/>
    </row>
    <row r="175" spans="4:15" x14ac:dyDescent="0.2">
      <c r="E175" s="205" t="str">
        <f t="shared" si="4"/>
        <v>Penalty shoot-out:</v>
      </c>
      <c r="F175" s="133" t="s">
        <v>542</v>
      </c>
      <c r="G175" s="134" t="s">
        <v>543</v>
      </c>
      <c r="H175" s="132" t="s">
        <v>544</v>
      </c>
      <c r="I175" s="135" t="s">
        <v>545</v>
      </c>
      <c r="J175" s="132" t="s">
        <v>546</v>
      </c>
      <c r="K175" s="628" t="s">
        <v>800</v>
      </c>
      <c r="L175" s="73"/>
    </row>
    <row r="176" spans="4:15" x14ac:dyDescent="0.2">
      <c r="E176" s="205" t="str">
        <f t="shared" si="4"/>
        <v>Name</v>
      </c>
      <c r="F176" s="133" t="s">
        <v>403</v>
      </c>
      <c r="G176" s="134" t="s">
        <v>646</v>
      </c>
      <c r="H176" s="132" t="s">
        <v>645</v>
      </c>
      <c r="I176" s="135" t="s">
        <v>644</v>
      </c>
      <c r="J176" s="132" t="s">
        <v>403</v>
      </c>
      <c r="K176" s="628" t="s">
        <v>801</v>
      </c>
      <c r="L176" s="73"/>
    </row>
    <row r="177" spans="5:12" ht="41.25" customHeight="1" x14ac:dyDescent="0.2">
      <c r="E177" s="205" t="str">
        <f t="shared" si="4"/>
        <v>Group combination:</v>
      </c>
      <c r="F177" s="288" t="s">
        <v>1083</v>
      </c>
      <c r="G177" s="289" t="s">
        <v>1084</v>
      </c>
      <c r="H177" s="290" t="s">
        <v>1085</v>
      </c>
      <c r="I177" s="291" t="s">
        <v>1086</v>
      </c>
      <c r="J177" s="290" t="s">
        <v>1087</v>
      </c>
      <c r="K177" s="634" t="s">
        <v>1088</v>
      </c>
      <c r="L177" s="292"/>
    </row>
    <row r="178" spans="5:12" x14ac:dyDescent="0.2">
      <c r="E178" s="205" t="str">
        <f t="shared" si="4"/>
        <v>First in Group</v>
      </c>
      <c r="F178" s="288" t="s">
        <v>1089</v>
      </c>
      <c r="G178" s="289" t="s">
        <v>1090</v>
      </c>
      <c r="H178" s="290" t="s">
        <v>1091</v>
      </c>
      <c r="I178" s="291" t="s">
        <v>1092</v>
      </c>
      <c r="J178" s="290" t="s">
        <v>1093</v>
      </c>
      <c r="K178" s="634" t="s">
        <v>1094</v>
      </c>
      <c r="L178" s="292"/>
    </row>
    <row r="179" spans="5:12" ht="32.25" customHeight="1" x14ac:dyDescent="0.2">
      <c r="E179" s="205" t="str">
        <f t="shared" si="4"/>
        <v>against third of Group</v>
      </c>
      <c r="F179" s="288" t="s">
        <v>1095</v>
      </c>
      <c r="G179" s="289" t="s">
        <v>1096</v>
      </c>
      <c r="H179" s="290" t="s">
        <v>1097</v>
      </c>
      <c r="I179" s="291" t="s">
        <v>1098</v>
      </c>
      <c r="J179" s="290" t="s">
        <v>1099</v>
      </c>
      <c r="K179" s="634" t="s">
        <v>1100</v>
      </c>
      <c r="L179" s="292"/>
    </row>
    <row r="180" spans="5:12" x14ac:dyDescent="0.2">
      <c r="E180" s="205" t="str">
        <f t="shared" si="4"/>
        <v>Third in the group</v>
      </c>
      <c r="F180" s="133" t="s">
        <v>1121</v>
      </c>
      <c r="G180" s="134" t="s">
        <v>1122</v>
      </c>
      <c r="H180" s="132" t="s">
        <v>1123</v>
      </c>
      <c r="I180" s="135" t="s">
        <v>1124</v>
      </c>
      <c r="J180" s="132" t="s">
        <v>1125</v>
      </c>
      <c r="K180" s="628" t="s">
        <v>1126</v>
      </c>
      <c r="L180" s="73"/>
    </row>
    <row r="181" spans="5:12" x14ac:dyDescent="0.2">
      <c r="E181" s="205" t="str">
        <f t="shared" si="4"/>
        <v>Grp</v>
      </c>
      <c r="F181" s="133" t="s">
        <v>1110</v>
      </c>
      <c r="G181" s="134" t="s">
        <v>1110</v>
      </c>
      <c r="H181" s="132" t="s">
        <v>1110</v>
      </c>
      <c r="I181" s="135" t="s">
        <v>1110</v>
      </c>
      <c r="J181" s="132" t="s">
        <v>1110</v>
      </c>
      <c r="K181" s="628" t="s">
        <v>1110</v>
      </c>
      <c r="L181" s="73"/>
    </row>
    <row r="182" spans="5:12" ht="30" customHeight="1" x14ac:dyDescent="0.2">
      <c r="E182" s="531" t="str">
        <f t="shared" si="4"/>
        <v>Group combination:</v>
      </c>
      <c r="F182" s="288" t="s">
        <v>1083</v>
      </c>
      <c r="G182" s="289" t="s">
        <v>1084</v>
      </c>
      <c r="H182" s="290" t="s">
        <v>1085</v>
      </c>
      <c r="I182" s="291" t="s">
        <v>1086</v>
      </c>
      <c r="J182" s="290" t="s">
        <v>1622</v>
      </c>
      <c r="K182" s="634" t="s">
        <v>1623</v>
      </c>
      <c r="L182" s="292"/>
    </row>
    <row r="183" spans="5:12" x14ac:dyDescent="0.2">
      <c r="E183" s="205" t="str">
        <f t="shared" si="4"/>
        <v>Not qualified:</v>
      </c>
      <c r="F183" s="133" t="s">
        <v>1624</v>
      </c>
      <c r="G183" s="134" t="s">
        <v>1625</v>
      </c>
      <c r="H183" s="132" t="s">
        <v>1626</v>
      </c>
      <c r="I183" s="135" t="s">
        <v>1627</v>
      </c>
      <c r="J183" s="132" t="s">
        <v>1628</v>
      </c>
      <c r="K183" s="628" t="s">
        <v>1629</v>
      </c>
      <c r="L183" s="73"/>
    </row>
    <row r="184" spans="5:12" x14ac:dyDescent="0.2">
      <c r="E184" s="205" t="str">
        <f t="shared" si="4"/>
        <v>TV channel</v>
      </c>
      <c r="F184" s="133" t="s">
        <v>1714</v>
      </c>
      <c r="G184" s="134" t="s">
        <v>1715</v>
      </c>
      <c r="H184" s="132" t="s">
        <v>1716</v>
      </c>
      <c r="I184" s="135" t="s">
        <v>1717</v>
      </c>
      <c r="J184" s="132" t="s">
        <v>1713</v>
      </c>
      <c r="K184" s="628" t="s">
        <v>1718</v>
      </c>
      <c r="L184" s="73"/>
    </row>
    <row r="185" spans="5:12" x14ac:dyDescent="0.2">
      <c r="E185" s="205" t="str">
        <f t="shared" si="4"/>
        <v>Venue</v>
      </c>
      <c r="F185" s="133" t="s">
        <v>392</v>
      </c>
      <c r="G185" s="134" t="s">
        <v>1719</v>
      </c>
      <c r="H185" s="132" t="s">
        <v>1720</v>
      </c>
      <c r="I185" s="135" t="s">
        <v>1721</v>
      </c>
      <c r="J185" s="132" t="s">
        <v>1722</v>
      </c>
      <c r="K185" s="628" t="s">
        <v>1723</v>
      </c>
      <c r="L185" s="73"/>
    </row>
    <row r="186" spans="5:12" x14ac:dyDescent="0.2">
      <c r="E186" s="205" t="str">
        <f t="shared" si="4"/>
        <v>FIFA Rank</v>
      </c>
      <c r="F186" s="133" t="s">
        <v>1846</v>
      </c>
      <c r="G186" s="134" t="s">
        <v>1847</v>
      </c>
      <c r="H186" s="132" t="s">
        <v>1848</v>
      </c>
      <c r="I186" s="135" t="s">
        <v>1848</v>
      </c>
      <c r="J186" s="132" t="s">
        <v>1845</v>
      </c>
      <c r="K186" s="628" t="s">
        <v>1849</v>
      </c>
      <c r="L186" s="73"/>
    </row>
    <row r="187" spans="5:12" x14ac:dyDescent="0.2">
      <c r="E187" s="205">
        <f t="shared" si="4"/>
        <v>0</v>
      </c>
      <c r="F187" s="133"/>
      <c r="G187" s="134"/>
      <c r="H187" s="132"/>
      <c r="I187" s="135"/>
      <c r="J187" s="132"/>
      <c r="K187" s="628"/>
      <c r="L187" s="73"/>
    </row>
    <row r="188" spans="5:12" ht="29.25" x14ac:dyDescent="0.4">
      <c r="E188" s="205"/>
      <c r="F188" s="79" t="s">
        <v>193</v>
      </c>
      <c r="G188" s="80"/>
      <c r="H188" s="80"/>
      <c r="I188" s="80"/>
      <c r="J188" s="80"/>
      <c r="K188" s="625"/>
      <c r="L188" s="81"/>
    </row>
    <row r="189" spans="5:12" ht="54.75" customHeight="1" x14ac:dyDescent="0.2">
      <c r="E189" s="205" t="str">
        <f t="shared" si="4"/>
        <v>Groups with fair play valuation:</v>
      </c>
      <c r="F189" s="144" t="s">
        <v>1731</v>
      </c>
      <c r="G189" s="145" t="s">
        <v>1730</v>
      </c>
      <c r="H189" s="146" t="s">
        <v>1729</v>
      </c>
      <c r="I189" s="147" t="s">
        <v>1728</v>
      </c>
      <c r="J189" s="146" t="s">
        <v>1726</v>
      </c>
      <c r="K189" s="634" t="s">
        <v>1727</v>
      </c>
      <c r="L189" s="82"/>
    </row>
    <row r="190" spans="5:12" ht="51.75" customHeight="1" x14ac:dyDescent="0.2">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x14ac:dyDescent="0.2">
      <c r="E191" s="205" t="str">
        <f t="shared" si="4"/>
        <v xml:space="preserve"> and </v>
      </c>
      <c r="F191" s="148" t="s">
        <v>309</v>
      </c>
      <c r="G191" s="149" t="s">
        <v>310</v>
      </c>
      <c r="H191" s="150" t="s">
        <v>311</v>
      </c>
      <c r="I191" s="151" t="s">
        <v>312</v>
      </c>
      <c r="J191" s="152" t="s">
        <v>313</v>
      </c>
      <c r="K191" s="634" t="s">
        <v>803</v>
      </c>
      <c r="L191" s="105"/>
    </row>
    <row r="192" spans="5:12" ht="20.25" customHeight="1" x14ac:dyDescent="0.2">
      <c r="E192" s="205" t="str">
        <f t="shared" si="4"/>
        <v>Invalid result!</v>
      </c>
      <c r="F192" s="153" t="s">
        <v>274</v>
      </c>
      <c r="G192" s="154" t="s">
        <v>276</v>
      </c>
      <c r="H192" s="155" t="s">
        <v>275</v>
      </c>
      <c r="I192" s="156" t="s">
        <v>277</v>
      </c>
      <c r="J192" s="155" t="s">
        <v>273</v>
      </c>
      <c r="K192" s="634" t="s">
        <v>804</v>
      </c>
      <c r="L192" s="83"/>
    </row>
    <row r="193" spans="5:12" ht="141.75" customHeight="1" x14ac:dyDescent="0.2">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x14ac:dyDescent="0.2">
      <c r="E194" s="205" t="str">
        <f t="shared" si="4"/>
        <v>Click here and
choose time zone:</v>
      </c>
      <c r="F194" s="157" t="s">
        <v>286</v>
      </c>
      <c r="G194" s="158" t="s">
        <v>384</v>
      </c>
      <c r="H194" s="159" t="s">
        <v>389</v>
      </c>
      <c r="I194" s="160" t="s">
        <v>388</v>
      </c>
      <c r="J194" s="180" t="s">
        <v>382</v>
      </c>
      <c r="K194" s="634" t="s">
        <v>805</v>
      </c>
      <c r="L194" s="123"/>
    </row>
    <row r="195" spans="5:12" ht="36.75" customHeight="1" x14ac:dyDescent="0.2">
      <c r="E195" s="205" t="str">
        <f t="shared" si="4"/>
        <v>Time zone of
the host country:</v>
      </c>
      <c r="F195" s="157" t="s">
        <v>397</v>
      </c>
      <c r="G195" s="158" t="s">
        <v>398</v>
      </c>
      <c r="H195" s="159" t="s">
        <v>400</v>
      </c>
      <c r="I195" s="160" t="s">
        <v>401</v>
      </c>
      <c r="J195" s="180" t="s">
        <v>399</v>
      </c>
      <c r="K195" s="634" t="s">
        <v>806</v>
      </c>
      <c r="L195" s="123"/>
    </row>
    <row r="196" spans="5:12" ht="38.25" customHeight="1" x14ac:dyDescent="0.2">
      <c r="E196" s="205" t="str">
        <f t="shared" si="4"/>
        <v>Click here and choose language:</v>
      </c>
      <c r="F196" s="157" t="s">
        <v>113</v>
      </c>
      <c r="G196" s="158" t="s">
        <v>385</v>
      </c>
      <c r="H196" s="159" t="s">
        <v>386</v>
      </c>
      <c r="I196" s="160" t="s">
        <v>387</v>
      </c>
      <c r="J196" s="180" t="s">
        <v>383</v>
      </c>
      <c r="K196" s="634" t="s">
        <v>807</v>
      </c>
      <c r="L196" s="123"/>
    </row>
    <row r="197" spans="5:12" ht="16.5" customHeight="1" x14ac:dyDescent="0.2">
      <c r="E197" s="205" t="str">
        <f t="shared" si="4"/>
        <v xml:space="preserve"> - </v>
      </c>
      <c r="F197" s="148" t="s">
        <v>364</v>
      </c>
      <c r="G197" s="149" t="s">
        <v>364</v>
      </c>
      <c r="H197" s="150" t="s">
        <v>364</v>
      </c>
      <c r="I197" s="151" t="s">
        <v>364</v>
      </c>
      <c r="J197" s="152" t="s">
        <v>363</v>
      </c>
      <c r="K197" s="634" t="s">
        <v>363</v>
      </c>
      <c r="L197" s="105"/>
    </row>
    <row r="198" spans="5:12" ht="96" customHeight="1" x14ac:dyDescent="0.2">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x14ac:dyDescent="0.2">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x14ac:dyDescent="0.2">
      <c r="E200" s="205">
        <f t="shared" si="4"/>
        <v>0</v>
      </c>
      <c r="F200" s="157"/>
      <c r="G200" s="158"/>
      <c r="H200" s="159"/>
      <c r="I200" s="160"/>
      <c r="J200" s="180"/>
      <c r="K200" s="413"/>
      <c r="L200" s="123"/>
    </row>
    <row r="201" spans="5:12" ht="15.75" thickBot="1" x14ac:dyDescent="0.25">
      <c r="E201" s="205">
        <f t="shared" si="4"/>
        <v>0</v>
      </c>
      <c r="F201" s="161"/>
      <c r="G201" s="162"/>
      <c r="H201" s="163"/>
      <c r="I201" s="164"/>
      <c r="J201" s="165"/>
      <c r="K201" s="629"/>
      <c r="L201" s="124"/>
    </row>
    <row r="202" spans="5:12" ht="16.5" thickTop="1" thickBot="1" x14ac:dyDescent="0.25">
      <c r="E202" s="205"/>
      <c r="K202" s="630"/>
    </row>
    <row r="203" spans="5:12" ht="30" thickTop="1" x14ac:dyDescent="0.4">
      <c r="E203" s="205"/>
      <c r="F203" s="76" t="s">
        <v>561</v>
      </c>
      <c r="G203" s="266"/>
      <c r="H203" s="266"/>
      <c r="I203" s="266"/>
      <c r="J203" s="266"/>
      <c r="K203" s="633"/>
      <c r="L203" s="267"/>
    </row>
    <row r="204" spans="5:12" x14ac:dyDescent="0.2">
      <c r="E204" s="205" t="str">
        <f t="shared" si="4"/>
        <v>Predictions</v>
      </c>
      <c r="F204" s="133" t="s">
        <v>561</v>
      </c>
      <c r="G204" s="134" t="s">
        <v>602</v>
      </c>
      <c r="H204" s="132" t="s">
        <v>601</v>
      </c>
      <c r="I204" s="135" t="s">
        <v>600</v>
      </c>
      <c r="J204" s="132" t="s">
        <v>612</v>
      </c>
      <c r="K204" s="634" t="s">
        <v>808</v>
      </c>
      <c r="L204" s="105"/>
    </row>
    <row r="205" spans="5:12" x14ac:dyDescent="0.2">
      <c r="E205" s="205" t="str">
        <f t="shared" si="4"/>
        <v>Correct Results</v>
      </c>
      <c r="F205" s="133" t="s">
        <v>562</v>
      </c>
      <c r="G205" s="134" t="s">
        <v>597</v>
      </c>
      <c r="H205" s="132" t="s">
        <v>598</v>
      </c>
      <c r="I205" s="135" t="s">
        <v>599</v>
      </c>
      <c r="J205" s="132" t="s">
        <v>565</v>
      </c>
      <c r="K205" s="634" t="s">
        <v>809</v>
      </c>
      <c r="L205" s="105"/>
    </row>
    <row r="206" spans="5:12" x14ac:dyDescent="0.2">
      <c r="E206" s="205" t="str">
        <f t="shared" si="4"/>
        <v>Result</v>
      </c>
      <c r="F206" s="133" t="s">
        <v>581</v>
      </c>
      <c r="G206" s="134" t="s">
        <v>596</v>
      </c>
      <c r="H206" s="132" t="s">
        <v>595</v>
      </c>
      <c r="I206" s="135" t="s">
        <v>594</v>
      </c>
      <c r="J206" s="132" t="s">
        <v>582</v>
      </c>
      <c r="K206" s="634" t="s">
        <v>810</v>
      </c>
      <c r="L206" s="105"/>
    </row>
    <row r="207" spans="5:12" x14ac:dyDescent="0.2">
      <c r="E207" s="205" t="str">
        <f t="shared" si="4"/>
        <v>Points:</v>
      </c>
      <c r="F207" s="133" t="s">
        <v>1699</v>
      </c>
      <c r="G207" s="134" t="s">
        <v>1701</v>
      </c>
      <c r="H207" s="132" t="s">
        <v>1702</v>
      </c>
      <c r="I207" s="135" t="s">
        <v>1699</v>
      </c>
      <c r="J207" s="132" t="s">
        <v>1698</v>
      </c>
      <c r="K207" s="634" t="s">
        <v>1700</v>
      </c>
      <c r="L207" s="105"/>
    </row>
    <row r="208" spans="5:12" x14ac:dyDescent="0.2">
      <c r="E208" s="205" t="str">
        <f t="shared" si="4"/>
        <v>Sum:</v>
      </c>
      <c r="F208" s="133" t="s">
        <v>189</v>
      </c>
      <c r="G208" s="134" t="s">
        <v>593</v>
      </c>
      <c r="H208" s="132" t="s">
        <v>592</v>
      </c>
      <c r="I208" s="135" t="s">
        <v>593</v>
      </c>
      <c r="J208" s="132" t="s">
        <v>586</v>
      </c>
      <c r="K208" s="634" t="s">
        <v>811</v>
      </c>
      <c r="L208" s="105"/>
    </row>
    <row r="209" spans="5:12" x14ac:dyDescent="0.2">
      <c r="E209" s="205" t="str">
        <f t="shared" si="4"/>
        <v>Result</v>
      </c>
      <c r="F209" s="133" t="s">
        <v>581</v>
      </c>
      <c r="G209" s="134" t="s">
        <v>659</v>
      </c>
      <c r="H209" s="132" t="s">
        <v>658</v>
      </c>
      <c r="I209" s="135" t="s">
        <v>657</v>
      </c>
      <c r="J209" s="132" t="s">
        <v>582</v>
      </c>
      <c r="K209" s="634" t="s">
        <v>659</v>
      </c>
      <c r="L209" s="105"/>
    </row>
    <row r="210" spans="5:12" x14ac:dyDescent="0.2">
      <c r="E210" s="205" t="str">
        <f t="shared" si="4"/>
        <v>W/D/L</v>
      </c>
      <c r="F210" s="133" t="s">
        <v>653</v>
      </c>
      <c r="G210" s="134" t="s">
        <v>654</v>
      </c>
      <c r="H210" s="132" t="s">
        <v>655</v>
      </c>
      <c r="I210" s="135" t="s">
        <v>656</v>
      </c>
      <c r="J210" s="132" t="s">
        <v>652</v>
      </c>
      <c r="K210" s="634" t="s">
        <v>812</v>
      </c>
      <c r="L210" s="105"/>
    </row>
    <row r="211" spans="5:12" x14ac:dyDescent="0.2">
      <c r="E211" s="205" t="str">
        <f t="shared" si="4"/>
        <v>GD</v>
      </c>
      <c r="F211" s="133" t="s">
        <v>190</v>
      </c>
      <c r="G211" s="134" t="s">
        <v>662</v>
      </c>
      <c r="H211" s="132" t="s">
        <v>660</v>
      </c>
      <c r="I211" s="135" t="s">
        <v>661</v>
      </c>
      <c r="J211" s="132" t="s">
        <v>663</v>
      </c>
      <c r="K211" s="634" t="s">
        <v>838</v>
      </c>
      <c r="L211" s="105"/>
    </row>
    <row r="212" spans="5:12" x14ac:dyDescent="0.2">
      <c r="E212" s="205" t="str">
        <f t="shared" si="4"/>
        <v>exact</v>
      </c>
      <c r="F212" s="133" t="s">
        <v>584</v>
      </c>
      <c r="G212" s="134" t="s">
        <v>587</v>
      </c>
      <c r="H212" s="132" t="s">
        <v>588</v>
      </c>
      <c r="I212" s="135" t="s">
        <v>587</v>
      </c>
      <c r="J212" s="132" t="s">
        <v>583</v>
      </c>
      <c r="K212" s="634" t="s">
        <v>584</v>
      </c>
      <c r="L212" s="105"/>
    </row>
    <row r="213" spans="5:12" x14ac:dyDescent="0.2">
      <c r="E213" s="205" t="str">
        <f t="shared" si="4"/>
        <v>teams</v>
      </c>
      <c r="F213" s="133" t="s">
        <v>585</v>
      </c>
      <c r="G213" s="134" t="s">
        <v>589</v>
      </c>
      <c r="H213" s="132" t="s">
        <v>590</v>
      </c>
      <c r="I213" s="135" t="s">
        <v>591</v>
      </c>
      <c r="J213" s="132" t="s">
        <v>307</v>
      </c>
      <c r="K213" s="634" t="s">
        <v>585</v>
      </c>
      <c r="L213" s="105"/>
    </row>
    <row r="214" spans="5:12" x14ac:dyDescent="0.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x14ac:dyDescent="0.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x14ac:dyDescent="0.2">
      <c r="E216" s="205" t="str">
        <f t="shared" si="6"/>
        <v>Quarter final</v>
      </c>
      <c r="F216" s="177" t="s">
        <v>571</v>
      </c>
      <c r="G216" s="134" t="s">
        <v>572</v>
      </c>
      <c r="H216" s="132" t="s">
        <v>573</v>
      </c>
      <c r="I216" s="135" t="s">
        <v>574</v>
      </c>
      <c r="J216" s="132" t="s">
        <v>575</v>
      </c>
      <c r="K216" s="634" t="s">
        <v>814</v>
      </c>
      <c r="L216" s="105"/>
    </row>
    <row r="217" spans="5:12" x14ac:dyDescent="0.2">
      <c r="E217" s="205" t="str">
        <f t="shared" si="6"/>
        <v>Semi-Final</v>
      </c>
      <c r="F217" s="133" t="s">
        <v>576</v>
      </c>
      <c r="G217" s="134" t="s">
        <v>577</v>
      </c>
      <c r="H217" s="132" t="s">
        <v>578</v>
      </c>
      <c r="I217" s="135" t="s">
        <v>579</v>
      </c>
      <c r="J217" s="132" t="s">
        <v>580</v>
      </c>
      <c r="K217" s="634" t="s">
        <v>815</v>
      </c>
      <c r="L217" s="105"/>
    </row>
    <row r="218" spans="5:12" x14ac:dyDescent="0.2">
      <c r="E218" s="205" t="str">
        <f t="shared" si="6"/>
        <v>Third place</v>
      </c>
      <c r="F218" s="133" t="s">
        <v>152</v>
      </c>
      <c r="G218" s="134" t="s">
        <v>394</v>
      </c>
      <c r="H218" s="132" t="s">
        <v>395</v>
      </c>
      <c r="I218" s="135" t="s">
        <v>243</v>
      </c>
      <c r="J218" s="132" t="s">
        <v>167</v>
      </c>
      <c r="K218" s="634" t="s">
        <v>799</v>
      </c>
      <c r="L218" s="105"/>
    </row>
    <row r="219" spans="5:12" x14ac:dyDescent="0.2">
      <c r="E219" s="205" t="str">
        <f t="shared" si="6"/>
        <v>Final</v>
      </c>
      <c r="F219" s="133" t="s">
        <v>55</v>
      </c>
      <c r="G219" s="134" t="s">
        <v>55</v>
      </c>
      <c r="H219" s="132" t="s">
        <v>168</v>
      </c>
      <c r="I219" s="135" t="s">
        <v>55</v>
      </c>
      <c r="J219" s="132" t="s">
        <v>168</v>
      </c>
      <c r="K219" s="634" t="s">
        <v>168</v>
      </c>
      <c r="L219" s="105"/>
    </row>
    <row r="220" spans="5:12" x14ac:dyDescent="0.2">
      <c r="E220" s="205" t="str">
        <f t="shared" si="6"/>
        <v>World Champion</v>
      </c>
      <c r="F220" s="209" t="s">
        <v>1013</v>
      </c>
      <c r="G220" s="131" t="s">
        <v>1014</v>
      </c>
      <c r="H220" s="210" t="s">
        <v>1015</v>
      </c>
      <c r="I220" s="211" t="s">
        <v>1016</v>
      </c>
      <c r="J220" s="210" t="s">
        <v>1017</v>
      </c>
      <c r="K220" s="634" t="s">
        <v>1018</v>
      </c>
      <c r="L220" s="287"/>
    </row>
    <row r="221" spans="5:12" x14ac:dyDescent="0.2">
      <c r="E221" s="205" t="str">
        <f t="shared" si="6"/>
        <v>Hint</v>
      </c>
      <c r="F221" s="209" t="s">
        <v>603</v>
      </c>
      <c r="G221" s="131" t="s">
        <v>605</v>
      </c>
      <c r="H221" s="210" t="s">
        <v>606</v>
      </c>
      <c r="I221" s="211" t="s">
        <v>607</v>
      </c>
      <c r="J221" s="210" t="s">
        <v>604</v>
      </c>
      <c r="K221" s="634" t="s">
        <v>816</v>
      </c>
      <c r="L221" s="287"/>
    </row>
    <row r="222" spans="5:12" x14ac:dyDescent="0.2">
      <c r="E222" s="205" t="str">
        <f t="shared" si="6"/>
        <v>Factors</v>
      </c>
      <c r="F222" s="209" t="s">
        <v>557</v>
      </c>
      <c r="G222" s="131" t="s">
        <v>611</v>
      </c>
      <c r="H222" s="210" t="s">
        <v>610</v>
      </c>
      <c r="I222" s="211" t="s">
        <v>609</v>
      </c>
      <c r="J222" s="210" t="s">
        <v>608</v>
      </c>
      <c r="K222" s="634" t="s">
        <v>817</v>
      </c>
      <c r="L222" s="287"/>
    </row>
    <row r="223" spans="5:12" x14ac:dyDescent="0.2">
      <c r="E223" s="205" t="str">
        <f t="shared" si="6"/>
        <v>Settings</v>
      </c>
      <c r="F223" s="209" t="s">
        <v>669</v>
      </c>
      <c r="G223" s="131" t="s">
        <v>671</v>
      </c>
      <c r="H223" s="210" t="s">
        <v>672</v>
      </c>
      <c r="I223" s="211" t="s">
        <v>673</v>
      </c>
      <c r="J223" s="210" t="s">
        <v>670</v>
      </c>
      <c r="K223" s="634" t="s">
        <v>818</v>
      </c>
      <c r="L223" s="287"/>
    </row>
    <row r="224" spans="5:12" x14ac:dyDescent="0.2">
      <c r="E224" s="205" t="str">
        <f t="shared" si="6"/>
        <v>many g.</v>
      </c>
      <c r="F224" s="133" t="s">
        <v>668</v>
      </c>
      <c r="G224" s="134" t="s">
        <v>667</v>
      </c>
      <c r="H224" s="132" t="s">
        <v>664</v>
      </c>
      <c r="I224" s="135" t="s">
        <v>665</v>
      </c>
      <c r="J224" s="132" t="s">
        <v>666</v>
      </c>
      <c r="K224" s="634" t="s">
        <v>819</v>
      </c>
      <c r="L224" s="287"/>
    </row>
    <row r="225" spans="5:12" ht="31.5" customHeight="1" x14ac:dyDescent="0.2">
      <c r="E225" s="205" t="str">
        <f t="shared" si="6"/>
        <v>Won/Draw/Loss:</v>
      </c>
      <c r="F225" s="157" t="s">
        <v>703</v>
      </c>
      <c r="G225" s="158" t="s">
        <v>702</v>
      </c>
      <c r="H225" s="159" t="s">
        <v>701</v>
      </c>
      <c r="I225" s="160" t="s">
        <v>700</v>
      </c>
      <c r="J225" s="159" t="s">
        <v>699</v>
      </c>
      <c r="K225" s="634" t="s">
        <v>820</v>
      </c>
      <c r="L225" s="123"/>
    </row>
    <row r="226" spans="5:12" ht="15" customHeight="1" x14ac:dyDescent="0.2">
      <c r="E226" s="205" t="str">
        <f t="shared" si="6"/>
        <v>goal difference:</v>
      </c>
      <c r="F226" s="157" t="s">
        <v>628</v>
      </c>
      <c r="G226" s="158" t="s">
        <v>629</v>
      </c>
      <c r="H226" s="159" t="s">
        <v>630</v>
      </c>
      <c r="I226" s="160" t="s">
        <v>631</v>
      </c>
      <c r="J226" s="159" t="s">
        <v>632</v>
      </c>
      <c r="K226" s="634" t="s">
        <v>821</v>
      </c>
      <c r="L226" s="123"/>
    </row>
    <row r="227" spans="5:12" ht="46.5" customHeight="1" x14ac:dyDescent="0.2">
      <c r="E227" s="205" t="str">
        <f t="shared" si="6"/>
        <v>Many goals - good approximation</v>
      </c>
      <c r="F227" s="157" t="s">
        <v>706</v>
      </c>
      <c r="G227" s="158" t="s">
        <v>707</v>
      </c>
      <c r="H227" s="159" t="s">
        <v>708</v>
      </c>
      <c r="I227" s="160" t="s">
        <v>704</v>
      </c>
      <c r="J227" s="159" t="s">
        <v>705</v>
      </c>
      <c r="K227" s="634" t="s">
        <v>822</v>
      </c>
      <c r="L227" s="123"/>
    </row>
    <row r="228" spans="5:12" ht="15" customHeight="1" x14ac:dyDescent="0.2">
      <c r="E228" s="205" t="str">
        <f t="shared" si="6"/>
        <v>goals exact:</v>
      </c>
      <c r="F228" s="157" t="s">
        <v>637</v>
      </c>
      <c r="G228" s="158" t="s">
        <v>636</v>
      </c>
      <c r="H228" s="159" t="s">
        <v>635</v>
      </c>
      <c r="I228" s="160" t="s">
        <v>634</v>
      </c>
      <c r="J228" s="159" t="s">
        <v>633</v>
      </c>
      <c r="K228" s="634" t="s">
        <v>823</v>
      </c>
      <c r="L228" s="123"/>
    </row>
    <row r="229" spans="5:12" ht="35.25" customHeight="1" x14ac:dyDescent="0.2">
      <c r="E229" s="205" t="str">
        <f t="shared" si="6"/>
        <v>correct team (knockout phase):</v>
      </c>
      <c r="F229" s="157" t="s">
        <v>717</v>
      </c>
      <c r="G229" s="158" t="s">
        <v>716</v>
      </c>
      <c r="H229" s="159" t="s">
        <v>718</v>
      </c>
      <c r="I229" s="160" t="s">
        <v>715</v>
      </c>
      <c r="J229" s="159" t="s">
        <v>714</v>
      </c>
      <c r="K229" s="634" t="s">
        <v>824</v>
      </c>
      <c r="L229" s="123"/>
    </row>
    <row r="230" spans="5:12" ht="137.25" customHeight="1" x14ac:dyDescent="0.2">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x14ac:dyDescent="0.2">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x14ac:dyDescent="0.2">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x14ac:dyDescent="0.2">
      <c r="E233" s="205" t="str">
        <f t="shared" si="6"/>
        <v>Access to file</v>
      </c>
      <c r="F233" s="288" t="s">
        <v>613</v>
      </c>
      <c r="G233" s="289" t="s">
        <v>615</v>
      </c>
      <c r="H233" s="290" t="s">
        <v>616</v>
      </c>
      <c r="I233" s="291" t="s">
        <v>617</v>
      </c>
      <c r="J233" s="290" t="s">
        <v>614</v>
      </c>
      <c r="K233" s="634" t="s">
        <v>827</v>
      </c>
      <c r="L233" s="292"/>
    </row>
    <row r="234" spans="5:12" x14ac:dyDescent="0.2">
      <c r="E234" s="205" t="str">
        <f t="shared" si="6"/>
        <v>Worksheet</v>
      </c>
      <c r="F234" s="157" t="s">
        <v>619</v>
      </c>
      <c r="G234" s="158" t="s">
        <v>621</v>
      </c>
      <c r="H234" s="159" t="s">
        <v>622</v>
      </c>
      <c r="I234" s="160" t="s">
        <v>620</v>
      </c>
      <c r="J234" s="159" t="s">
        <v>618</v>
      </c>
      <c r="K234" s="634" t="s">
        <v>828</v>
      </c>
      <c r="L234" s="123"/>
    </row>
    <row r="235" spans="5:12" ht="38.25" customHeight="1" x14ac:dyDescent="0.2">
      <c r="E235" s="205" t="str">
        <f t="shared" si="6"/>
        <v>Final/Third-Place Winner:</v>
      </c>
      <c r="F235" s="302" t="s">
        <v>623</v>
      </c>
      <c r="G235" s="303" t="s">
        <v>624</v>
      </c>
      <c r="H235" s="304" t="s">
        <v>625</v>
      </c>
      <c r="I235" s="305" t="s">
        <v>626</v>
      </c>
      <c r="J235" s="304" t="s">
        <v>627</v>
      </c>
      <c r="K235" s="634" t="s">
        <v>829</v>
      </c>
      <c r="L235" s="306"/>
    </row>
    <row r="236" spans="5:12" ht="41.25" x14ac:dyDescent="0.2">
      <c r="E236" s="205" t="str">
        <f t="shared" si="6"/>
        <v>Points for goal difference in the event of a tie:</v>
      </c>
      <c r="F236" s="288" t="s">
        <v>676</v>
      </c>
      <c r="G236" s="289" t="s">
        <v>677</v>
      </c>
      <c r="H236" s="290" t="s">
        <v>678</v>
      </c>
      <c r="I236" s="291" t="s">
        <v>675</v>
      </c>
      <c r="J236" s="290" t="s">
        <v>674</v>
      </c>
      <c r="K236" s="634" t="s">
        <v>830</v>
      </c>
      <c r="L236" s="292"/>
    </row>
    <row r="237" spans="5:12" x14ac:dyDescent="0.2">
      <c r="E237" s="205" t="str">
        <f t="shared" si="6"/>
        <v>yes</v>
      </c>
      <c r="F237" s="288" t="s">
        <v>681</v>
      </c>
      <c r="G237" s="289" t="s">
        <v>684</v>
      </c>
      <c r="H237" s="290" t="s">
        <v>683</v>
      </c>
      <c r="I237" s="291" t="s">
        <v>685</v>
      </c>
      <c r="J237" s="290" t="s">
        <v>679</v>
      </c>
      <c r="K237" s="634" t="s">
        <v>679</v>
      </c>
      <c r="L237" s="292"/>
    </row>
    <row r="238" spans="5:12" x14ac:dyDescent="0.2">
      <c r="E238" s="205" t="str">
        <f t="shared" si="6"/>
        <v>no</v>
      </c>
      <c r="F238" s="288" t="s">
        <v>682</v>
      </c>
      <c r="G238" s="289" t="s">
        <v>682</v>
      </c>
      <c r="H238" s="290" t="s">
        <v>682</v>
      </c>
      <c r="I238" s="291" t="s">
        <v>686</v>
      </c>
      <c r="J238" s="290" t="s">
        <v>680</v>
      </c>
      <c r="K238" s="634" t="s">
        <v>831</v>
      </c>
      <c r="L238" s="292"/>
    </row>
    <row r="239" spans="5:12" ht="51" customHeight="1" x14ac:dyDescent="0.2">
      <c r="E239" s="205" t="str">
        <f t="shared" si="6"/>
        <v>Minimum number for 'Many Goals' in the event of a tie:</v>
      </c>
      <c r="F239" s="157" t="s">
        <v>687</v>
      </c>
      <c r="G239" s="158" t="s">
        <v>688</v>
      </c>
      <c r="H239" s="159" t="s">
        <v>689</v>
      </c>
      <c r="I239" s="160" t="s">
        <v>696</v>
      </c>
      <c r="J239" s="159" t="s">
        <v>690</v>
      </c>
      <c r="K239" s="634" t="s">
        <v>832</v>
      </c>
      <c r="L239" s="123"/>
    </row>
    <row r="240" spans="5:12" ht="41.25" x14ac:dyDescent="0.2">
      <c r="E240" s="205" t="str">
        <f t="shared" si="6"/>
        <v>Minimum number for a large goal difference:</v>
      </c>
      <c r="F240" s="157" t="s">
        <v>695</v>
      </c>
      <c r="G240" s="158" t="s">
        <v>694</v>
      </c>
      <c r="H240" s="159" t="s">
        <v>693</v>
      </c>
      <c r="I240" s="160" t="s">
        <v>692</v>
      </c>
      <c r="J240" s="159" t="s">
        <v>691</v>
      </c>
      <c r="K240" s="634" t="s">
        <v>833</v>
      </c>
      <c r="L240" s="123"/>
    </row>
    <row r="241" spans="5:12" ht="349.5" x14ac:dyDescent="0.2">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x14ac:dyDescent="0.2">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x14ac:dyDescent="0.2">
      <c r="E243" s="205" t="str">
        <f t="shared" si="6"/>
        <v>Minimum number for a large sum of goals:</v>
      </c>
      <c r="F243" s="157" t="s">
        <v>724</v>
      </c>
      <c r="G243" s="158" t="s">
        <v>725</v>
      </c>
      <c r="H243" s="159" t="s">
        <v>726</v>
      </c>
      <c r="I243" s="160" t="s">
        <v>727</v>
      </c>
      <c r="J243" s="159" t="s">
        <v>728</v>
      </c>
      <c r="K243" s="634" t="s">
        <v>836</v>
      </c>
      <c r="L243" s="123"/>
    </row>
    <row r="244" spans="5:12" ht="242.25" customHeight="1" x14ac:dyDescent="0.2">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x14ac:dyDescent="0.2">
      <c r="E245" s="205" t="str">
        <f t="shared" si="6"/>
        <v>Number:</v>
      </c>
      <c r="F245" s="133" t="s">
        <v>1693</v>
      </c>
      <c r="G245" s="134" t="s">
        <v>1696</v>
      </c>
      <c r="H245" s="132" t="s">
        <v>1695</v>
      </c>
      <c r="I245" s="135" t="s">
        <v>1694</v>
      </c>
      <c r="J245" s="132" t="s">
        <v>1692</v>
      </c>
      <c r="K245" s="634" t="s">
        <v>1697</v>
      </c>
      <c r="L245" s="105"/>
    </row>
    <row r="246" spans="5:12" ht="47.25" customHeight="1" x14ac:dyDescent="0.2">
      <c r="E246" s="205">
        <f t="shared" si="6"/>
        <v>0</v>
      </c>
      <c r="F246" s="157"/>
      <c r="G246" s="158"/>
      <c r="H246" s="159"/>
      <c r="I246" s="160"/>
      <c r="J246" s="159"/>
      <c r="K246" s="628"/>
      <c r="L246" s="123"/>
    </row>
    <row r="247" spans="5:12" ht="15.75" thickBot="1" x14ac:dyDescent="0.25">
      <c r="E247" s="205">
        <f t="shared" si="6"/>
        <v>0</v>
      </c>
      <c r="F247" s="282"/>
      <c r="G247" s="283"/>
      <c r="H247" s="284"/>
      <c r="I247" s="285"/>
      <c r="J247" s="284"/>
      <c r="K247" s="636"/>
      <c r="L247" s="286"/>
    </row>
    <row r="248" spans="5:12" ht="16.5" thickTop="1" thickBot="1" x14ac:dyDescent="0.25">
      <c r="K248" s="75"/>
    </row>
    <row r="249" spans="5:12" ht="30" thickTop="1" x14ac:dyDescent="0.4">
      <c r="E249" s="205"/>
      <c r="F249" s="76" t="s">
        <v>1645</v>
      </c>
      <c r="G249" s="266"/>
      <c r="H249" s="266"/>
      <c r="I249" s="266"/>
      <c r="J249" s="266"/>
      <c r="K249" s="633"/>
      <c r="L249" s="267"/>
    </row>
    <row r="250" spans="5:12" x14ac:dyDescent="0.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x14ac:dyDescent="0.2">
      <c r="E251" s="205" t="str">
        <f t="shared" si="7"/>
        <v>Match No.</v>
      </c>
      <c r="F251" s="133" t="s">
        <v>393</v>
      </c>
      <c r="G251" s="134" t="s">
        <v>1651</v>
      </c>
      <c r="H251" s="132" t="s">
        <v>1652</v>
      </c>
      <c r="I251" s="135" t="s">
        <v>1653</v>
      </c>
      <c r="J251" s="132" t="s">
        <v>1654</v>
      </c>
      <c r="K251" s="634" t="s">
        <v>1655</v>
      </c>
      <c r="L251" s="105"/>
    </row>
    <row r="252" spans="5:12" x14ac:dyDescent="0.2">
      <c r="E252" s="205" t="str">
        <f t="shared" si="7"/>
        <v>Teams</v>
      </c>
      <c r="F252" s="133" t="s">
        <v>307</v>
      </c>
      <c r="G252" s="134" t="s">
        <v>1656</v>
      </c>
      <c r="H252" s="132" t="s">
        <v>1657</v>
      </c>
      <c r="I252" s="135" t="s">
        <v>1658</v>
      </c>
      <c r="J252" s="132" t="s">
        <v>307</v>
      </c>
      <c r="K252" s="634" t="s">
        <v>307</v>
      </c>
      <c r="L252" s="105"/>
    </row>
    <row r="253" spans="5:12" x14ac:dyDescent="0.2">
      <c r="E253" s="205" t="str">
        <f t="shared" si="7"/>
        <v>Time</v>
      </c>
      <c r="F253" s="133" t="s">
        <v>1659</v>
      </c>
      <c r="G253" s="134" t="s">
        <v>1660</v>
      </c>
      <c r="H253" s="132" t="s">
        <v>1661</v>
      </c>
      <c r="I253" s="135" t="s">
        <v>1662</v>
      </c>
      <c r="J253" s="132" t="s">
        <v>1663</v>
      </c>
      <c r="K253" s="634" t="s">
        <v>1664</v>
      </c>
      <c r="L253" s="105"/>
    </row>
    <row r="254" spans="5:12" x14ac:dyDescent="0.2">
      <c r="E254" s="205" t="str">
        <f t="shared" si="7"/>
        <v>Team 1</v>
      </c>
      <c r="F254" s="133" t="s">
        <v>284</v>
      </c>
      <c r="G254" s="134" t="s">
        <v>1665</v>
      </c>
      <c r="H254" s="132" t="s">
        <v>1666</v>
      </c>
      <c r="I254" s="135" t="s">
        <v>1667</v>
      </c>
      <c r="J254" s="132" t="s">
        <v>284</v>
      </c>
      <c r="K254" s="634" t="s">
        <v>284</v>
      </c>
      <c r="L254" s="105"/>
    </row>
    <row r="255" spans="5:12" x14ac:dyDescent="0.2">
      <c r="E255" s="205" t="str">
        <f t="shared" si="7"/>
        <v>Team 2</v>
      </c>
      <c r="F255" s="133" t="s">
        <v>285</v>
      </c>
      <c r="G255" s="134" t="s">
        <v>1668</v>
      </c>
      <c r="H255" s="132" t="s">
        <v>1669</v>
      </c>
      <c r="I255" s="135" t="s">
        <v>1670</v>
      </c>
      <c r="J255" s="132" t="s">
        <v>285</v>
      </c>
      <c r="K255" s="634" t="s">
        <v>285</v>
      </c>
      <c r="L255" s="105"/>
    </row>
    <row r="256" spans="5:12" x14ac:dyDescent="0.2">
      <c r="E256" s="205" t="str">
        <f t="shared" si="7"/>
        <v>Round of 32</v>
      </c>
      <c r="F256" s="133" t="s">
        <v>897</v>
      </c>
      <c r="G256" s="134" t="s">
        <v>1688</v>
      </c>
      <c r="H256" s="132" t="s">
        <v>900</v>
      </c>
      <c r="I256" s="135" t="s">
        <v>1689</v>
      </c>
      <c r="J256" s="132" t="s">
        <v>896</v>
      </c>
      <c r="K256" s="628" t="s">
        <v>1690</v>
      </c>
      <c r="L256" s="73"/>
    </row>
    <row r="257" spans="5:12" x14ac:dyDescent="0.2">
      <c r="E257" s="205" t="str">
        <f t="shared" si="7"/>
        <v>Round of 16</v>
      </c>
      <c r="F257" s="133" t="s">
        <v>566</v>
      </c>
      <c r="G257" s="134" t="s">
        <v>567</v>
      </c>
      <c r="H257" s="132" t="s">
        <v>568</v>
      </c>
      <c r="I257" s="135" t="s">
        <v>1671</v>
      </c>
      <c r="J257" s="132" t="s">
        <v>570</v>
      </c>
      <c r="K257" s="628" t="s">
        <v>813</v>
      </c>
      <c r="L257" s="105"/>
    </row>
    <row r="258" spans="5:12" x14ac:dyDescent="0.2">
      <c r="E258" s="205" t="str">
        <f t="shared" si="7"/>
        <v>Quarter final</v>
      </c>
      <c r="F258" s="177" t="s">
        <v>571</v>
      </c>
      <c r="G258" s="134" t="s">
        <v>572</v>
      </c>
      <c r="H258" s="132" t="s">
        <v>573</v>
      </c>
      <c r="I258" s="135" t="s">
        <v>574</v>
      </c>
      <c r="J258" s="132" t="s">
        <v>575</v>
      </c>
      <c r="K258" s="628" t="s">
        <v>814</v>
      </c>
      <c r="L258" s="105"/>
    </row>
    <row r="259" spans="5:12" x14ac:dyDescent="0.2">
      <c r="E259" s="205" t="str">
        <f t="shared" si="7"/>
        <v>Semi-Final</v>
      </c>
      <c r="F259" s="133" t="s">
        <v>576</v>
      </c>
      <c r="G259" s="134" t="s">
        <v>577</v>
      </c>
      <c r="H259" s="132" t="s">
        <v>578</v>
      </c>
      <c r="I259" s="135" t="s">
        <v>579</v>
      </c>
      <c r="J259" s="132" t="s">
        <v>580</v>
      </c>
      <c r="K259" s="628" t="s">
        <v>815</v>
      </c>
      <c r="L259" s="105"/>
    </row>
    <row r="260" spans="5:12" x14ac:dyDescent="0.2">
      <c r="E260" s="205" t="str">
        <f t="shared" si="7"/>
        <v>Date</v>
      </c>
      <c r="F260" s="133" t="s">
        <v>1672</v>
      </c>
      <c r="G260" s="134" t="s">
        <v>1673</v>
      </c>
      <c r="H260" s="132" t="s">
        <v>1674</v>
      </c>
      <c r="I260" s="135" t="s">
        <v>1672</v>
      </c>
      <c r="J260" s="132" t="s">
        <v>1675</v>
      </c>
      <c r="K260" s="634" t="s">
        <v>1675</v>
      </c>
      <c r="L260" s="105"/>
    </row>
    <row r="261" spans="5:12" x14ac:dyDescent="0.2">
      <c r="E261" s="205" t="str">
        <f t="shared" si="7"/>
        <v>Color favorites</v>
      </c>
      <c r="F261" s="133" t="s">
        <v>1676</v>
      </c>
      <c r="G261" s="134" t="s">
        <v>1677</v>
      </c>
      <c r="H261" s="132" t="s">
        <v>1678</v>
      </c>
      <c r="I261" s="135" t="s">
        <v>1679</v>
      </c>
      <c r="J261" s="132" t="s">
        <v>1680</v>
      </c>
      <c r="K261" s="634" t="s">
        <v>1681</v>
      </c>
      <c r="L261" s="105"/>
    </row>
    <row r="262" spans="5:12" ht="27.75" x14ac:dyDescent="0.2">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x14ac:dyDescent="0.25">
      <c r="E263" s="205">
        <f>IF($C$3,F263,IF($C$4,G263,IF($C$5,H263,IF($C$6,I263,IF($C$7,J263,IF($C$8,K263,IF(L263&lt;&gt;"",L263,F263)))))))</f>
        <v>0</v>
      </c>
      <c r="F263" s="136"/>
      <c r="G263" s="137"/>
      <c r="H263" s="138"/>
      <c r="I263" s="139"/>
      <c r="J263" s="138"/>
      <c r="K263" s="637"/>
      <c r="L263" s="124"/>
    </row>
    <row r="264" spans="5:12" ht="15.75" thickTop="1" x14ac:dyDescent="0.2"/>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x14ac:dyDescent="0.2"/>
  <cols>
    <col min="1" max="1" width="18.0234375" style="4" customWidth="1"/>
    <col min="2" max="2" width="9.68359375" style="4" hidden="1" customWidth="1"/>
    <col min="3" max="3" width="11.43359375" style="4" customWidth="1"/>
    <col min="4" max="4" width="13.1796875" style="4" customWidth="1"/>
    <col min="5" max="5" width="5.109375" style="4" hidden="1" customWidth="1"/>
    <col min="6" max="6" width="11.43359375" style="4" customWidth="1"/>
    <col min="7" max="7" width="20.4453125" style="4" customWidth="1"/>
    <col min="8" max="8" width="15.6015625" style="4" customWidth="1"/>
    <col min="9" max="9" width="16.94921875" style="4" customWidth="1"/>
    <col min="10" max="10" width="13.98828125" style="4" hidden="1" customWidth="1"/>
    <col min="11" max="11" width="25.828125" style="4" hidden="1" customWidth="1"/>
    <col min="12" max="12" width="6.1875" style="4" hidden="1" customWidth="1"/>
    <col min="13" max="13" width="22.734375" style="4" hidden="1" customWidth="1"/>
    <col min="14" max="14" width="16.8125" style="4" hidden="1" customWidth="1"/>
    <col min="15" max="16384" width="11.43359375" style="4" hidden="1"/>
  </cols>
  <sheetData>
    <row r="1" spans="1:17" ht="36.75" customHeight="1" thickBot="1" x14ac:dyDescent="0.45">
      <c r="A1" s="964" t="str">
        <f>Language!$E$124</f>
        <v>Choose time zone</v>
      </c>
      <c r="B1" s="964"/>
      <c r="C1" s="964"/>
      <c r="D1" s="964"/>
      <c r="E1" s="964"/>
      <c r="F1" s="964"/>
      <c r="G1" s="394" t="str">
        <f>Language!$E$194</f>
        <v>Click here and
choose time zone:</v>
      </c>
      <c r="H1" s="396" t="s">
        <v>149</v>
      </c>
      <c r="I1" s="395" t="s">
        <v>559</v>
      </c>
      <c r="J1" s="166"/>
    </row>
    <row r="2" spans="1:17" x14ac:dyDescent="0.2"/>
    <row r="3" spans="1:17" ht="15.75" thickBot="1" x14ac:dyDescent="0.25">
      <c r="C3" s="179"/>
      <c r="D3" s="6"/>
    </row>
    <row r="4" spans="1:17" x14ac:dyDescent="0.2">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x14ac:dyDescent="0.2">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x14ac:dyDescent="0.2">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x14ac:dyDescent="0.2">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x14ac:dyDescent="0.2">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x14ac:dyDescent="0.2">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x14ac:dyDescent="0.2">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x14ac:dyDescent="0.2">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x14ac:dyDescent="0.2">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x14ac:dyDescent="0.2">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x14ac:dyDescent="0.2">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x14ac:dyDescent="0.2">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x14ac:dyDescent="0.2">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x14ac:dyDescent="0.2">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x14ac:dyDescent="0.2">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x14ac:dyDescent="0.25">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x14ac:dyDescent="0.2">
      <c r="B20" s="167">
        <v>2</v>
      </c>
      <c r="C20" s="197" t="s">
        <v>149</v>
      </c>
      <c r="D20" s="198" t="s">
        <v>553</v>
      </c>
      <c r="E20" s="168">
        <f t="shared" si="0"/>
        <v>8.3333333333333329E-2</v>
      </c>
      <c r="I20" s="172"/>
      <c r="J20" s="173"/>
      <c r="K20" s="173"/>
      <c r="L20" s="174"/>
      <c r="M20" s="174"/>
      <c r="N20" s="174"/>
    </row>
    <row r="21" spans="2:17" x14ac:dyDescent="0.2">
      <c r="B21" s="167">
        <v>3</v>
      </c>
      <c r="C21" s="197" t="s">
        <v>150</v>
      </c>
      <c r="D21" s="198" t="s">
        <v>124</v>
      </c>
      <c r="E21" s="168">
        <f t="shared" si="0"/>
        <v>0.125</v>
      </c>
      <c r="I21" s="172"/>
      <c r="J21" s="173"/>
      <c r="K21" s="173"/>
      <c r="L21" s="174"/>
      <c r="M21" s="174"/>
      <c r="N21" s="174"/>
    </row>
    <row r="22" spans="2:17" x14ac:dyDescent="0.2">
      <c r="B22" s="167">
        <v>3.5</v>
      </c>
      <c r="C22" s="412" t="s">
        <v>1020</v>
      </c>
      <c r="D22" s="198" t="s">
        <v>131</v>
      </c>
      <c r="E22" s="168">
        <f t="shared" si="0"/>
        <v>0.14583333333333334</v>
      </c>
      <c r="I22" s="172"/>
      <c r="J22" s="173"/>
      <c r="K22" s="173"/>
      <c r="L22" s="174"/>
      <c r="M22" s="174"/>
      <c r="N22" s="174"/>
    </row>
    <row r="23" spans="2:17" x14ac:dyDescent="0.2">
      <c r="B23" s="167">
        <v>4</v>
      </c>
      <c r="C23" s="412" t="s">
        <v>1021</v>
      </c>
      <c r="D23" s="198"/>
      <c r="E23" s="168">
        <f t="shared" si="0"/>
        <v>0.16666666666666666</v>
      </c>
      <c r="I23" s="172"/>
      <c r="J23" s="173"/>
      <c r="K23" s="173"/>
      <c r="L23" s="174"/>
      <c r="M23" s="174"/>
      <c r="N23" s="174"/>
    </row>
    <row r="24" spans="2:17" x14ac:dyDescent="0.2">
      <c r="B24" s="167">
        <v>4.5</v>
      </c>
      <c r="C24" s="412" t="s">
        <v>1022</v>
      </c>
      <c r="D24" s="198"/>
      <c r="E24" s="168">
        <f t="shared" si="0"/>
        <v>0.1875</v>
      </c>
      <c r="I24" s="172"/>
      <c r="J24" s="173"/>
      <c r="K24" s="173"/>
      <c r="L24" s="174"/>
      <c r="M24" s="174"/>
      <c r="N24" s="174"/>
    </row>
    <row r="25" spans="2:17" x14ac:dyDescent="0.2">
      <c r="B25" s="167">
        <v>5</v>
      </c>
      <c r="C25" s="412" t="s">
        <v>1023</v>
      </c>
      <c r="D25" s="198"/>
      <c r="E25" s="168">
        <f t="shared" si="0"/>
        <v>0.20833333333333334</v>
      </c>
      <c r="I25" s="170"/>
      <c r="J25" s="172"/>
      <c r="K25" s="173"/>
      <c r="L25" s="174"/>
      <c r="M25" s="174"/>
      <c r="N25" s="174"/>
    </row>
    <row r="26" spans="2:17" x14ac:dyDescent="0.2">
      <c r="B26" s="167">
        <v>5.5</v>
      </c>
      <c r="C26" s="412" t="s">
        <v>1024</v>
      </c>
      <c r="D26" s="198" t="s">
        <v>130</v>
      </c>
      <c r="E26" s="168">
        <f t="shared" si="0"/>
        <v>0.22916666666666666</v>
      </c>
      <c r="I26" s="172"/>
      <c r="J26" s="173"/>
      <c r="K26" s="173"/>
      <c r="L26" s="174"/>
      <c r="M26" s="174"/>
      <c r="N26" s="174"/>
    </row>
    <row r="27" spans="2:17" x14ac:dyDescent="0.2">
      <c r="B27" s="167">
        <v>5.75</v>
      </c>
      <c r="C27" s="412" t="s">
        <v>1025</v>
      </c>
      <c r="D27" s="198"/>
      <c r="E27" s="168">
        <f t="shared" si="0"/>
        <v>0.23958333333333334</v>
      </c>
      <c r="I27" s="172"/>
      <c r="J27" s="173"/>
      <c r="K27" s="173"/>
      <c r="L27" s="174"/>
      <c r="M27" s="174"/>
      <c r="N27" s="174"/>
    </row>
    <row r="28" spans="2:17" x14ac:dyDescent="0.2">
      <c r="B28" s="167">
        <v>6</v>
      </c>
      <c r="C28" s="412" t="s">
        <v>1026</v>
      </c>
      <c r="D28" s="198"/>
      <c r="E28" s="168">
        <f t="shared" si="0"/>
        <v>0.25</v>
      </c>
      <c r="I28" s="172"/>
      <c r="J28" s="173"/>
      <c r="K28" s="173"/>
      <c r="L28" s="174"/>
      <c r="M28" s="174"/>
      <c r="N28" s="174"/>
    </row>
    <row r="29" spans="2:17" x14ac:dyDescent="0.2">
      <c r="B29" s="167">
        <v>6.5</v>
      </c>
      <c r="C29" s="412" t="s">
        <v>1027</v>
      </c>
      <c r="D29" s="198"/>
      <c r="E29" s="168">
        <f t="shared" si="0"/>
        <v>0.27083333333333331</v>
      </c>
      <c r="I29" s="172"/>
      <c r="J29" s="173"/>
      <c r="K29" s="173"/>
      <c r="L29" s="174"/>
      <c r="M29" s="174"/>
      <c r="N29" s="174"/>
    </row>
    <row r="30" spans="2:17" x14ac:dyDescent="0.2">
      <c r="B30" s="167">
        <v>7</v>
      </c>
      <c r="C30" s="412" t="s">
        <v>1028</v>
      </c>
      <c r="D30" s="198" t="s">
        <v>125</v>
      </c>
      <c r="E30" s="168">
        <f t="shared" si="0"/>
        <v>0.29166666666666669</v>
      </c>
      <c r="I30" s="172"/>
      <c r="J30" s="173"/>
      <c r="K30" s="173"/>
      <c r="L30" s="174"/>
      <c r="M30" s="174"/>
      <c r="N30" s="174"/>
    </row>
    <row r="31" spans="2:17" x14ac:dyDescent="0.2">
      <c r="B31" s="167">
        <v>8</v>
      </c>
      <c r="C31" s="412" t="s">
        <v>1029</v>
      </c>
      <c r="D31" s="198" t="s">
        <v>126</v>
      </c>
      <c r="E31" s="168">
        <f t="shared" si="0"/>
        <v>0.33333333333333331</v>
      </c>
      <c r="I31" s="172"/>
      <c r="J31" s="173"/>
      <c r="K31" s="173"/>
      <c r="L31" s="174"/>
      <c r="M31" s="174"/>
      <c r="N31" s="174"/>
    </row>
    <row r="32" spans="2:17" x14ac:dyDescent="0.2">
      <c r="B32" s="167">
        <v>9</v>
      </c>
      <c r="C32" s="412" t="s">
        <v>1030</v>
      </c>
      <c r="D32" s="198" t="s">
        <v>127</v>
      </c>
      <c r="E32" s="168">
        <f t="shared" si="0"/>
        <v>0.375</v>
      </c>
      <c r="I32" s="170"/>
      <c r="J32" s="172"/>
      <c r="K32" s="173"/>
      <c r="L32" s="174"/>
      <c r="M32" s="174"/>
      <c r="N32" s="174"/>
    </row>
    <row r="33" spans="2:14" x14ac:dyDescent="0.2">
      <c r="B33" s="167">
        <v>9.5</v>
      </c>
      <c r="C33" s="412" t="s">
        <v>1031</v>
      </c>
      <c r="D33" s="198" t="s">
        <v>129</v>
      </c>
      <c r="E33" s="168">
        <f t="shared" si="0"/>
        <v>0.39583333333333331</v>
      </c>
      <c r="I33" s="172"/>
      <c r="J33" s="173"/>
      <c r="K33" s="173"/>
      <c r="L33" s="174"/>
      <c r="M33" s="174"/>
      <c r="N33" s="174"/>
    </row>
    <row r="34" spans="2:14" x14ac:dyDescent="0.2">
      <c r="B34" s="167">
        <v>10</v>
      </c>
      <c r="C34" s="412" t="s">
        <v>1032</v>
      </c>
      <c r="D34" s="198"/>
      <c r="E34" s="168">
        <f t="shared" si="0"/>
        <v>0.41666666666666669</v>
      </c>
      <c r="I34" s="172"/>
      <c r="J34" s="173"/>
      <c r="K34" s="173"/>
      <c r="L34" s="174"/>
      <c r="M34" s="174"/>
      <c r="N34" s="174"/>
    </row>
    <row r="35" spans="2:14" x14ac:dyDescent="0.2">
      <c r="B35" s="167">
        <v>10.5</v>
      </c>
      <c r="C35" s="412" t="s">
        <v>1033</v>
      </c>
      <c r="D35" s="198"/>
      <c r="E35" s="168">
        <f t="shared" si="0"/>
        <v>0.4375</v>
      </c>
      <c r="I35" s="172"/>
      <c r="J35" s="173"/>
      <c r="K35" s="173"/>
      <c r="L35" s="174"/>
      <c r="M35" s="174"/>
      <c r="N35" s="174"/>
    </row>
    <row r="36" spans="2:14" x14ac:dyDescent="0.2">
      <c r="B36" s="167">
        <v>11</v>
      </c>
      <c r="C36" s="412" t="s">
        <v>1034</v>
      </c>
      <c r="D36" s="198"/>
      <c r="E36" s="168">
        <f t="shared" si="0"/>
        <v>0.45833333333333331</v>
      </c>
      <c r="I36" s="172"/>
      <c r="J36" s="173"/>
      <c r="K36" s="173"/>
      <c r="L36" s="174"/>
      <c r="M36" s="174"/>
      <c r="N36" s="174"/>
    </row>
    <row r="37" spans="2:14" x14ac:dyDescent="0.2">
      <c r="B37" s="167">
        <v>12</v>
      </c>
      <c r="C37" s="412" t="s">
        <v>1035</v>
      </c>
      <c r="D37" s="198" t="s">
        <v>128</v>
      </c>
      <c r="E37" s="168">
        <f t="shared" si="0"/>
        <v>0.5</v>
      </c>
      <c r="I37" s="172"/>
      <c r="J37" s="173"/>
      <c r="K37" s="173"/>
      <c r="L37" s="174"/>
      <c r="M37" s="174"/>
      <c r="N37" s="174"/>
    </row>
    <row r="38" spans="2:14" x14ac:dyDescent="0.2">
      <c r="B38" s="167">
        <v>12.75</v>
      </c>
      <c r="C38" s="412" t="s">
        <v>1036</v>
      </c>
      <c r="D38" s="198"/>
      <c r="E38" s="168">
        <f t="shared" si="0"/>
        <v>0.53125</v>
      </c>
      <c r="I38" s="172"/>
      <c r="J38" s="173"/>
      <c r="K38" s="173"/>
      <c r="L38" s="174"/>
      <c r="M38" s="174"/>
      <c r="N38" s="174"/>
    </row>
    <row r="39" spans="2:14" x14ac:dyDescent="0.2">
      <c r="B39" s="167">
        <v>13</v>
      </c>
      <c r="C39" s="412" t="s">
        <v>1037</v>
      </c>
      <c r="D39" s="198"/>
      <c r="E39" s="168">
        <f t="shared" si="0"/>
        <v>0.54166666666666663</v>
      </c>
      <c r="I39" s="170"/>
      <c r="J39" s="173"/>
      <c r="K39" s="173"/>
      <c r="L39" s="174"/>
      <c r="M39" s="174"/>
      <c r="N39" s="174"/>
    </row>
    <row r="40" spans="2:14" x14ac:dyDescent="0.2">
      <c r="B40" s="167">
        <v>14</v>
      </c>
      <c r="C40" s="414" t="s">
        <v>1038</v>
      </c>
      <c r="D40" s="227"/>
      <c r="E40" s="168">
        <f t="shared" si="0"/>
        <v>0.58333333333333337</v>
      </c>
      <c r="I40" s="172"/>
      <c r="J40" s="173"/>
      <c r="K40" s="173"/>
      <c r="L40" s="174"/>
      <c r="M40" s="174"/>
      <c r="N40" s="174"/>
    </row>
    <row r="41" spans="2:14" x14ac:dyDescent="0.2"/>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x14ac:dyDescent="0.2"/>
  <cols>
    <col min="1" max="1" width="5.109375" customWidth="1"/>
    <col min="2" max="2" width="7.93359375" customWidth="1"/>
    <col min="3" max="7" width="11.43359375" customWidth="1"/>
    <col min="8" max="8" width="16.140625" customWidth="1"/>
    <col min="9" max="9" width="15.19921875" customWidth="1"/>
    <col min="10" max="10" width="6.05078125" customWidth="1"/>
    <col min="11" max="19" width="11.43359375" customWidth="1"/>
    <col min="20" max="20" width="6.58984375" customWidth="1"/>
    <col min="21" max="21" width="5.109375" customWidth="1"/>
    <col min="22" max="16384" width="11.43359375" hidden="1"/>
  </cols>
  <sheetData>
    <row r="1" spans="2:20" ht="15.75" thickBot="1" x14ac:dyDescent="0.25"/>
    <row r="2" spans="2:20" ht="25.5" x14ac:dyDescent="0.35">
      <c r="B2" s="113"/>
      <c r="C2" s="1051" t="s">
        <v>56</v>
      </c>
      <c r="D2" s="1051"/>
      <c r="E2" s="1051"/>
      <c r="F2" s="1051"/>
      <c r="G2" s="1051"/>
      <c r="H2" s="1051"/>
      <c r="I2" s="114"/>
      <c r="K2" s="113"/>
      <c r="L2" s="1051" t="s">
        <v>316</v>
      </c>
      <c r="M2" s="1051"/>
      <c r="N2" s="1051"/>
      <c r="O2" s="1051"/>
      <c r="P2" s="1051"/>
      <c r="Q2" s="1051"/>
      <c r="R2" s="122"/>
      <c r="S2" s="122"/>
      <c r="T2" s="114"/>
    </row>
    <row r="3" spans="2:20" x14ac:dyDescent="0.2">
      <c r="B3" s="115"/>
      <c r="C3" s="116"/>
      <c r="D3" s="116"/>
      <c r="E3" s="116"/>
      <c r="F3" s="116"/>
      <c r="G3" s="116"/>
      <c r="H3" s="116"/>
      <c r="I3" s="117"/>
      <c r="K3" s="115"/>
      <c r="L3" s="116"/>
      <c r="M3" s="116"/>
      <c r="N3" s="116"/>
      <c r="O3" s="116"/>
      <c r="P3" s="116"/>
      <c r="Q3" s="116"/>
      <c r="R3" s="116"/>
      <c r="S3" s="116"/>
      <c r="T3" s="117"/>
    </row>
    <row r="4" spans="2:20" x14ac:dyDescent="0.2">
      <c r="B4" s="115"/>
      <c r="C4" s="116"/>
      <c r="D4" s="116"/>
      <c r="E4" s="116"/>
      <c r="F4" s="116"/>
      <c r="G4" s="116"/>
      <c r="H4" s="116"/>
      <c r="I4" s="117"/>
      <c r="K4" s="115"/>
      <c r="L4" s="116"/>
      <c r="M4" s="116"/>
      <c r="N4" s="112"/>
      <c r="O4" s="112"/>
      <c r="P4" s="112"/>
      <c r="Q4" s="112"/>
      <c r="R4" s="112"/>
      <c r="S4" s="112"/>
      <c r="T4" s="117"/>
    </row>
    <row r="5" spans="2:20" ht="18.75" x14ac:dyDescent="0.25">
      <c r="B5" s="115"/>
      <c r="C5" s="397" t="s">
        <v>304</v>
      </c>
      <c r="D5" s="116"/>
      <c r="E5" s="116"/>
      <c r="F5" s="116"/>
      <c r="G5" s="116"/>
      <c r="H5" s="116"/>
      <c r="I5" s="117"/>
      <c r="K5" s="115"/>
      <c r="L5" s="397" t="s">
        <v>317</v>
      </c>
      <c r="M5" s="116"/>
      <c r="N5" s="112"/>
      <c r="O5" s="112"/>
      <c r="P5" s="112"/>
      <c r="Q5" s="112"/>
      <c r="R5" s="112"/>
      <c r="S5" s="112"/>
      <c r="T5" s="117"/>
    </row>
    <row r="6" spans="2:20" x14ac:dyDescent="0.2">
      <c r="B6" s="115"/>
      <c r="C6" s="116"/>
      <c r="D6" s="116"/>
      <c r="E6" s="116"/>
      <c r="F6" s="116"/>
      <c r="G6" s="116"/>
      <c r="H6" s="116"/>
      <c r="I6" s="117"/>
      <c r="K6" s="115"/>
      <c r="L6" s="116"/>
      <c r="M6" s="116"/>
      <c r="N6" s="112"/>
      <c r="O6" s="112"/>
      <c r="P6" s="112"/>
      <c r="Q6" s="112"/>
      <c r="R6" s="112"/>
      <c r="S6" s="112"/>
      <c r="T6" s="117"/>
    </row>
    <row r="7" spans="2:20" x14ac:dyDescent="0.2">
      <c r="B7" s="115"/>
      <c r="C7" s="118" t="s">
        <v>26</v>
      </c>
      <c r="D7" s="116"/>
      <c r="E7" s="116"/>
      <c r="F7" s="116"/>
      <c r="G7" s="116"/>
      <c r="H7" s="116"/>
      <c r="I7" s="117"/>
      <c r="K7" s="115"/>
      <c r="L7" s="118" t="s">
        <v>26</v>
      </c>
      <c r="M7" s="116"/>
      <c r="N7" s="112"/>
      <c r="O7" s="112"/>
      <c r="P7" s="112"/>
      <c r="Q7" s="112"/>
      <c r="R7" s="112"/>
      <c r="S7" s="112"/>
      <c r="T7" s="117"/>
    </row>
    <row r="8" spans="2:20" x14ac:dyDescent="0.2">
      <c r="B8" s="115"/>
      <c r="C8" s="116" t="s">
        <v>305</v>
      </c>
      <c r="D8" s="116"/>
      <c r="E8" s="116"/>
      <c r="F8" s="116"/>
      <c r="G8" s="116"/>
      <c r="H8" s="116"/>
      <c r="I8" s="117"/>
      <c r="K8" s="115"/>
      <c r="L8" s="116" t="s">
        <v>318</v>
      </c>
      <c r="M8" s="116"/>
      <c r="N8" s="112"/>
      <c r="O8" s="112"/>
      <c r="P8" s="112"/>
      <c r="Q8" s="112"/>
      <c r="R8" s="112"/>
      <c r="S8" s="112"/>
      <c r="T8" s="117"/>
    </row>
    <row r="9" spans="2:20" x14ac:dyDescent="0.2">
      <c r="B9" s="115"/>
      <c r="C9" s="116"/>
      <c r="D9" s="116"/>
      <c r="E9" s="116"/>
      <c r="F9" s="116"/>
      <c r="G9" s="116"/>
      <c r="H9" s="116"/>
      <c r="I9" s="117"/>
      <c r="K9" s="115"/>
      <c r="L9" s="116"/>
      <c r="M9" s="116"/>
      <c r="N9" s="112"/>
      <c r="O9" s="112"/>
      <c r="P9" s="112"/>
      <c r="Q9" s="112"/>
      <c r="R9" s="112"/>
      <c r="S9" s="112"/>
      <c r="T9" s="117"/>
    </row>
    <row r="10" spans="2:20" x14ac:dyDescent="0.2">
      <c r="B10" s="115"/>
      <c r="C10" s="118" t="s">
        <v>27</v>
      </c>
      <c r="D10" s="116"/>
      <c r="E10" s="116"/>
      <c r="F10" s="116"/>
      <c r="G10" s="116"/>
      <c r="H10" s="116"/>
      <c r="I10" s="117"/>
      <c r="K10" s="115"/>
      <c r="L10" s="118" t="s">
        <v>27</v>
      </c>
      <c r="M10" s="116"/>
      <c r="N10" s="112"/>
      <c r="O10" s="112"/>
      <c r="P10" s="112"/>
      <c r="Q10" s="112"/>
      <c r="R10" s="112"/>
      <c r="S10" s="112"/>
      <c r="T10" s="117"/>
    </row>
    <row r="11" spans="2:20" x14ac:dyDescent="0.2">
      <c r="B11" s="115"/>
      <c r="C11" s="116" t="s">
        <v>315</v>
      </c>
      <c r="D11" s="116"/>
      <c r="E11" s="116"/>
      <c r="F11" s="116"/>
      <c r="G11" s="116"/>
      <c r="H11" s="116"/>
      <c r="I11" s="117"/>
      <c r="K11" s="115"/>
      <c r="L11" s="116" t="s">
        <v>319</v>
      </c>
      <c r="M11" s="116"/>
      <c r="N11" s="112"/>
      <c r="O11" s="112"/>
      <c r="P11" s="112"/>
      <c r="Q11" s="112"/>
      <c r="R11" s="112"/>
      <c r="S11" s="112"/>
      <c r="T11" s="117"/>
    </row>
    <row r="12" spans="2:20" x14ac:dyDescent="0.2">
      <c r="B12" s="115"/>
      <c r="C12" s="116"/>
      <c r="D12" s="116"/>
      <c r="E12" s="116"/>
      <c r="F12" s="116"/>
      <c r="G12" s="116"/>
      <c r="H12" s="116"/>
      <c r="I12" s="117"/>
      <c r="K12" s="115"/>
      <c r="L12" s="116"/>
      <c r="M12" s="116"/>
      <c r="N12" s="112"/>
      <c r="O12" s="112"/>
      <c r="P12" s="112"/>
      <c r="Q12" s="112"/>
      <c r="R12" s="112"/>
      <c r="S12" s="112"/>
      <c r="T12" s="117"/>
    </row>
    <row r="13" spans="2:20" x14ac:dyDescent="0.2">
      <c r="B13" s="115"/>
      <c r="C13" s="118" t="s">
        <v>28</v>
      </c>
      <c r="D13" s="116"/>
      <c r="E13" s="116"/>
      <c r="F13" s="116"/>
      <c r="G13" s="116"/>
      <c r="H13" s="116"/>
      <c r="I13" s="117"/>
      <c r="K13" s="115"/>
      <c r="L13" s="118" t="s">
        <v>28</v>
      </c>
      <c r="M13" s="116"/>
      <c r="N13" s="112"/>
      <c r="O13" s="112"/>
      <c r="P13" s="112"/>
      <c r="Q13" s="112"/>
      <c r="R13" s="112"/>
      <c r="S13" s="112"/>
      <c r="T13" s="117"/>
    </row>
    <row r="14" spans="2:20" x14ac:dyDescent="0.2">
      <c r="B14" s="115"/>
      <c r="C14" s="116" t="s">
        <v>1832</v>
      </c>
      <c r="D14" s="116"/>
      <c r="E14" s="116"/>
      <c r="F14" s="116"/>
      <c r="G14" s="116"/>
      <c r="H14" s="116"/>
      <c r="I14" s="117"/>
      <c r="K14" s="115"/>
      <c r="L14" s="116" t="s">
        <v>1831</v>
      </c>
      <c r="M14" s="116"/>
      <c r="N14" s="112"/>
      <c r="O14" s="112"/>
      <c r="P14" s="112"/>
      <c r="Q14" s="112"/>
      <c r="R14" s="112"/>
      <c r="S14" s="112"/>
      <c r="T14" s="117"/>
    </row>
    <row r="15" spans="2:20" x14ac:dyDescent="0.2">
      <c r="B15" s="115"/>
      <c r="C15" s="116" t="s">
        <v>1850</v>
      </c>
      <c r="D15" s="116"/>
      <c r="E15" s="116"/>
      <c r="F15" s="116"/>
      <c r="G15" s="116"/>
      <c r="H15" s="116"/>
      <c r="I15" s="117"/>
      <c r="K15" s="115"/>
      <c r="L15" s="116" t="s">
        <v>1852</v>
      </c>
      <c r="M15" s="116"/>
      <c r="N15" s="112"/>
      <c r="O15" s="112"/>
      <c r="P15" s="112"/>
      <c r="Q15" s="112"/>
      <c r="R15" s="112"/>
      <c r="S15" s="112"/>
      <c r="T15" s="117"/>
    </row>
    <row r="16" spans="2:20" x14ac:dyDescent="0.2">
      <c r="B16" s="115"/>
      <c r="C16" s="116" t="s">
        <v>1851</v>
      </c>
      <c r="D16" s="116"/>
      <c r="E16" s="116"/>
      <c r="F16" s="116"/>
      <c r="G16" s="116"/>
      <c r="H16" s="116"/>
      <c r="I16" s="117"/>
      <c r="K16" s="115"/>
      <c r="L16" s="116" t="s">
        <v>1853</v>
      </c>
      <c r="M16" s="116"/>
      <c r="N16" s="112"/>
      <c r="O16" s="112"/>
      <c r="P16" s="112"/>
      <c r="Q16" s="112"/>
      <c r="R16" s="112"/>
      <c r="S16" s="112"/>
      <c r="T16" s="117"/>
    </row>
    <row r="17" spans="2:20" x14ac:dyDescent="0.2">
      <c r="B17" s="115"/>
      <c r="C17" s="116"/>
      <c r="D17" s="116"/>
      <c r="E17" s="116"/>
      <c r="F17" s="116"/>
      <c r="G17" s="116"/>
      <c r="H17" s="116"/>
      <c r="I17" s="117"/>
      <c r="K17" s="115"/>
      <c r="L17" s="116"/>
      <c r="M17" s="116"/>
      <c r="N17" s="112"/>
      <c r="O17" s="112"/>
      <c r="P17" s="112"/>
      <c r="Q17" s="112"/>
      <c r="R17" s="112"/>
      <c r="S17" s="112"/>
      <c r="T17" s="117"/>
    </row>
    <row r="18" spans="2:20" x14ac:dyDescent="0.2">
      <c r="B18" s="115"/>
      <c r="C18" s="118" t="s">
        <v>29</v>
      </c>
      <c r="D18" s="116"/>
      <c r="E18" s="116"/>
      <c r="F18" s="116"/>
      <c r="G18" s="116"/>
      <c r="H18" s="116"/>
      <c r="I18" s="117"/>
      <c r="K18" s="115"/>
      <c r="L18" s="118" t="s">
        <v>29</v>
      </c>
      <c r="M18" s="116"/>
      <c r="N18" s="112"/>
      <c r="O18" s="112"/>
      <c r="P18" s="112"/>
      <c r="Q18" s="112"/>
      <c r="R18" s="112"/>
      <c r="S18" s="112"/>
      <c r="T18" s="117"/>
    </row>
    <row r="19" spans="2:20" x14ac:dyDescent="0.2">
      <c r="B19" s="115"/>
      <c r="C19" s="116" t="s">
        <v>548</v>
      </c>
      <c r="D19" s="116"/>
      <c r="E19" s="116"/>
      <c r="F19" s="116"/>
      <c r="G19" s="116"/>
      <c r="H19" s="116"/>
      <c r="I19" s="117"/>
      <c r="K19" s="115"/>
      <c r="L19" s="116" t="s">
        <v>547</v>
      </c>
      <c r="M19" s="116"/>
      <c r="N19" s="112"/>
      <c r="O19" s="112"/>
      <c r="P19" s="112"/>
      <c r="Q19" s="112"/>
      <c r="R19" s="112"/>
      <c r="S19" s="112"/>
      <c r="T19" s="117"/>
    </row>
    <row r="20" spans="2:20" x14ac:dyDescent="0.2">
      <c r="B20" s="115"/>
      <c r="C20" s="116" t="s">
        <v>549</v>
      </c>
      <c r="D20" s="116"/>
      <c r="E20" s="116"/>
      <c r="F20" s="116"/>
      <c r="G20" s="116"/>
      <c r="H20" s="116"/>
      <c r="I20" s="117"/>
      <c r="K20" s="115"/>
      <c r="L20" s="116" t="s">
        <v>551</v>
      </c>
      <c r="M20" s="116"/>
      <c r="N20" s="112"/>
      <c r="O20" s="112"/>
      <c r="P20" s="112"/>
      <c r="Q20" s="112"/>
      <c r="R20" s="112"/>
      <c r="S20" s="112"/>
      <c r="T20" s="117"/>
    </row>
    <row r="21" spans="2:20" x14ac:dyDescent="0.2">
      <c r="B21" s="115"/>
      <c r="C21" s="116" t="s">
        <v>550</v>
      </c>
      <c r="D21" s="116"/>
      <c r="E21" s="116"/>
      <c r="F21" s="116"/>
      <c r="G21" s="116"/>
      <c r="H21" s="116"/>
      <c r="I21" s="117"/>
      <c r="K21" s="115"/>
      <c r="L21" s="116" t="s">
        <v>552</v>
      </c>
      <c r="M21" s="116"/>
      <c r="N21" s="112"/>
      <c r="O21" s="112"/>
      <c r="P21" s="112"/>
      <c r="Q21" s="112"/>
      <c r="R21" s="112"/>
      <c r="S21" s="112"/>
      <c r="T21" s="117"/>
    </row>
    <row r="22" spans="2:20" x14ac:dyDescent="0.2">
      <c r="B22" s="115"/>
      <c r="C22" s="116"/>
      <c r="D22" s="116"/>
      <c r="E22" s="116"/>
      <c r="F22" s="116"/>
      <c r="G22" s="116"/>
      <c r="H22" s="116"/>
      <c r="I22" s="117"/>
      <c r="K22" s="115"/>
      <c r="L22" s="116"/>
      <c r="M22" s="116"/>
      <c r="N22" s="112"/>
      <c r="O22" s="112"/>
      <c r="P22" s="112"/>
      <c r="Q22" s="112"/>
      <c r="R22" s="112"/>
      <c r="S22" s="112"/>
      <c r="T22" s="117"/>
    </row>
    <row r="23" spans="2:20" x14ac:dyDescent="0.2">
      <c r="B23" s="115"/>
      <c r="C23" s="116"/>
      <c r="D23" s="116"/>
      <c r="E23" s="116"/>
      <c r="F23" s="116"/>
      <c r="G23" s="116"/>
      <c r="H23" s="116"/>
      <c r="I23" s="117"/>
      <c r="K23" s="115"/>
      <c r="L23" s="116"/>
      <c r="M23" s="116"/>
      <c r="N23" s="112"/>
      <c r="O23" s="112"/>
      <c r="P23" s="112"/>
      <c r="Q23" s="112"/>
      <c r="R23" s="112"/>
      <c r="S23" s="112"/>
      <c r="T23" s="117"/>
    </row>
    <row r="24" spans="2:20" ht="18.75" x14ac:dyDescent="0.25">
      <c r="B24" s="115"/>
      <c r="C24" s="397" t="s">
        <v>306</v>
      </c>
      <c r="D24" s="116"/>
      <c r="E24" s="116"/>
      <c r="F24" s="116"/>
      <c r="G24" s="116"/>
      <c r="H24" s="116"/>
      <c r="I24" s="117"/>
      <c r="K24" s="115"/>
      <c r="L24" s="397" t="s">
        <v>320</v>
      </c>
      <c r="M24" s="116"/>
      <c r="N24" s="112"/>
      <c r="O24" s="112"/>
      <c r="P24" s="112"/>
      <c r="Q24" s="112"/>
      <c r="R24" s="112"/>
      <c r="S24" s="112"/>
      <c r="T24" s="117"/>
    </row>
    <row r="25" spans="2:20" x14ac:dyDescent="0.2">
      <c r="B25" s="115"/>
      <c r="C25" s="116"/>
      <c r="D25" s="116"/>
      <c r="E25" s="116"/>
      <c r="F25" s="116"/>
      <c r="G25" s="116"/>
      <c r="H25" s="116"/>
      <c r="I25" s="117"/>
      <c r="K25" s="115"/>
      <c r="L25" s="116"/>
      <c r="M25" s="116"/>
      <c r="N25" s="112"/>
      <c r="O25" s="112"/>
      <c r="P25" s="112"/>
      <c r="Q25" s="112"/>
      <c r="R25" s="112"/>
      <c r="S25" s="112"/>
      <c r="T25" s="117"/>
    </row>
    <row r="26" spans="2:20" x14ac:dyDescent="0.2">
      <c r="B26" s="115"/>
      <c r="C26" s="116" t="s">
        <v>322</v>
      </c>
      <c r="D26" s="116"/>
      <c r="E26" s="116"/>
      <c r="F26" s="116"/>
      <c r="G26" s="116"/>
      <c r="H26" s="116"/>
      <c r="I26" s="117"/>
      <c r="K26" s="115"/>
      <c r="L26" s="116" t="s">
        <v>321</v>
      </c>
      <c r="M26" s="116"/>
      <c r="N26" s="116"/>
      <c r="O26" s="116"/>
      <c r="P26" s="116"/>
      <c r="Q26" s="116"/>
      <c r="R26" s="116"/>
      <c r="S26" s="116"/>
      <c r="T26" s="117"/>
    </row>
    <row r="27" spans="2:20" x14ac:dyDescent="0.2">
      <c r="B27" s="115"/>
      <c r="C27" s="116" t="s">
        <v>556</v>
      </c>
      <c r="D27" s="116"/>
      <c r="E27" s="116"/>
      <c r="F27" s="116"/>
      <c r="G27" s="116"/>
      <c r="H27" s="116"/>
      <c r="I27" s="117"/>
      <c r="K27" s="115"/>
      <c r="L27" s="116" t="s">
        <v>323</v>
      </c>
      <c r="M27" s="116"/>
      <c r="N27" s="116"/>
      <c r="O27" s="116"/>
      <c r="P27" s="116"/>
      <c r="Q27" s="116"/>
      <c r="R27" s="116"/>
      <c r="S27" s="116"/>
      <c r="T27" s="117"/>
    </row>
    <row r="28" spans="2:20" x14ac:dyDescent="0.2">
      <c r="B28" s="115"/>
      <c r="C28" s="116"/>
      <c r="D28" s="116"/>
      <c r="E28" s="116"/>
      <c r="F28" s="116"/>
      <c r="G28" s="116"/>
      <c r="H28" s="116"/>
      <c r="I28" s="117"/>
      <c r="K28" s="115"/>
      <c r="L28" s="116"/>
      <c r="M28" s="116"/>
      <c r="N28" s="116"/>
      <c r="O28" s="116"/>
      <c r="P28" s="116"/>
      <c r="Q28" s="116"/>
      <c r="R28" s="116"/>
      <c r="S28" s="116"/>
      <c r="T28" s="117"/>
    </row>
    <row r="29" spans="2:20" x14ac:dyDescent="0.2">
      <c r="B29" s="115"/>
      <c r="C29" s="116"/>
      <c r="D29" s="116"/>
      <c r="E29" s="116"/>
      <c r="F29" s="116"/>
      <c r="G29" s="116"/>
      <c r="H29" s="116"/>
      <c r="I29" s="117"/>
      <c r="K29" s="115"/>
      <c r="L29" s="116"/>
      <c r="M29" s="116"/>
      <c r="N29" s="112"/>
      <c r="O29" s="112"/>
      <c r="P29" s="112"/>
      <c r="Q29" s="112"/>
      <c r="R29" s="112"/>
      <c r="S29" s="112"/>
      <c r="T29" s="117"/>
    </row>
    <row r="30" spans="2:20" ht="18.75" x14ac:dyDescent="0.25">
      <c r="B30" s="115"/>
      <c r="C30" s="397" t="s">
        <v>564</v>
      </c>
      <c r="D30" s="116"/>
      <c r="E30" s="116"/>
      <c r="F30" s="116"/>
      <c r="G30" s="116"/>
      <c r="H30" s="116"/>
      <c r="I30" s="117"/>
      <c r="K30" s="115"/>
      <c r="L30" s="397" t="s">
        <v>563</v>
      </c>
      <c r="M30" s="116"/>
      <c r="N30" s="112"/>
      <c r="O30" s="112"/>
      <c r="P30" s="112"/>
      <c r="Q30" s="112"/>
      <c r="R30" s="112"/>
      <c r="S30" s="112"/>
      <c r="T30" s="117"/>
    </row>
    <row r="31" spans="2:20" x14ac:dyDescent="0.2">
      <c r="B31" s="115"/>
      <c r="C31" s="116"/>
      <c r="D31" s="116"/>
      <c r="E31" s="116"/>
      <c r="F31" s="116"/>
      <c r="G31" s="116"/>
      <c r="H31" s="116"/>
      <c r="I31" s="117"/>
      <c r="K31" s="115"/>
      <c r="L31" s="116"/>
      <c r="M31" s="116"/>
      <c r="N31" s="112"/>
      <c r="O31" s="112"/>
      <c r="P31" s="112"/>
      <c r="Q31" s="112"/>
      <c r="R31" s="112"/>
      <c r="S31" s="112"/>
      <c r="T31" s="117"/>
    </row>
    <row r="32" spans="2:20" x14ac:dyDescent="0.2">
      <c r="B32" s="115"/>
      <c r="C32" s="116" t="s">
        <v>1835</v>
      </c>
      <c r="D32" s="116"/>
      <c r="E32" s="116"/>
      <c r="F32" s="116"/>
      <c r="G32" s="116"/>
      <c r="H32" s="116"/>
      <c r="I32" s="117"/>
      <c r="K32" s="115"/>
      <c r="L32" s="116" t="s">
        <v>1833</v>
      </c>
      <c r="M32" s="116"/>
      <c r="N32" s="116"/>
      <c r="O32" s="116"/>
      <c r="P32" s="116"/>
      <c r="Q32" s="116"/>
      <c r="R32" s="116"/>
      <c r="S32" s="116"/>
      <c r="T32" s="117"/>
    </row>
    <row r="33" spans="2:20" x14ac:dyDescent="0.2">
      <c r="B33" s="115"/>
      <c r="C33" s="863" t="s">
        <v>1836</v>
      </c>
      <c r="D33" s="116"/>
      <c r="E33" s="116"/>
      <c r="F33" s="116"/>
      <c r="G33" s="116"/>
      <c r="H33" s="116"/>
      <c r="I33" s="117"/>
      <c r="K33" s="115"/>
      <c r="L33" s="116" t="s">
        <v>1834</v>
      </c>
      <c r="M33" s="116"/>
      <c r="N33" s="116"/>
      <c r="O33" s="116"/>
      <c r="P33" s="116"/>
      <c r="Q33" s="116"/>
      <c r="R33" s="116"/>
      <c r="S33" s="116"/>
      <c r="T33" s="117"/>
    </row>
    <row r="34" spans="2:20" x14ac:dyDescent="0.2">
      <c r="B34" s="115"/>
      <c r="C34" s="116" t="s">
        <v>1837</v>
      </c>
      <c r="D34" s="116"/>
      <c r="E34" s="116"/>
      <c r="F34" s="116"/>
      <c r="G34" s="116"/>
      <c r="H34" s="116"/>
      <c r="I34" s="117"/>
      <c r="K34" s="115"/>
      <c r="L34" s="116" t="s">
        <v>1838</v>
      </c>
      <c r="M34" s="116"/>
      <c r="N34" s="116"/>
      <c r="O34" s="116"/>
      <c r="P34" s="116"/>
      <c r="Q34" s="116"/>
      <c r="R34" s="116"/>
      <c r="S34" s="116"/>
      <c r="T34" s="117"/>
    </row>
    <row r="35" spans="2:20" ht="15.75" thickBot="1" x14ac:dyDescent="0.25">
      <c r="B35" s="119"/>
      <c r="C35" s="120"/>
      <c r="D35" s="120"/>
      <c r="E35" s="120"/>
      <c r="F35" s="120"/>
      <c r="G35" s="120"/>
      <c r="H35" s="120"/>
      <c r="I35" s="121"/>
      <c r="K35" s="119"/>
      <c r="L35" s="120"/>
      <c r="M35" s="120"/>
      <c r="N35" s="120"/>
      <c r="O35" s="120"/>
      <c r="P35" s="120"/>
      <c r="Q35" s="120"/>
      <c r="R35" s="120"/>
      <c r="S35" s="120"/>
      <c r="T35" s="121"/>
    </row>
    <row r="36" spans="2:20" x14ac:dyDescent="0.2">
      <c r="B36" s="37"/>
      <c r="C36" s="203"/>
      <c r="D36" s="37"/>
      <c r="E36" s="202"/>
      <c r="F36" s="202"/>
      <c r="G36" s="202"/>
      <c r="H36" s="202"/>
      <c r="I36" s="202"/>
      <c r="J36" s="202"/>
      <c r="K36" s="37"/>
      <c r="L36" s="203"/>
      <c r="M36" s="37"/>
      <c r="N36" s="202"/>
      <c r="O36" s="202"/>
      <c r="P36" s="202"/>
      <c r="Q36" s="202"/>
      <c r="R36" s="202"/>
      <c r="S36" s="202"/>
      <c r="T36" s="37"/>
    </row>
    <row r="37" spans="2:20" x14ac:dyDescent="0.2"/>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x14ac:dyDescent="0.2"/>
  <cols>
    <col min="1" max="1" width="11.43359375" customWidth="1"/>
    <col min="2" max="2" width="7.80078125" customWidth="1"/>
    <col min="3" max="3" width="6.45703125" customWidth="1"/>
    <col min="4" max="4" width="25.69140625" customWidth="1"/>
    <col min="5" max="5" width="9.28125" customWidth="1"/>
    <col min="6" max="6" width="11.43359375" customWidth="1"/>
    <col min="7" max="16384" width="11.43359375" hidden="1"/>
  </cols>
  <sheetData>
    <row r="1" spans="2:5" x14ac:dyDescent="0.2"/>
    <row r="2" spans="2:5" ht="29.25" x14ac:dyDescent="0.4">
      <c r="B2" s="1036" t="s">
        <v>458</v>
      </c>
      <c r="C2" s="1036"/>
      <c r="D2" s="1036"/>
    </row>
    <row r="3" spans="2:5" ht="15.75" thickBot="1" x14ac:dyDescent="0.25"/>
    <row r="4" spans="2:5" ht="15.75" thickTop="1" x14ac:dyDescent="0.2">
      <c r="B4" s="1040" t="s">
        <v>405</v>
      </c>
      <c r="C4" s="1053" t="s">
        <v>404</v>
      </c>
      <c r="D4" s="1055" t="s">
        <v>403</v>
      </c>
      <c r="E4" s="593"/>
    </row>
    <row r="5" spans="2:5" x14ac:dyDescent="0.2">
      <c r="B5" s="1052"/>
      <c r="C5" s="1054"/>
      <c r="D5" s="1056"/>
      <c r="E5" s="594" t="s">
        <v>1712</v>
      </c>
    </row>
    <row r="6" spans="2:5" x14ac:dyDescent="0.2">
      <c r="B6" s="127"/>
      <c r="C6" s="213"/>
      <c r="D6" s="214" t="s">
        <v>24</v>
      </c>
      <c r="E6" s="595"/>
    </row>
    <row r="7" spans="2:5" x14ac:dyDescent="0.2">
      <c r="B7" s="128" t="s">
        <v>171</v>
      </c>
      <c r="C7" s="131">
        <v>15</v>
      </c>
      <c r="D7" s="204" t="str">
        <f>VLOOKUP($C7,Language!$D$5:$E$100,2,0)</f>
        <v>Mexico</v>
      </c>
      <c r="E7" s="595" t="b">
        <f>OR(CalcA!$K$5&gt;0,CalcA!$I$5&gt;0)</f>
        <v>1</v>
      </c>
    </row>
    <row r="8" spans="2:5" x14ac:dyDescent="0.2">
      <c r="B8" s="128" t="s">
        <v>172</v>
      </c>
      <c r="C8" s="134">
        <v>60</v>
      </c>
      <c r="D8" s="204" t="str">
        <f>VLOOKUP($C8,Language!$D$5:$E$100,2,0)</f>
        <v>South Africa</v>
      </c>
      <c r="E8" s="595" t="b">
        <f>OR(CalcA!$K$6&gt;0,CalcA!$I$6&gt;0)</f>
        <v>1</v>
      </c>
    </row>
    <row r="9" spans="2:5" x14ac:dyDescent="0.2">
      <c r="B9" s="128" t="s">
        <v>173</v>
      </c>
      <c r="C9" s="134">
        <v>25</v>
      </c>
      <c r="D9" s="204" t="str">
        <f>VLOOKUP($C9,Language!$D$5:$E$100,2,0)</f>
        <v>Rep. of Korea</v>
      </c>
      <c r="E9" s="595" t="b">
        <f>OR(CalcA!$K$7&gt;0,CalcA!$I$7&gt;0)</f>
        <v>1</v>
      </c>
    </row>
    <row r="10" spans="2:5" x14ac:dyDescent="0.2">
      <c r="B10" s="128" t="s">
        <v>1045</v>
      </c>
      <c r="C10" s="415">
        <v>41</v>
      </c>
      <c r="D10" s="204" t="str">
        <f>VLOOKUP($C10,Language!$D$5:$E$100,2,0)</f>
        <v>Czech Rep.</v>
      </c>
      <c r="E10" s="595" t="b">
        <f>OR(CalcA!$K$8&gt;0,CalcA!$I$8&gt;0)</f>
        <v>1</v>
      </c>
    </row>
    <row r="11" spans="2:5" x14ac:dyDescent="0.2">
      <c r="B11" s="129"/>
      <c r="C11" s="213"/>
      <c r="D11" s="214" t="s">
        <v>20</v>
      </c>
      <c r="E11" s="595"/>
    </row>
    <row r="12" spans="2:5" x14ac:dyDescent="0.2">
      <c r="B12" s="128" t="s">
        <v>174</v>
      </c>
      <c r="C12" s="134">
        <v>30</v>
      </c>
      <c r="D12" s="204" t="str">
        <f>VLOOKUP($C12,Language!$D$5:$E$100,2,0)</f>
        <v>Canada</v>
      </c>
      <c r="E12" s="595" t="b">
        <f>OR(CalcB!$K$5&gt;0,CalcB!$I$5&gt;0)</f>
        <v>1</v>
      </c>
    </row>
    <row r="13" spans="2:5" x14ac:dyDescent="0.2">
      <c r="B13" s="128" t="s">
        <v>175</v>
      </c>
      <c r="C13" s="131">
        <v>65</v>
      </c>
      <c r="D13" s="204" t="str">
        <f>VLOOKUP($C13,Language!$D$5:$E$100,2,0)</f>
        <v>Bosnia/Herzeg.</v>
      </c>
      <c r="E13" s="595" t="b">
        <f>OR(CalcB!$K$6&gt;0,CalcB!$I$6&gt;0)</f>
        <v>1</v>
      </c>
    </row>
    <row r="14" spans="2:5" x14ac:dyDescent="0.2">
      <c r="B14" s="128" t="s">
        <v>176</v>
      </c>
      <c r="C14" s="134">
        <v>55</v>
      </c>
      <c r="D14" s="204" t="str">
        <f>VLOOKUP($C14,Language!$D$5:$E$100,2,0)</f>
        <v>Qatar</v>
      </c>
      <c r="E14" s="595" t="b">
        <f>OR(CalcB!$K$7&gt;0,CalcB!$I$7&gt;0)</f>
        <v>1</v>
      </c>
    </row>
    <row r="15" spans="2:5" x14ac:dyDescent="0.2">
      <c r="B15" s="128" t="s">
        <v>1046</v>
      </c>
      <c r="C15" s="415">
        <v>19</v>
      </c>
      <c r="D15" s="204" t="str">
        <f>VLOOKUP($C15,Language!$D$5:$E$100,2,0)</f>
        <v>Switzerland</v>
      </c>
      <c r="E15" s="595" t="b">
        <f>OR(CalcB!$K$8&gt;0,CalcB!$I$8&gt;0)</f>
        <v>1</v>
      </c>
    </row>
    <row r="16" spans="2:5" x14ac:dyDescent="0.2">
      <c r="B16" s="129"/>
      <c r="C16" s="213"/>
      <c r="D16" s="214" t="s">
        <v>21</v>
      </c>
      <c r="E16" s="595"/>
    </row>
    <row r="17" spans="2:5" x14ac:dyDescent="0.2">
      <c r="B17" s="128" t="s">
        <v>177</v>
      </c>
      <c r="C17" s="134">
        <v>6</v>
      </c>
      <c r="D17" s="204" t="str">
        <f>VLOOKUP($C17,Language!$D$5:$E$100,2,0)</f>
        <v>Brazil</v>
      </c>
      <c r="E17" s="595" t="b">
        <f>OR(CalcC!$K$5&gt;0,CalcC!$I$5&gt;0)</f>
        <v>1</v>
      </c>
    </row>
    <row r="18" spans="2:5" x14ac:dyDescent="0.2">
      <c r="B18" s="128" t="s">
        <v>178</v>
      </c>
      <c r="C18" s="134">
        <v>8</v>
      </c>
      <c r="D18" s="204" t="str">
        <f>VLOOKUP($C18,Language!$D$5:$E$100,2,0)</f>
        <v>Morocco</v>
      </c>
      <c r="E18" s="595" t="b">
        <f>OR(CalcC!$K$6&gt;0,CalcC!$I$6&gt;0)</f>
        <v>1</v>
      </c>
    </row>
    <row r="19" spans="2:5" x14ac:dyDescent="0.2">
      <c r="B19" s="128" t="s">
        <v>179</v>
      </c>
      <c r="C19" s="134">
        <v>83</v>
      </c>
      <c r="D19" s="204" t="str">
        <f>VLOOKUP($C19,Language!$D$5:$E$100,2,0)</f>
        <v>Haiti</v>
      </c>
      <c r="E19" s="595" t="b">
        <f>OR(CalcC!$K$7&gt;0,CalcC!$I$7&gt;0)</f>
        <v>1</v>
      </c>
    </row>
    <row r="20" spans="2:5" x14ac:dyDescent="0.2">
      <c r="B20" s="128" t="s">
        <v>1047</v>
      </c>
      <c r="C20" s="415">
        <v>43</v>
      </c>
      <c r="D20" s="204" t="str">
        <f>VLOOKUP($C20,Language!$D$5:$E$100,2,0)</f>
        <v>Scotland</v>
      </c>
      <c r="E20" s="595" t="b">
        <f>OR(CalcC!$K$8&gt;0,CalcC!$I$8&gt;0)</f>
        <v>1</v>
      </c>
    </row>
    <row r="21" spans="2:5" x14ac:dyDescent="0.2">
      <c r="B21" s="129"/>
      <c r="C21" s="213"/>
      <c r="D21" s="214" t="s">
        <v>25</v>
      </c>
      <c r="E21" s="595"/>
    </row>
    <row r="22" spans="2:5" x14ac:dyDescent="0.2">
      <c r="B22" s="128" t="s">
        <v>180</v>
      </c>
      <c r="C22" s="134">
        <v>16</v>
      </c>
      <c r="D22" s="204" t="str">
        <f>VLOOKUP($C22,Language!$D$5:$E$100,2,0)</f>
        <v>USA</v>
      </c>
      <c r="E22" s="595" t="b">
        <f>OR(CalcD!$K$5&gt;0,CalcD!$I$5&gt;0)</f>
        <v>1</v>
      </c>
    </row>
    <row r="23" spans="2:5" x14ac:dyDescent="0.2">
      <c r="B23" s="128" t="s">
        <v>181</v>
      </c>
      <c r="C23" s="134">
        <v>40</v>
      </c>
      <c r="D23" s="204" t="str">
        <f>VLOOKUP($C23,Language!$D$5:$E$100,2,0)</f>
        <v>Paraguay</v>
      </c>
      <c r="E23" s="595" t="b">
        <f>OR(CalcD!$K$6&gt;0,CalcD!$I$6&gt;0)</f>
        <v>1</v>
      </c>
    </row>
    <row r="24" spans="2:5" x14ac:dyDescent="0.2">
      <c r="B24" s="128" t="s">
        <v>182</v>
      </c>
      <c r="C24" s="134">
        <v>27</v>
      </c>
      <c r="D24" s="204" t="str">
        <f>VLOOKUP($C24,Language!$D$5:$E$100,2,0)</f>
        <v>Australia</v>
      </c>
      <c r="E24" s="595" t="b">
        <f>OR(CalcD!$K$7&gt;0,CalcD!$I$7&gt;0)</f>
        <v>1</v>
      </c>
    </row>
    <row r="25" spans="2:5" x14ac:dyDescent="0.2">
      <c r="B25" s="128" t="s">
        <v>1048</v>
      </c>
      <c r="C25" s="415">
        <v>22</v>
      </c>
      <c r="D25" s="204" t="str">
        <f>VLOOKUP($C25,Language!$D$5:$E$100,2,0)</f>
        <v>Turkey</v>
      </c>
      <c r="E25" s="595" t="b">
        <f>OR(CalcD!$K$8&gt;0,CalcD!$I$8&gt;0)</f>
        <v>1</v>
      </c>
    </row>
    <row r="26" spans="2:5" x14ac:dyDescent="0.2">
      <c r="B26" s="129"/>
      <c r="C26" s="213"/>
      <c r="D26" s="214" t="s">
        <v>22</v>
      </c>
      <c r="E26" s="595"/>
    </row>
    <row r="27" spans="2:5" x14ac:dyDescent="0.2">
      <c r="B27" s="128" t="s">
        <v>183</v>
      </c>
      <c r="C27" s="134">
        <v>10</v>
      </c>
      <c r="D27" s="204" t="str">
        <f>VLOOKUP($C27,Language!$D$5:$E$100,2,0)</f>
        <v>Germany</v>
      </c>
      <c r="E27" s="595" t="b">
        <f>OR(CalcE!$K$5&gt;0,CalcE!$I$5&gt;0)</f>
        <v>1</v>
      </c>
    </row>
    <row r="28" spans="2:5" x14ac:dyDescent="0.2">
      <c r="B28" s="128" t="s">
        <v>184</v>
      </c>
      <c r="C28" s="131">
        <v>82</v>
      </c>
      <c r="D28" s="204" t="str">
        <f>VLOOKUP($C28,Language!$D$5:$E$100,2,0)</f>
        <v>Curaçao</v>
      </c>
      <c r="E28" s="595" t="b">
        <f>OR(CalcE!$K$6&gt;0,CalcE!$I$6&gt;0)</f>
        <v>1</v>
      </c>
    </row>
    <row r="29" spans="2:5" x14ac:dyDescent="0.2">
      <c r="B29" s="128" t="s">
        <v>185</v>
      </c>
      <c r="C29" s="134">
        <v>34</v>
      </c>
      <c r="D29" s="204" t="str">
        <f>VLOOKUP($C29,Language!$D$5:$E$100,2,0)</f>
        <v>Ivory Coast</v>
      </c>
      <c r="E29" s="595" t="b">
        <f>OR(CalcE!$K$7&gt;0,CalcE!$I$7&gt;0)</f>
        <v>1</v>
      </c>
    </row>
    <row r="30" spans="2:5" x14ac:dyDescent="0.2">
      <c r="B30" s="128" t="s">
        <v>1049</v>
      </c>
      <c r="C30" s="415">
        <v>23</v>
      </c>
      <c r="D30" s="204" t="str">
        <f>VLOOKUP($C30,Language!$D$5:$E$100,2,0)</f>
        <v>Ecuador</v>
      </c>
      <c r="E30" s="595" t="b">
        <f>OR(CalcE!$K$8&gt;0,CalcE!$I$8&gt;0)</f>
        <v>1</v>
      </c>
    </row>
    <row r="31" spans="2:5" x14ac:dyDescent="0.2">
      <c r="B31" s="129"/>
      <c r="C31" s="213"/>
      <c r="D31" s="214" t="s">
        <v>23</v>
      </c>
      <c r="E31" s="595"/>
    </row>
    <row r="32" spans="2:5" x14ac:dyDescent="0.2">
      <c r="B32" s="128" t="s">
        <v>266</v>
      </c>
      <c r="C32" s="131">
        <v>7</v>
      </c>
      <c r="D32" s="204" t="str">
        <f>VLOOKUP($C32,Language!$D$5:$E$100,2,0)</f>
        <v>Netherlands</v>
      </c>
      <c r="E32" s="595" t="b">
        <f>OR(CalcF!$K$5&gt;0,CalcF!$I$5&gt;0)</f>
        <v>1</v>
      </c>
    </row>
    <row r="33" spans="2:5" x14ac:dyDescent="0.2">
      <c r="B33" s="128" t="s">
        <v>267</v>
      </c>
      <c r="C33" s="134">
        <v>18</v>
      </c>
      <c r="D33" s="204" t="str">
        <f>VLOOKUP($C33,Language!$D$5:$E$100,2,0)</f>
        <v>Japan</v>
      </c>
      <c r="E33" s="595" t="b">
        <f>OR(CalcF!$K$6&gt;0,CalcF!$I$6&gt;0)</f>
        <v>1</v>
      </c>
    </row>
    <row r="34" spans="2:5" x14ac:dyDescent="0.2">
      <c r="B34" s="128" t="s">
        <v>268</v>
      </c>
      <c r="C34" s="131">
        <v>38</v>
      </c>
      <c r="D34" s="204" t="str">
        <f>VLOOKUP($C34,Language!$D$5:$E$100,2,0)</f>
        <v>Sweden</v>
      </c>
      <c r="E34" s="595" t="b">
        <f>OR(CalcF!$K$7&gt;0,CalcF!$I$7&gt;0)</f>
        <v>1</v>
      </c>
    </row>
    <row r="35" spans="2:5" x14ac:dyDescent="0.2">
      <c r="B35" s="128" t="s">
        <v>1050</v>
      </c>
      <c r="C35" s="416">
        <v>44</v>
      </c>
      <c r="D35" s="204" t="str">
        <f>VLOOKUP($C35,Language!$D$5:$E$100,2,0)</f>
        <v>Tunisia</v>
      </c>
      <c r="E35" s="595" t="b">
        <f>OR(CalcF!$K$8&gt;0,CalcF!$I$8&gt;0)</f>
        <v>1</v>
      </c>
    </row>
    <row r="36" spans="2:5" x14ac:dyDescent="0.2">
      <c r="B36" s="129"/>
      <c r="C36" s="213"/>
      <c r="D36" s="214" t="s">
        <v>272</v>
      </c>
      <c r="E36" s="595"/>
    </row>
    <row r="37" spans="2:5" x14ac:dyDescent="0.2">
      <c r="B37" s="128" t="s">
        <v>186</v>
      </c>
      <c r="C37" s="134">
        <v>9</v>
      </c>
      <c r="D37" s="204" t="str">
        <f>VLOOKUP($C37,Language!$D$5:$E$100,2,0)</f>
        <v>Belgium</v>
      </c>
      <c r="E37" s="595" t="b">
        <f>OR(CalcG!$K$5&gt;0,CalcG!$I$5&gt;0)</f>
        <v>1</v>
      </c>
    </row>
    <row r="38" spans="2:5" x14ac:dyDescent="0.2">
      <c r="B38" s="128" t="s">
        <v>187</v>
      </c>
      <c r="C38" s="134">
        <v>29</v>
      </c>
      <c r="D38" s="204" t="str">
        <f>VLOOKUP($C38,Language!$D$5:$E$100,2,0)</f>
        <v>Egypt</v>
      </c>
      <c r="E38" s="595" t="b">
        <f>OR(CalcG!$K$6&gt;0,CalcG!$I$6&gt;0)</f>
        <v>1</v>
      </c>
    </row>
    <row r="39" spans="2:5" x14ac:dyDescent="0.2">
      <c r="B39" s="128" t="s">
        <v>188</v>
      </c>
      <c r="C39" s="134">
        <v>21</v>
      </c>
      <c r="D39" s="204" t="str">
        <f>VLOOKUP($C39,Language!$D$5:$E$100,2,0)</f>
        <v>IR Iran</v>
      </c>
      <c r="E39" s="595" t="b">
        <f>OR(CalcG!$K$7&gt;0,CalcG!$I$7&gt;0)</f>
        <v>1</v>
      </c>
    </row>
    <row r="40" spans="2:5" x14ac:dyDescent="0.2">
      <c r="B40" s="128" t="s">
        <v>1051</v>
      </c>
      <c r="C40" s="415">
        <v>85</v>
      </c>
      <c r="D40" s="204" t="str">
        <f>VLOOKUP($C40,Language!$D$5:$E$100,2,0)</f>
        <v>New Zealand</v>
      </c>
      <c r="E40" s="595" t="b">
        <f>OR(CalcG!$K$8&gt;0,CalcG!$I$8&gt;0)</f>
        <v>1</v>
      </c>
    </row>
    <row r="41" spans="2:5" x14ac:dyDescent="0.2">
      <c r="B41" s="129"/>
      <c r="C41" s="213"/>
      <c r="D41" s="214" t="s">
        <v>31</v>
      </c>
      <c r="E41" s="595"/>
    </row>
    <row r="42" spans="2:5" x14ac:dyDescent="0.2">
      <c r="B42" s="128" t="s">
        <v>269</v>
      </c>
      <c r="C42" s="134">
        <v>2</v>
      </c>
      <c r="D42" s="207" t="str">
        <f>VLOOKUP($C42,Language!$D$5:$E$100,2,0)</f>
        <v>Spain</v>
      </c>
      <c r="E42" s="595" t="b">
        <f>OR(CalcH!$K$5&gt;0,CalcH!$I$5&gt;0)</f>
        <v>1</v>
      </c>
    </row>
    <row r="43" spans="2:5" x14ac:dyDescent="0.2">
      <c r="B43" s="128" t="s">
        <v>270</v>
      </c>
      <c r="C43" s="134">
        <v>69</v>
      </c>
      <c r="D43" s="207" t="str">
        <f>VLOOKUP($C43,Language!$D$5:$E$100,2,0)</f>
        <v>Cape Verde</v>
      </c>
      <c r="E43" s="595" t="b">
        <f>OR(CalcH!$K$6&gt;0,CalcH!$I$6&gt;0)</f>
        <v>1</v>
      </c>
    </row>
    <row r="44" spans="2:5" x14ac:dyDescent="0.2">
      <c r="B44" s="128" t="s">
        <v>271</v>
      </c>
      <c r="C44" s="134">
        <v>61</v>
      </c>
      <c r="D44" s="207" t="str">
        <f>VLOOKUP($C44,Language!$D$5:$E$100,2,0)</f>
        <v>Saudi Arabia</v>
      </c>
      <c r="E44" s="595" t="b">
        <f>OR(CalcH!$K$7&gt;0,CalcH!$I$7&gt;0)</f>
        <v>1</v>
      </c>
    </row>
    <row r="45" spans="2:5" x14ac:dyDescent="0.2">
      <c r="B45" s="182" t="s">
        <v>1052</v>
      </c>
      <c r="C45" s="415">
        <v>17</v>
      </c>
      <c r="D45" s="207" t="str">
        <f>VLOOKUP($C45,Language!$D$5:$E$100,2,0)</f>
        <v>Uruguay</v>
      </c>
      <c r="E45" s="595" t="b">
        <f>OR(CalcH!$K$8&gt;0,CalcH!$I$8&gt;0)</f>
        <v>1</v>
      </c>
    </row>
    <row r="46" spans="2:5" x14ac:dyDescent="0.2">
      <c r="B46" s="127"/>
      <c r="C46" s="213"/>
      <c r="D46" s="214" t="s">
        <v>32</v>
      </c>
      <c r="E46" s="595"/>
    </row>
    <row r="47" spans="2:5" x14ac:dyDescent="0.2">
      <c r="B47" s="128" t="s">
        <v>842</v>
      </c>
      <c r="C47" s="131">
        <v>1</v>
      </c>
      <c r="D47" s="204" t="str">
        <f>VLOOKUP($C47,Language!$D$5:$E$100,2,0)</f>
        <v>France</v>
      </c>
      <c r="E47" s="595" t="b">
        <f>OR(CalcI!$K$5&gt;0,CalcI!$I$5&gt;0)</f>
        <v>1</v>
      </c>
    </row>
    <row r="48" spans="2:5" x14ac:dyDescent="0.2">
      <c r="B48" s="128" t="s">
        <v>843</v>
      </c>
      <c r="C48" s="134">
        <v>14</v>
      </c>
      <c r="D48" s="204" t="str">
        <f>VLOOKUP($C48,Language!$D$5:$E$100,2,0)</f>
        <v>Senegal</v>
      </c>
      <c r="E48" s="595" t="b">
        <f>OR(CalcI!$K$6&gt;0,CalcI!$I$6&gt;0)</f>
        <v>1</v>
      </c>
    </row>
    <row r="49" spans="2:5" x14ac:dyDescent="0.2">
      <c r="B49" s="128" t="s">
        <v>844</v>
      </c>
      <c r="C49" s="134">
        <v>57</v>
      </c>
      <c r="D49" s="204" t="str">
        <f>VLOOKUP($C49,Language!$D$5:$E$100,2,0)</f>
        <v>Iraq</v>
      </c>
      <c r="E49" s="595" t="b">
        <f>OR(CalcI!$K$7&gt;0,CalcI!$I$7&gt;0)</f>
        <v>1</v>
      </c>
    </row>
    <row r="50" spans="2:5" x14ac:dyDescent="0.2">
      <c r="B50" s="128" t="s">
        <v>1053</v>
      </c>
      <c r="C50" s="415">
        <v>31</v>
      </c>
      <c r="D50" s="204" t="str">
        <f>VLOOKUP($C50,Language!$D$5:$E$100,2,0)</f>
        <v>Norway</v>
      </c>
      <c r="E50" s="595" t="b">
        <f>OR(CalcI!$K$8&gt;0,CalcI!$I$8&gt;0)</f>
        <v>1</v>
      </c>
    </row>
    <row r="51" spans="2:5" x14ac:dyDescent="0.2">
      <c r="B51" s="129"/>
      <c r="C51" s="213"/>
      <c r="D51" s="214" t="s">
        <v>841</v>
      </c>
      <c r="E51" s="595"/>
    </row>
    <row r="52" spans="2:5" x14ac:dyDescent="0.2">
      <c r="B52" s="128" t="s">
        <v>845</v>
      </c>
      <c r="C52" s="134">
        <v>3</v>
      </c>
      <c r="D52" s="204" t="str">
        <f>VLOOKUP($C52,Language!$D$5:$E$100,2,0)</f>
        <v>Argentina</v>
      </c>
      <c r="E52" s="595" t="b">
        <f>OR(CalcJ!$K$5&gt;0,CalcJ!$I$5&gt;0)</f>
        <v>1</v>
      </c>
    </row>
    <row r="53" spans="2:5" x14ac:dyDescent="0.2">
      <c r="B53" s="128" t="s">
        <v>846</v>
      </c>
      <c r="C53" s="131">
        <v>28</v>
      </c>
      <c r="D53" s="204" t="str">
        <f>VLOOKUP($C53,Language!$D$5:$E$100,2,0)</f>
        <v>Algeria</v>
      </c>
      <c r="E53" s="595" t="b">
        <f>OR(CalcJ!$K$6&gt;0,CalcJ!$I$6&gt;0)</f>
        <v>1</v>
      </c>
    </row>
    <row r="54" spans="2:5" x14ac:dyDescent="0.2">
      <c r="B54" s="128" t="s">
        <v>847</v>
      </c>
      <c r="C54" s="134">
        <v>24</v>
      </c>
      <c r="D54" s="204" t="str">
        <f>VLOOKUP($C54,Language!$D$5:$E$100,2,0)</f>
        <v>Austria</v>
      </c>
      <c r="E54" s="595" t="b">
        <f>OR(CalcJ!$K$7&gt;0,CalcJ!$I$7&gt;0)</f>
        <v>1</v>
      </c>
    </row>
    <row r="55" spans="2:5" x14ac:dyDescent="0.2">
      <c r="B55" s="128" t="s">
        <v>1054</v>
      </c>
      <c r="C55" s="415">
        <v>63</v>
      </c>
      <c r="D55" s="204" t="str">
        <f>VLOOKUP($C55,Language!$D$5:$E$100,2,0)</f>
        <v>Jordan</v>
      </c>
      <c r="E55" s="595" t="b">
        <f>OR(CalcJ!$K$8&gt;0,CalcJ!$I$8&gt;0)</f>
        <v>1</v>
      </c>
    </row>
    <row r="56" spans="2:5" x14ac:dyDescent="0.2">
      <c r="B56" s="129"/>
      <c r="C56" s="213"/>
      <c r="D56" s="214" t="s">
        <v>33</v>
      </c>
      <c r="E56" s="595"/>
    </row>
    <row r="57" spans="2:5" x14ac:dyDescent="0.2">
      <c r="B57" s="128" t="s">
        <v>848</v>
      </c>
      <c r="C57" s="134">
        <v>5</v>
      </c>
      <c r="D57" s="204" t="str">
        <f>VLOOKUP($C57,Language!$D$5:$E$100,2,0)</f>
        <v>Portugal</v>
      </c>
      <c r="E57" s="595" t="b">
        <f>OR(CalcK!$K$5&gt;0,CalcK!$I$5&gt;0)</f>
        <v>1</v>
      </c>
    </row>
    <row r="58" spans="2:5" x14ac:dyDescent="0.2">
      <c r="B58" s="128" t="s">
        <v>849</v>
      </c>
      <c r="C58" s="134">
        <v>46</v>
      </c>
      <c r="D58" s="204" t="str">
        <f>VLOOKUP($C58,Language!$D$5:$E$100,2,0)</f>
        <v>DR Congo</v>
      </c>
      <c r="E58" s="595" t="b">
        <f>OR(CalcK!$K$6&gt;0,CalcK!$I$6&gt;0)</f>
        <v>1</v>
      </c>
    </row>
    <row r="59" spans="2:5" x14ac:dyDescent="0.2">
      <c r="B59" s="128" t="s">
        <v>850</v>
      </c>
      <c r="C59" s="134">
        <v>50</v>
      </c>
      <c r="D59" s="204" t="str">
        <f>VLOOKUP($C59,Language!$D$5:$E$100,2,0)</f>
        <v>Uzbekistan</v>
      </c>
      <c r="E59" s="595" t="b">
        <f>OR(CalcK!$K$7&gt;0,CalcK!$I$7&gt;0)</f>
        <v>1</v>
      </c>
    </row>
    <row r="60" spans="2:5" x14ac:dyDescent="0.2">
      <c r="B60" s="128" t="s">
        <v>1055</v>
      </c>
      <c r="C60" s="417">
        <v>13</v>
      </c>
      <c r="D60" s="204" t="str">
        <f>VLOOKUP($C60,Language!$D$5:$E$100,2,0)</f>
        <v>Colombia</v>
      </c>
      <c r="E60" s="595" t="b">
        <f>OR(CalcK!$K$8&gt;0,CalcK!$I$8&gt;0)</f>
        <v>1</v>
      </c>
    </row>
    <row r="61" spans="2:5" x14ac:dyDescent="0.2">
      <c r="B61" s="129"/>
      <c r="C61" s="213"/>
      <c r="D61" s="214" t="s">
        <v>34</v>
      </c>
      <c r="E61" s="595"/>
    </row>
    <row r="62" spans="2:5" x14ac:dyDescent="0.2">
      <c r="B62" s="128" t="s">
        <v>851</v>
      </c>
      <c r="C62" s="134">
        <v>4</v>
      </c>
      <c r="D62" s="204" t="str">
        <f>VLOOKUP($C62,Language!$D$5:$E$100,2,0)</f>
        <v>England</v>
      </c>
      <c r="E62" s="595" t="b">
        <f>OR(CalcL!$K$5&gt;0,CalcL!$I$5&gt;0)</f>
        <v>1</v>
      </c>
    </row>
    <row r="63" spans="2:5" x14ac:dyDescent="0.2">
      <c r="B63" s="128" t="s">
        <v>852</v>
      </c>
      <c r="C63" s="134">
        <v>11</v>
      </c>
      <c r="D63" s="204" t="str">
        <f>VLOOKUP($C63,Language!$D$5:$E$100,2,0)</f>
        <v>Croatia</v>
      </c>
      <c r="E63" s="595" t="b">
        <f>OR(CalcL!$K$6&gt;0,CalcL!$I$6&gt;0)</f>
        <v>1</v>
      </c>
    </row>
    <row r="64" spans="2:5" x14ac:dyDescent="0.2">
      <c r="B64" s="128" t="s">
        <v>853</v>
      </c>
      <c r="C64" s="134">
        <v>74</v>
      </c>
      <c r="D64" s="204" t="str">
        <f>VLOOKUP($C64,Language!$D$5:$E$100,2,0)</f>
        <v>Ghana</v>
      </c>
      <c r="E64" s="595" t="b">
        <f>OR(CalcL!$K$7&gt;0,CalcL!$I$7&gt;0)</f>
        <v>1</v>
      </c>
    </row>
    <row r="65" spans="2:5" ht="15.75" thickBot="1" x14ac:dyDescent="0.25">
      <c r="B65" s="130" t="s">
        <v>1056</v>
      </c>
      <c r="C65" s="418">
        <v>33</v>
      </c>
      <c r="D65" s="419" t="str">
        <f>VLOOKUP($C65,Language!$D$5:$E$100,2,0)</f>
        <v>Panama</v>
      </c>
      <c r="E65" s="596" t="b">
        <f>OR(CalcL!$K$8&gt;0,CalcL!$I$8&gt;0)</f>
        <v>1</v>
      </c>
    </row>
    <row r="66" spans="2:5" ht="15.75" thickTop="1" x14ac:dyDescent="0.2"/>
    <row r="67" spans="2:5" x14ac:dyDescent="0.2"/>
    <row r="68" spans="2:5" x14ac:dyDescent="0.2"/>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x14ac:dyDescent="0.2"/>
  <cols>
    <col min="1" max="1" width="11.43359375" customWidth="1"/>
    <col min="2" max="2" width="9.28125" customWidth="1"/>
    <col min="3" max="3" width="7.26171875" style="125" customWidth="1"/>
    <col min="4" max="4" width="8.875" style="125" customWidth="1"/>
    <col min="5" max="5" width="27.3046875" customWidth="1"/>
    <col min="6" max="6" width="26.76953125" customWidth="1"/>
    <col min="7" max="7" width="8.33984375" customWidth="1"/>
    <col min="8" max="8" width="21.5234375" customWidth="1"/>
    <col min="9" max="9" width="18.0234375" customWidth="1"/>
    <col min="10" max="10" width="18.96484375" customWidth="1"/>
    <col min="11" max="11" width="18.16015625" customWidth="1"/>
    <col min="12" max="12" width="10.22265625" customWidth="1"/>
    <col min="13" max="13" width="13.5859375" style="125" customWidth="1"/>
    <col min="14" max="14" width="23" style="125" customWidth="1"/>
    <col min="15" max="16" width="4.70703125" style="125" customWidth="1"/>
    <col min="17" max="24" width="4.70703125" style="125" hidden="1" customWidth="1"/>
    <col min="25" max="25" width="5.109375" hidden="1" customWidth="1"/>
    <col min="26" max="16384" width="11.43359375" hidden="1"/>
  </cols>
  <sheetData>
    <row r="1" spans="1:24" ht="29.25" x14ac:dyDescent="0.4">
      <c r="A1" s="111"/>
      <c r="B1" s="1057" t="str">
        <f>Language!$E$125</f>
        <v>Matches</v>
      </c>
      <c r="C1" s="1057"/>
      <c r="D1" s="1057"/>
      <c r="E1" s="1057"/>
      <c r="F1" s="1057"/>
      <c r="G1" s="1057"/>
      <c r="H1" s="1057"/>
      <c r="I1" s="1057"/>
      <c r="J1" s="1057"/>
    </row>
    <row r="2" spans="1:24" ht="18.75" customHeight="1" thickBot="1" x14ac:dyDescent="0.45">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x14ac:dyDescent="0.25">
      <c r="A3" s="110"/>
      <c r="B3" s="109" t="s">
        <v>393</v>
      </c>
      <c r="C3" s="1058" t="s">
        <v>307</v>
      </c>
      <c r="D3" s="1058"/>
      <c r="E3" s="97" t="s">
        <v>396</v>
      </c>
      <c r="F3" s="97" t="s">
        <v>554</v>
      </c>
      <c r="G3" s="183" t="s">
        <v>391</v>
      </c>
      <c r="H3" s="97" t="s">
        <v>392</v>
      </c>
      <c r="I3" s="97" t="s">
        <v>284</v>
      </c>
      <c r="J3" s="97" t="s">
        <v>285</v>
      </c>
      <c r="K3" s="98" t="s">
        <v>402</v>
      </c>
    </row>
    <row r="4" spans="1:24" x14ac:dyDescent="0.2">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x14ac:dyDescent="0.2">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x14ac:dyDescent="0.2">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x14ac:dyDescent="0.2">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x14ac:dyDescent="0.2">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x14ac:dyDescent="0.2">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x14ac:dyDescent="0.2">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x14ac:dyDescent="0.2">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x14ac:dyDescent="0.2">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x14ac:dyDescent="0.2">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x14ac:dyDescent="0.2">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x14ac:dyDescent="0.2">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x14ac:dyDescent="0.2">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x14ac:dyDescent="0.2">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x14ac:dyDescent="0.2">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x14ac:dyDescent="0.2">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x14ac:dyDescent="0.2">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x14ac:dyDescent="0.2">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x14ac:dyDescent="0.2">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x14ac:dyDescent="0.2">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x14ac:dyDescent="0.2">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x14ac:dyDescent="0.2">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x14ac:dyDescent="0.2">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x14ac:dyDescent="0.2">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x14ac:dyDescent="0.2">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x14ac:dyDescent="0.2">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x14ac:dyDescent="0.2">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x14ac:dyDescent="0.2">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x14ac:dyDescent="0.2">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x14ac:dyDescent="0.2">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x14ac:dyDescent="0.2">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x14ac:dyDescent="0.2">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x14ac:dyDescent="0.2">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x14ac:dyDescent="0.2">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x14ac:dyDescent="0.2">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x14ac:dyDescent="0.2">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x14ac:dyDescent="0.2">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x14ac:dyDescent="0.2">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x14ac:dyDescent="0.2">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x14ac:dyDescent="0.2">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x14ac:dyDescent="0.2">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x14ac:dyDescent="0.2">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x14ac:dyDescent="0.2">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x14ac:dyDescent="0.2">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x14ac:dyDescent="0.2">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x14ac:dyDescent="0.2">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x14ac:dyDescent="0.2">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x14ac:dyDescent="0.2">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x14ac:dyDescent="0.2">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x14ac:dyDescent="0.2">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x14ac:dyDescent="0.2">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x14ac:dyDescent="0.2">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x14ac:dyDescent="0.2">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x14ac:dyDescent="0.2">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x14ac:dyDescent="0.2">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x14ac:dyDescent="0.2">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x14ac:dyDescent="0.2">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x14ac:dyDescent="0.2">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x14ac:dyDescent="0.2">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x14ac:dyDescent="0.2">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x14ac:dyDescent="0.2">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x14ac:dyDescent="0.2">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x14ac:dyDescent="0.2">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x14ac:dyDescent="0.2">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x14ac:dyDescent="0.25">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x14ac:dyDescent="0.2">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Scotland</v>
      </c>
      <c r="O69" s="606" t="str">
        <f>IFERROR(VLOOKUP(ThirdPlaced!$I$30,AssignThird!$C$8:$K$502,2,0),"")</f>
        <v>C</v>
      </c>
      <c r="P69" s="382"/>
      <c r="Q69" s="382"/>
      <c r="R69" s="382"/>
      <c r="S69" s="382"/>
      <c r="T69" s="382"/>
      <c r="U69" s="382"/>
      <c r="V69" s="382"/>
      <c r="W69" s="382"/>
      <c r="X69" s="382"/>
    </row>
    <row r="70" spans="2:24" x14ac:dyDescent="0.2">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IR Iran</v>
      </c>
      <c r="O70" s="610" t="str">
        <f>IFERROR(VLOOKUP(ThirdPlaced!$I$30,AssignThird!$C$8:$K$502,3,0),"")</f>
        <v>G</v>
      </c>
      <c r="P70" s="382"/>
      <c r="Q70" s="382"/>
      <c r="R70" s="382"/>
      <c r="S70" s="382"/>
      <c r="T70" s="382"/>
      <c r="U70" s="382"/>
      <c r="V70" s="382"/>
      <c r="W70" s="382"/>
      <c r="X70" s="382"/>
    </row>
    <row r="71" spans="2:24" x14ac:dyDescent="0.2">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Canada</v>
      </c>
      <c r="O71" s="610" t="str">
        <f>IFERROR(VLOOKUP(ThirdPlaced!$I$30,AssignThird!$C$8:$K$502,4,0),"")</f>
        <v>B</v>
      </c>
      <c r="P71" s="382"/>
      <c r="Q71" s="382"/>
      <c r="R71" s="382"/>
      <c r="S71" s="382"/>
      <c r="T71" s="382"/>
      <c r="U71" s="382"/>
      <c r="V71" s="382"/>
      <c r="W71" s="382"/>
      <c r="X71" s="382"/>
    </row>
    <row r="72" spans="2:24" x14ac:dyDescent="0.2">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Paraguay</v>
      </c>
      <c r="O72" s="610" t="str">
        <f>IFERROR(VLOOKUP(ThirdPlaced!$I$30,AssignThird!$C$8:$K$502,5,0),"")</f>
        <v>D</v>
      </c>
      <c r="P72" s="382"/>
      <c r="Q72" s="382"/>
      <c r="R72" s="382"/>
      <c r="S72" s="382"/>
      <c r="T72" s="382"/>
      <c r="U72" s="382"/>
      <c r="V72" s="382"/>
      <c r="W72" s="382"/>
      <c r="X72" s="382"/>
    </row>
    <row r="73" spans="2:24" x14ac:dyDescent="0.2">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Saudi Arabia</v>
      </c>
      <c r="O73" s="610" t="str">
        <f>IFERROR(VLOOKUP(ThirdPlaced!$I$30,AssignThird!$C$8:$K$502,6,0),"")</f>
        <v>H</v>
      </c>
      <c r="P73" s="382"/>
      <c r="Q73" s="382"/>
      <c r="R73" s="382"/>
      <c r="S73" s="382"/>
      <c r="T73" s="382"/>
      <c r="U73" s="382"/>
      <c r="V73" s="382"/>
      <c r="W73" s="382"/>
      <c r="X73" s="382"/>
    </row>
    <row r="74" spans="2:24" x14ac:dyDescent="0.2">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Japan</v>
      </c>
      <c r="O74" s="610" t="str">
        <f>IFERROR(VLOOKUP(ThirdPlaced!$I$30,AssignThird!$C$8:$K$502,7,0),"")</f>
        <v>F</v>
      </c>
      <c r="P74" s="382"/>
      <c r="Q74" s="382"/>
      <c r="R74" s="382"/>
      <c r="S74" s="382"/>
      <c r="T74" s="382"/>
      <c r="U74" s="382"/>
      <c r="V74" s="382"/>
      <c r="W74" s="382"/>
      <c r="X74" s="382"/>
    </row>
    <row r="75" spans="2:24" x14ac:dyDescent="0.2">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Ghana</v>
      </c>
      <c r="O75" s="610" t="str">
        <f>IFERROR(VLOOKUP(ThirdPlaced!$I$30,AssignThird!$C$8:$K$502,8,0),"")</f>
        <v>L</v>
      </c>
    </row>
    <row r="76" spans="2:24" ht="15.75" thickBot="1" x14ac:dyDescent="0.25">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Ivory Coast</v>
      </c>
      <c r="O76" s="614" t="str">
        <f>IFERROR(VLOOKUP(ThirdPlaced!$I$30,AssignThird!$C$8:$K$502,9,0),"")</f>
        <v>E</v>
      </c>
      <c r="P76" s="375"/>
      <c r="Q76" s="375"/>
      <c r="R76" s="375"/>
      <c r="S76" s="375"/>
      <c r="T76" s="375"/>
      <c r="U76" s="375"/>
      <c r="V76" s="375"/>
      <c r="W76" s="375"/>
      <c r="X76" s="375"/>
    </row>
    <row r="77" spans="2:24" x14ac:dyDescent="0.2">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Czech Rep.</v>
      </c>
      <c r="J77" s="107" t="str">
        <f>VLOOKUP(D77,$M$77:$N$108,2,0)</f>
        <v>Bosnia/Herzeg.</v>
      </c>
      <c r="K77" s="201">
        <v>1</v>
      </c>
      <c r="M77" s="597" t="s">
        <v>2</v>
      </c>
      <c r="N77" s="598" t="str">
        <f>'World Cup'!$B$42</f>
        <v>Mexico</v>
      </c>
      <c r="O77" s="375"/>
      <c r="P77" s="375"/>
      <c r="Q77" s="375"/>
      <c r="R77" s="375"/>
      <c r="S77" s="375"/>
      <c r="T77" s="375"/>
      <c r="U77" s="375"/>
      <c r="V77" s="375"/>
      <c r="W77" s="375"/>
      <c r="X77" s="375"/>
    </row>
    <row r="78" spans="2:24" x14ac:dyDescent="0.2">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Ecuador</v>
      </c>
      <c r="J78" s="107" t="str">
        <f t="shared" ref="J78:J92" si="2">VLOOKUP(D78,$M$77:$N$108,2,0)</f>
        <v>Paraguay</v>
      </c>
      <c r="K78" s="201">
        <v>3</v>
      </c>
      <c r="M78" s="599" t="s">
        <v>8</v>
      </c>
      <c r="N78" s="600" t="str">
        <f>'World Cup'!$B$43</f>
        <v>Czech Rep.</v>
      </c>
      <c r="O78" s="375"/>
      <c r="P78" s="375"/>
      <c r="Q78" s="375"/>
      <c r="R78" s="375"/>
      <c r="S78" s="375"/>
      <c r="T78" s="375"/>
      <c r="U78" s="375"/>
      <c r="V78" s="375"/>
      <c r="W78" s="375"/>
      <c r="X78" s="375"/>
    </row>
    <row r="79" spans="2:24" x14ac:dyDescent="0.2">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Morocco</v>
      </c>
      <c r="K79" s="201">
        <v>4</v>
      </c>
      <c r="M79" s="599" t="s">
        <v>3</v>
      </c>
      <c r="N79" s="600" t="str">
        <f>'World Cup'!$E$42</f>
        <v>Switzerland</v>
      </c>
      <c r="O79" s="375"/>
      <c r="P79" s="375"/>
      <c r="Q79" s="375"/>
      <c r="R79" s="375"/>
      <c r="S79" s="375"/>
      <c r="T79" s="375"/>
      <c r="U79" s="375"/>
      <c r="V79" s="375"/>
      <c r="W79" s="375"/>
      <c r="X79" s="375"/>
    </row>
    <row r="80" spans="2:24" x14ac:dyDescent="0.2">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Sweden</v>
      </c>
      <c r="K80" s="201">
        <v>2</v>
      </c>
      <c r="M80" s="599" t="s">
        <v>9</v>
      </c>
      <c r="N80" s="600" t="str">
        <f>'World Cup'!$E$43</f>
        <v>Bosnia/Herzeg.</v>
      </c>
      <c r="O80" s="375"/>
      <c r="P80" s="375"/>
      <c r="Q80" s="375"/>
      <c r="R80" s="375"/>
      <c r="S80" s="375"/>
      <c r="T80" s="375"/>
      <c r="U80" s="375"/>
      <c r="V80" s="375"/>
      <c r="W80" s="375"/>
      <c r="X80" s="375"/>
    </row>
    <row r="81" spans="2:24" x14ac:dyDescent="0.2">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Japan</v>
      </c>
      <c r="K81" s="201">
        <v>6</v>
      </c>
      <c r="M81" s="599" t="s">
        <v>4</v>
      </c>
      <c r="N81" s="600" t="str">
        <f>'World Cup'!$H$42</f>
        <v>Brazil</v>
      </c>
      <c r="O81" s="375"/>
      <c r="P81" s="375"/>
      <c r="Q81" s="375"/>
      <c r="R81" s="375"/>
      <c r="S81" s="375"/>
      <c r="T81" s="375"/>
      <c r="U81" s="375"/>
      <c r="V81" s="375"/>
      <c r="W81" s="375"/>
      <c r="X81" s="375"/>
    </row>
    <row r="82" spans="2:24" x14ac:dyDescent="0.2">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Germany</v>
      </c>
      <c r="J82" s="107" t="str">
        <f t="shared" si="2"/>
        <v>Norway</v>
      </c>
      <c r="K82" s="201">
        <v>5</v>
      </c>
      <c r="M82" s="599" t="s">
        <v>10</v>
      </c>
      <c r="N82" s="600" t="str">
        <f>'World Cup'!$H$43</f>
        <v>Morocco</v>
      </c>
      <c r="O82" s="375"/>
      <c r="P82" s="375"/>
      <c r="Q82" s="375"/>
      <c r="R82" s="375"/>
      <c r="S82" s="375"/>
      <c r="T82" s="375"/>
      <c r="U82" s="375"/>
      <c r="V82" s="375"/>
      <c r="W82" s="375"/>
      <c r="X82" s="375"/>
    </row>
    <row r="83" spans="2:24" x14ac:dyDescent="0.2">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Mexico</v>
      </c>
      <c r="J83" s="107" t="str">
        <f t="shared" si="2"/>
        <v>Scotland</v>
      </c>
      <c r="K83" s="201">
        <v>7</v>
      </c>
      <c r="M83" s="599" t="s">
        <v>5</v>
      </c>
      <c r="N83" s="600" t="str">
        <f>'World Cup'!$K$42</f>
        <v>Turkey</v>
      </c>
      <c r="O83" s="375"/>
      <c r="P83" s="375"/>
      <c r="Q83" s="375"/>
      <c r="R83" s="375"/>
      <c r="S83" s="375"/>
      <c r="T83" s="375"/>
      <c r="U83" s="375"/>
      <c r="V83" s="375"/>
      <c r="W83" s="375"/>
      <c r="X83" s="375"/>
    </row>
    <row r="84" spans="2:24" x14ac:dyDescent="0.2">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Ivory Coast</v>
      </c>
      <c r="K84" s="201">
        <v>8</v>
      </c>
      <c r="M84" s="599" t="s">
        <v>11</v>
      </c>
      <c r="N84" s="600" t="str">
        <f>'World Cup'!$K$43</f>
        <v>USA</v>
      </c>
      <c r="O84" s="375"/>
      <c r="P84" s="375"/>
      <c r="Q84" s="375"/>
      <c r="R84" s="375"/>
      <c r="S84" s="375"/>
      <c r="T84" s="375"/>
      <c r="U84" s="375"/>
      <c r="V84" s="375"/>
      <c r="W84" s="375"/>
      <c r="X84" s="375"/>
    </row>
    <row r="85" spans="2:24" x14ac:dyDescent="0.2">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Canada</v>
      </c>
      <c r="K85" s="201">
        <v>10</v>
      </c>
      <c r="M85" s="599" t="s">
        <v>6</v>
      </c>
      <c r="N85" s="600" t="str">
        <f>'World Cup'!$N$42</f>
        <v>Ecuador</v>
      </c>
      <c r="O85" s="375"/>
      <c r="P85" s="375"/>
      <c r="Q85" s="375"/>
      <c r="R85" s="375"/>
      <c r="S85" s="375"/>
      <c r="T85" s="375"/>
      <c r="U85" s="375"/>
      <c r="V85" s="375"/>
      <c r="W85" s="375"/>
      <c r="X85" s="375"/>
    </row>
    <row r="86" spans="2:24" x14ac:dyDescent="0.2">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Saudi Arabia</v>
      </c>
      <c r="K86" s="201">
        <v>9</v>
      </c>
      <c r="M86" s="599" t="s">
        <v>12</v>
      </c>
      <c r="N86" s="600" t="str">
        <f>'World Cup'!$N$43</f>
        <v>Germany</v>
      </c>
      <c r="O86" s="375"/>
      <c r="P86" s="375"/>
      <c r="Q86" s="375"/>
      <c r="R86" s="375"/>
      <c r="S86" s="375"/>
      <c r="T86" s="375"/>
      <c r="U86" s="375"/>
      <c r="V86" s="375"/>
      <c r="W86" s="375"/>
      <c r="X86" s="375"/>
    </row>
    <row r="87" spans="2:24" x14ac:dyDescent="0.2">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x14ac:dyDescent="0.2">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Argentina</v>
      </c>
      <c r="K88" s="201">
        <v>11</v>
      </c>
      <c r="M88" s="599" t="s">
        <v>13</v>
      </c>
      <c r="N88" s="600" t="str">
        <f>'World Cup'!$Q$43</f>
        <v>Sweden</v>
      </c>
      <c r="O88" s="375"/>
      <c r="P88" s="375"/>
      <c r="Q88" s="375"/>
      <c r="R88" s="375"/>
      <c r="S88" s="375"/>
      <c r="T88" s="375"/>
      <c r="U88" s="375"/>
      <c r="V88" s="375"/>
      <c r="W88" s="375"/>
      <c r="X88" s="375"/>
    </row>
    <row r="89" spans="2:24" x14ac:dyDescent="0.2">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IR Iran</v>
      </c>
      <c r="K89" s="201">
        <v>13</v>
      </c>
      <c r="M89" s="599" t="s">
        <v>93</v>
      </c>
      <c r="N89" s="600" t="str">
        <f>'World Cup'!$T$42</f>
        <v>Belgium</v>
      </c>
      <c r="O89" s="375"/>
      <c r="P89" s="375"/>
      <c r="Q89" s="375"/>
      <c r="R89" s="375"/>
      <c r="S89" s="375"/>
      <c r="T89" s="375"/>
      <c r="U89" s="375"/>
      <c r="V89" s="375"/>
      <c r="W89" s="375"/>
      <c r="X89" s="375"/>
    </row>
    <row r="90" spans="2:24" x14ac:dyDescent="0.2">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Austria</v>
      </c>
      <c r="J90" s="107" t="str">
        <f t="shared" si="2"/>
        <v>Uruguay</v>
      </c>
      <c r="K90" s="201">
        <v>15</v>
      </c>
      <c r="M90" s="599" t="s">
        <v>94</v>
      </c>
      <c r="N90" s="600" t="str">
        <f>'World Cup'!$T$43</f>
        <v>Egypt</v>
      </c>
      <c r="O90" s="375"/>
      <c r="P90" s="375"/>
      <c r="Q90" s="375"/>
      <c r="R90" s="375"/>
      <c r="S90" s="375"/>
      <c r="T90" s="375"/>
      <c r="U90" s="375"/>
      <c r="V90" s="375"/>
      <c r="W90" s="375"/>
      <c r="X90" s="375"/>
    </row>
    <row r="91" spans="2:24" x14ac:dyDescent="0.2">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Ghana</v>
      </c>
      <c r="K91" s="201">
        <v>16</v>
      </c>
      <c r="M91" s="599" t="s">
        <v>96</v>
      </c>
      <c r="N91" s="600" t="str">
        <f>'World Cup'!$W$42</f>
        <v>Spain</v>
      </c>
      <c r="O91" s="375"/>
      <c r="P91" s="375"/>
      <c r="Q91" s="375"/>
      <c r="R91" s="375"/>
      <c r="S91" s="375"/>
      <c r="T91" s="375"/>
      <c r="U91" s="375"/>
      <c r="V91" s="375"/>
      <c r="W91" s="375"/>
      <c r="X91" s="375"/>
    </row>
    <row r="92" spans="2:24" ht="15.75" thickBot="1" x14ac:dyDescent="0.25">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USA</v>
      </c>
      <c r="J92" s="107" t="str">
        <f t="shared" si="2"/>
        <v>Egypt</v>
      </c>
      <c r="K92" s="201">
        <v>14</v>
      </c>
      <c r="M92" s="601" t="s">
        <v>97</v>
      </c>
      <c r="N92" s="602" t="str">
        <f>'World Cup'!$W$43</f>
        <v>Uruguay</v>
      </c>
      <c r="O92" s="375"/>
      <c r="P92" s="375"/>
      <c r="Q92" s="375"/>
      <c r="R92" s="375"/>
      <c r="S92" s="375"/>
      <c r="T92" s="375"/>
      <c r="U92" s="375"/>
      <c r="V92" s="375"/>
      <c r="W92" s="375"/>
      <c r="X92" s="375"/>
    </row>
    <row r="93" spans="2:24" x14ac:dyDescent="0.2">
      <c r="B93" s="71" t="s">
        <v>566</v>
      </c>
      <c r="C93" s="88"/>
      <c r="D93" s="88"/>
      <c r="E93" s="53"/>
      <c r="F93" s="54"/>
      <c r="G93" s="184"/>
      <c r="H93" s="54"/>
      <c r="I93" s="54"/>
      <c r="J93" s="54"/>
      <c r="K93" s="100"/>
      <c r="M93" s="597" t="s">
        <v>855</v>
      </c>
      <c r="N93" s="598" t="str">
        <f>'World Cup'!$Z$42</f>
        <v>France</v>
      </c>
    </row>
    <row r="94" spans="2:24" x14ac:dyDescent="0.2">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x14ac:dyDescent="0.2">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Austria</v>
      </c>
    </row>
    <row r="96" spans="2:24" x14ac:dyDescent="0.2">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Argentina</v>
      </c>
    </row>
    <row r="97" spans="2:25" x14ac:dyDescent="0.2">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x14ac:dyDescent="0.2">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x14ac:dyDescent="0.2">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x14ac:dyDescent="0.2">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x14ac:dyDescent="0.2">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Scotland</v>
      </c>
    </row>
    <row r="102" spans="2:25" x14ac:dyDescent="0.2">
      <c r="B102" s="71" t="s">
        <v>133</v>
      </c>
      <c r="C102" s="88"/>
      <c r="D102" s="88"/>
      <c r="E102" s="53"/>
      <c r="F102" s="54"/>
      <c r="G102" s="184"/>
      <c r="H102" s="54"/>
      <c r="I102" s="54"/>
      <c r="J102" s="54"/>
      <c r="K102" s="101"/>
      <c r="M102" s="599" t="str">
        <f>AssignThird!$E$4</f>
        <v>3-EFGIJ</v>
      </c>
      <c r="N102" s="600" t="str">
        <f t="shared" ref="N102:N108" si="3">IF(L70,N70,"")</f>
        <v>IR Iran</v>
      </c>
    </row>
    <row r="103" spans="2:25" x14ac:dyDescent="0.2">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Canada</v>
      </c>
    </row>
    <row r="104" spans="2:25" x14ac:dyDescent="0.2">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Paraguay</v>
      </c>
    </row>
    <row r="105" spans="2:25" x14ac:dyDescent="0.2">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Saudi Arabia</v>
      </c>
    </row>
    <row r="106" spans="2:25" x14ac:dyDescent="0.2">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Japan</v>
      </c>
      <c r="Q106" s="92"/>
      <c r="R106" s="92"/>
      <c r="S106" s="92"/>
      <c r="T106" s="92"/>
      <c r="U106" s="92"/>
      <c r="V106" s="92"/>
      <c r="W106" s="92"/>
      <c r="X106" s="92"/>
      <c r="Y106" s="92"/>
    </row>
    <row r="107" spans="2:25" x14ac:dyDescent="0.2">
      <c r="B107" s="71" t="s">
        <v>134</v>
      </c>
      <c r="C107" s="88"/>
      <c r="D107" s="88"/>
      <c r="E107" s="53"/>
      <c r="F107" s="54"/>
      <c r="G107" s="184"/>
      <c r="H107" s="54"/>
      <c r="I107" s="54"/>
      <c r="J107" s="54"/>
      <c r="K107" s="101"/>
      <c r="M107" s="599" t="str">
        <f>AssignThird!$J$4</f>
        <v>3-DEIJL</v>
      </c>
      <c r="N107" s="600" t="str">
        <f t="shared" si="3"/>
        <v>Ghana</v>
      </c>
      <c r="Q107" s="92"/>
      <c r="R107" s="92"/>
      <c r="S107" s="92"/>
      <c r="T107" s="92"/>
      <c r="U107" s="92"/>
      <c r="V107" s="92"/>
      <c r="W107" s="92"/>
      <c r="X107" s="92"/>
      <c r="Y107" s="92"/>
    </row>
    <row r="108" spans="2:25" ht="15.75" thickBot="1" x14ac:dyDescent="0.25">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Ivory Coast</v>
      </c>
      <c r="P108" s="92"/>
      <c r="Q108" s="92"/>
      <c r="R108" s="92"/>
      <c r="S108" s="92"/>
      <c r="T108" s="92"/>
      <c r="U108" s="92"/>
      <c r="V108" s="92"/>
      <c r="W108" s="92"/>
      <c r="X108" s="92"/>
      <c r="Y108" s="92"/>
    </row>
    <row r="109" spans="2:25" x14ac:dyDescent="0.2">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x14ac:dyDescent="0.2">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x14ac:dyDescent="0.2">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x14ac:dyDescent="0.2">
      <c r="B112" s="71" t="s">
        <v>55</v>
      </c>
      <c r="C112" s="88"/>
      <c r="D112" s="88"/>
      <c r="E112" s="53"/>
      <c r="F112" s="54"/>
      <c r="G112" s="184"/>
      <c r="H112" s="54"/>
      <c r="I112" s="54"/>
      <c r="J112" s="54"/>
      <c r="K112" s="101"/>
      <c r="M112" s="126"/>
      <c r="N112" s="126"/>
    </row>
    <row r="113" spans="2:14" ht="15.75" thickBot="1" x14ac:dyDescent="0.25">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x14ac:dyDescent="0.2"/>
    <row r="115" spans="2:14" x14ac:dyDescent="0.2"/>
    <row r="116" spans="2:14" x14ac:dyDescent="0.2"/>
    <row r="117" spans="2:14" x14ac:dyDescent="0.2"/>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x14ac:dyDescent="0.2"/>
  <cols>
    <col min="1" max="1" width="5.6484375" customWidth="1"/>
    <col min="2" max="2" width="11.43359375" customWidth="1"/>
    <col min="3" max="3" width="20.04296875" customWidth="1"/>
    <col min="4" max="12" width="11.43359375" customWidth="1"/>
    <col min="13" max="13" width="4.9765625" customWidth="1"/>
    <col min="14" max="16384" width="11.43359375" hidden="1"/>
  </cols>
  <sheetData>
    <row r="1" spans="1:11" x14ac:dyDescent="0.2">
      <c r="A1" s="4"/>
    </row>
    <row r="2" spans="1:11" ht="29.25" x14ac:dyDescent="0.4">
      <c r="B2" s="452"/>
      <c r="C2" s="1059" t="str">
        <f>Language!$E$128</f>
        <v>Assignment of the group third in the round of 32</v>
      </c>
      <c r="D2" s="1059"/>
      <c r="E2" s="1059"/>
      <c r="F2" s="1059"/>
      <c r="G2" s="1059"/>
      <c r="H2" s="1059"/>
      <c r="I2" s="1059"/>
      <c r="J2" s="1059"/>
      <c r="K2" s="1059"/>
    </row>
    <row r="3" spans="1:11" ht="23.25" customHeight="1" x14ac:dyDescent="0.2">
      <c r="C3" s="1063" t="s">
        <v>1724</v>
      </c>
      <c r="D3" s="1063"/>
      <c r="E3" s="1063"/>
      <c r="F3" s="1063"/>
      <c r="G3" s="1063"/>
      <c r="H3" s="1063"/>
      <c r="I3" s="1063"/>
      <c r="J3" s="1063"/>
      <c r="K3" s="1063"/>
    </row>
    <row r="4" spans="1:11" ht="15.75" thickBot="1" x14ac:dyDescent="0.25">
      <c r="C4" s="437"/>
      <c r="D4" s="453" t="s">
        <v>1707</v>
      </c>
      <c r="E4" s="453" t="s">
        <v>1710</v>
      </c>
      <c r="F4" s="453" t="s">
        <v>1708</v>
      </c>
      <c r="G4" s="453" t="s">
        <v>1703</v>
      </c>
      <c r="H4" s="453" t="s">
        <v>1709</v>
      </c>
      <c r="I4" s="453" t="s">
        <v>1704</v>
      </c>
      <c r="J4" s="453" t="s">
        <v>1706</v>
      </c>
      <c r="K4" s="453" t="s">
        <v>1705</v>
      </c>
    </row>
    <row r="5" spans="1:11" ht="30.75" thickTop="1" x14ac:dyDescent="0.2">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x14ac:dyDescent="0.2">
      <c r="C6" s="1061"/>
      <c r="D6" s="441" t="s">
        <v>24</v>
      </c>
      <c r="E6" s="442" t="s">
        <v>20</v>
      </c>
      <c r="F6" s="442" t="s">
        <v>25</v>
      </c>
      <c r="G6" s="442" t="s">
        <v>22</v>
      </c>
      <c r="H6" s="442" t="s">
        <v>272</v>
      </c>
      <c r="I6" s="442" t="s">
        <v>32</v>
      </c>
      <c r="J6" s="442" t="s">
        <v>33</v>
      </c>
      <c r="K6" s="443" t="s">
        <v>34</v>
      </c>
    </row>
    <row r="7" spans="1:11" ht="45.75" thickBot="1" x14ac:dyDescent="0.25">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x14ac:dyDescent="0.2">
      <c r="C8" s="454" t="s">
        <v>1621</v>
      </c>
      <c r="D8" s="456" t="s">
        <v>22</v>
      </c>
      <c r="E8" s="457" t="s">
        <v>841</v>
      </c>
      <c r="F8" s="457" t="s">
        <v>32</v>
      </c>
      <c r="G8" s="457" t="s">
        <v>23</v>
      </c>
      <c r="H8" s="458" t="s">
        <v>31</v>
      </c>
      <c r="I8" s="458" t="s">
        <v>272</v>
      </c>
      <c r="J8" s="458" t="s">
        <v>34</v>
      </c>
      <c r="K8" s="459" t="s">
        <v>33</v>
      </c>
    </row>
    <row r="9" spans="1:11" ht="15.75" x14ac:dyDescent="0.2">
      <c r="C9" s="454" t="s">
        <v>1620</v>
      </c>
      <c r="D9" s="456" t="s">
        <v>31</v>
      </c>
      <c r="E9" s="457" t="s">
        <v>272</v>
      </c>
      <c r="F9" s="457" t="s">
        <v>32</v>
      </c>
      <c r="G9" s="457" t="s">
        <v>25</v>
      </c>
      <c r="H9" s="460" t="s">
        <v>841</v>
      </c>
      <c r="I9" s="460" t="s">
        <v>23</v>
      </c>
      <c r="J9" s="460" t="s">
        <v>34</v>
      </c>
      <c r="K9" s="461" t="s">
        <v>33</v>
      </c>
    </row>
    <row r="10" spans="1:11" ht="15.75" x14ac:dyDescent="0.2">
      <c r="C10" s="454" t="s">
        <v>1619</v>
      </c>
      <c r="D10" s="456" t="s">
        <v>22</v>
      </c>
      <c r="E10" s="457" t="s">
        <v>841</v>
      </c>
      <c r="F10" s="457" t="s">
        <v>32</v>
      </c>
      <c r="G10" s="457" t="s">
        <v>25</v>
      </c>
      <c r="H10" s="460" t="s">
        <v>31</v>
      </c>
      <c r="I10" s="460" t="s">
        <v>272</v>
      </c>
      <c r="J10" s="460" t="s">
        <v>34</v>
      </c>
      <c r="K10" s="461" t="s">
        <v>33</v>
      </c>
    </row>
    <row r="11" spans="1:11" ht="15.75" x14ac:dyDescent="0.2">
      <c r="C11" s="454" t="s">
        <v>1618</v>
      </c>
      <c r="D11" s="456" t="s">
        <v>22</v>
      </c>
      <c r="E11" s="457" t="s">
        <v>841</v>
      </c>
      <c r="F11" s="457" t="s">
        <v>32</v>
      </c>
      <c r="G11" s="457" t="s">
        <v>25</v>
      </c>
      <c r="H11" s="460" t="s">
        <v>31</v>
      </c>
      <c r="I11" s="460" t="s">
        <v>23</v>
      </c>
      <c r="J11" s="460" t="s">
        <v>34</v>
      </c>
      <c r="K11" s="461" t="s">
        <v>33</v>
      </c>
    </row>
    <row r="12" spans="1:11" ht="15.75" x14ac:dyDescent="0.2">
      <c r="C12" s="454" t="s">
        <v>1617</v>
      </c>
      <c r="D12" s="456" t="s">
        <v>22</v>
      </c>
      <c r="E12" s="457" t="s">
        <v>272</v>
      </c>
      <c r="F12" s="457" t="s">
        <v>32</v>
      </c>
      <c r="G12" s="457" t="s">
        <v>25</v>
      </c>
      <c r="H12" s="460" t="s">
        <v>841</v>
      </c>
      <c r="I12" s="460" t="s">
        <v>23</v>
      </c>
      <c r="J12" s="460" t="s">
        <v>34</v>
      </c>
      <c r="K12" s="461" t="s">
        <v>33</v>
      </c>
    </row>
    <row r="13" spans="1:11" ht="15.75" x14ac:dyDescent="0.2">
      <c r="C13" s="454" t="s">
        <v>1616</v>
      </c>
      <c r="D13" s="456" t="s">
        <v>22</v>
      </c>
      <c r="E13" s="457" t="s">
        <v>272</v>
      </c>
      <c r="F13" s="457" t="s">
        <v>841</v>
      </c>
      <c r="G13" s="457" t="s">
        <v>25</v>
      </c>
      <c r="H13" s="460" t="s">
        <v>31</v>
      </c>
      <c r="I13" s="460" t="s">
        <v>23</v>
      </c>
      <c r="J13" s="460" t="s">
        <v>34</v>
      </c>
      <c r="K13" s="461" t="s">
        <v>33</v>
      </c>
    </row>
    <row r="14" spans="1:11" ht="15.75" x14ac:dyDescent="0.2">
      <c r="C14" s="454" t="s">
        <v>1615</v>
      </c>
      <c r="D14" s="456" t="s">
        <v>22</v>
      </c>
      <c r="E14" s="457" t="s">
        <v>272</v>
      </c>
      <c r="F14" s="457" t="s">
        <v>32</v>
      </c>
      <c r="G14" s="457" t="s">
        <v>25</v>
      </c>
      <c r="H14" s="460" t="s">
        <v>31</v>
      </c>
      <c r="I14" s="460" t="s">
        <v>23</v>
      </c>
      <c r="J14" s="460" t="s">
        <v>34</v>
      </c>
      <c r="K14" s="461" t="s">
        <v>33</v>
      </c>
    </row>
    <row r="15" spans="1:11" ht="15.75" x14ac:dyDescent="0.2">
      <c r="C15" s="454" t="s">
        <v>1614</v>
      </c>
      <c r="D15" s="456" t="s">
        <v>22</v>
      </c>
      <c r="E15" s="457" t="s">
        <v>272</v>
      </c>
      <c r="F15" s="457" t="s">
        <v>841</v>
      </c>
      <c r="G15" s="457" t="s">
        <v>25</v>
      </c>
      <c r="H15" s="460" t="s">
        <v>31</v>
      </c>
      <c r="I15" s="460" t="s">
        <v>23</v>
      </c>
      <c r="J15" s="460" t="s">
        <v>34</v>
      </c>
      <c r="K15" s="461" t="s">
        <v>32</v>
      </c>
    </row>
    <row r="16" spans="1:11" ht="15.75" x14ac:dyDescent="0.2">
      <c r="C16" s="454" t="s">
        <v>1613</v>
      </c>
      <c r="D16" s="456" t="s">
        <v>22</v>
      </c>
      <c r="E16" s="457" t="s">
        <v>272</v>
      </c>
      <c r="F16" s="457" t="s">
        <v>841</v>
      </c>
      <c r="G16" s="457" t="s">
        <v>25</v>
      </c>
      <c r="H16" s="460" t="s">
        <v>31</v>
      </c>
      <c r="I16" s="460" t="s">
        <v>23</v>
      </c>
      <c r="J16" s="460" t="s">
        <v>32</v>
      </c>
      <c r="K16" s="461" t="s">
        <v>33</v>
      </c>
    </row>
    <row r="17" spans="3:11" ht="15.75" x14ac:dyDescent="0.2">
      <c r="C17" s="454" t="s">
        <v>1612</v>
      </c>
      <c r="D17" s="456" t="s">
        <v>31</v>
      </c>
      <c r="E17" s="457" t="s">
        <v>272</v>
      </c>
      <c r="F17" s="457" t="s">
        <v>32</v>
      </c>
      <c r="G17" s="457" t="s">
        <v>21</v>
      </c>
      <c r="H17" s="460" t="s">
        <v>841</v>
      </c>
      <c r="I17" s="460" t="s">
        <v>23</v>
      </c>
      <c r="J17" s="460" t="s">
        <v>34</v>
      </c>
      <c r="K17" s="461" t="s">
        <v>33</v>
      </c>
    </row>
    <row r="18" spans="3:11" ht="15.75" x14ac:dyDescent="0.2">
      <c r="C18" s="454" t="s">
        <v>1611</v>
      </c>
      <c r="D18" s="456" t="s">
        <v>22</v>
      </c>
      <c r="E18" s="457" t="s">
        <v>841</v>
      </c>
      <c r="F18" s="457" t="s">
        <v>32</v>
      </c>
      <c r="G18" s="457" t="s">
        <v>21</v>
      </c>
      <c r="H18" s="460" t="s">
        <v>31</v>
      </c>
      <c r="I18" s="460" t="s">
        <v>272</v>
      </c>
      <c r="J18" s="460" t="s">
        <v>34</v>
      </c>
      <c r="K18" s="461" t="s">
        <v>33</v>
      </c>
    </row>
    <row r="19" spans="3:11" ht="15.75" x14ac:dyDescent="0.2">
      <c r="C19" s="454" t="s">
        <v>1610</v>
      </c>
      <c r="D19" s="456" t="s">
        <v>22</v>
      </c>
      <c r="E19" s="457" t="s">
        <v>841</v>
      </c>
      <c r="F19" s="457" t="s">
        <v>32</v>
      </c>
      <c r="G19" s="457" t="s">
        <v>21</v>
      </c>
      <c r="H19" s="460" t="s">
        <v>31</v>
      </c>
      <c r="I19" s="460" t="s">
        <v>23</v>
      </c>
      <c r="J19" s="460" t="s">
        <v>34</v>
      </c>
      <c r="K19" s="461" t="s">
        <v>33</v>
      </c>
    </row>
    <row r="20" spans="3:11" ht="15.75" x14ac:dyDescent="0.2">
      <c r="C20" s="454" t="s">
        <v>1609</v>
      </c>
      <c r="D20" s="456" t="s">
        <v>22</v>
      </c>
      <c r="E20" s="457" t="s">
        <v>272</v>
      </c>
      <c r="F20" s="457" t="s">
        <v>32</v>
      </c>
      <c r="G20" s="457" t="s">
        <v>21</v>
      </c>
      <c r="H20" s="460" t="s">
        <v>841</v>
      </c>
      <c r="I20" s="460" t="s">
        <v>23</v>
      </c>
      <c r="J20" s="460" t="s">
        <v>34</v>
      </c>
      <c r="K20" s="461" t="s">
        <v>33</v>
      </c>
    </row>
    <row r="21" spans="3:11" ht="15.75" x14ac:dyDescent="0.2">
      <c r="C21" s="454" t="s">
        <v>1608</v>
      </c>
      <c r="D21" s="456" t="s">
        <v>22</v>
      </c>
      <c r="E21" s="457" t="s">
        <v>272</v>
      </c>
      <c r="F21" s="457" t="s">
        <v>841</v>
      </c>
      <c r="G21" s="457" t="s">
        <v>21</v>
      </c>
      <c r="H21" s="460" t="s">
        <v>31</v>
      </c>
      <c r="I21" s="460" t="s">
        <v>23</v>
      </c>
      <c r="J21" s="460" t="s">
        <v>34</v>
      </c>
      <c r="K21" s="461" t="s">
        <v>33</v>
      </c>
    </row>
    <row r="22" spans="3:11" ht="15.75" x14ac:dyDescent="0.2">
      <c r="C22" s="454" t="s">
        <v>1607</v>
      </c>
      <c r="D22" s="456" t="s">
        <v>22</v>
      </c>
      <c r="E22" s="457" t="s">
        <v>272</v>
      </c>
      <c r="F22" s="457" t="s">
        <v>32</v>
      </c>
      <c r="G22" s="457" t="s">
        <v>21</v>
      </c>
      <c r="H22" s="460" t="s">
        <v>31</v>
      </c>
      <c r="I22" s="460" t="s">
        <v>23</v>
      </c>
      <c r="J22" s="460" t="s">
        <v>34</v>
      </c>
      <c r="K22" s="461" t="s">
        <v>33</v>
      </c>
    </row>
    <row r="23" spans="3:11" ht="15.75" x14ac:dyDescent="0.2">
      <c r="C23" s="454" t="s">
        <v>1606</v>
      </c>
      <c r="D23" s="456" t="s">
        <v>22</v>
      </c>
      <c r="E23" s="457" t="s">
        <v>272</v>
      </c>
      <c r="F23" s="457" t="s">
        <v>841</v>
      </c>
      <c r="G23" s="457" t="s">
        <v>21</v>
      </c>
      <c r="H23" s="460" t="s">
        <v>31</v>
      </c>
      <c r="I23" s="460" t="s">
        <v>23</v>
      </c>
      <c r="J23" s="460" t="s">
        <v>34</v>
      </c>
      <c r="K23" s="461" t="s">
        <v>32</v>
      </c>
    </row>
    <row r="24" spans="3:11" ht="15.75" x14ac:dyDescent="0.2">
      <c r="C24" s="454" t="s">
        <v>1605</v>
      </c>
      <c r="D24" s="456" t="s">
        <v>22</v>
      </c>
      <c r="E24" s="457" t="s">
        <v>272</v>
      </c>
      <c r="F24" s="457" t="s">
        <v>841</v>
      </c>
      <c r="G24" s="457" t="s">
        <v>21</v>
      </c>
      <c r="H24" s="460" t="s">
        <v>31</v>
      </c>
      <c r="I24" s="460" t="s">
        <v>23</v>
      </c>
      <c r="J24" s="460" t="s">
        <v>32</v>
      </c>
      <c r="K24" s="461" t="s">
        <v>33</v>
      </c>
    </row>
    <row r="25" spans="3:11" ht="15.75" x14ac:dyDescent="0.2">
      <c r="C25" s="454" t="s">
        <v>1604</v>
      </c>
      <c r="D25" s="456" t="s">
        <v>31</v>
      </c>
      <c r="E25" s="457" t="s">
        <v>272</v>
      </c>
      <c r="F25" s="457" t="s">
        <v>32</v>
      </c>
      <c r="G25" s="457" t="s">
        <v>21</v>
      </c>
      <c r="H25" s="460" t="s">
        <v>841</v>
      </c>
      <c r="I25" s="460" t="s">
        <v>25</v>
      </c>
      <c r="J25" s="460" t="s">
        <v>34</v>
      </c>
      <c r="K25" s="461" t="s">
        <v>33</v>
      </c>
    </row>
    <row r="26" spans="3:11" ht="15.75" x14ac:dyDescent="0.2">
      <c r="C26" s="454" t="s">
        <v>1603</v>
      </c>
      <c r="D26" s="456" t="s">
        <v>21</v>
      </c>
      <c r="E26" s="457" t="s">
        <v>841</v>
      </c>
      <c r="F26" s="457" t="s">
        <v>32</v>
      </c>
      <c r="G26" s="457" t="s">
        <v>25</v>
      </c>
      <c r="H26" s="460" t="s">
        <v>31</v>
      </c>
      <c r="I26" s="460" t="s">
        <v>23</v>
      </c>
      <c r="J26" s="460" t="s">
        <v>34</v>
      </c>
      <c r="K26" s="461" t="s">
        <v>33</v>
      </c>
    </row>
    <row r="27" spans="3:11" ht="15.75" x14ac:dyDescent="0.2">
      <c r="C27" s="454" t="s">
        <v>1602</v>
      </c>
      <c r="D27" s="456" t="s">
        <v>21</v>
      </c>
      <c r="E27" s="457" t="s">
        <v>272</v>
      </c>
      <c r="F27" s="457" t="s">
        <v>32</v>
      </c>
      <c r="G27" s="457" t="s">
        <v>25</v>
      </c>
      <c r="H27" s="460" t="s">
        <v>841</v>
      </c>
      <c r="I27" s="460" t="s">
        <v>23</v>
      </c>
      <c r="J27" s="460" t="s">
        <v>34</v>
      </c>
      <c r="K27" s="461" t="s">
        <v>33</v>
      </c>
    </row>
    <row r="28" spans="3:11" ht="15.75" x14ac:dyDescent="0.2">
      <c r="C28" s="454" t="s">
        <v>1601</v>
      </c>
      <c r="D28" s="456" t="s">
        <v>21</v>
      </c>
      <c r="E28" s="457" t="s">
        <v>272</v>
      </c>
      <c r="F28" s="457" t="s">
        <v>841</v>
      </c>
      <c r="G28" s="457" t="s">
        <v>25</v>
      </c>
      <c r="H28" s="460" t="s">
        <v>31</v>
      </c>
      <c r="I28" s="460" t="s">
        <v>23</v>
      </c>
      <c r="J28" s="460" t="s">
        <v>34</v>
      </c>
      <c r="K28" s="461" t="s">
        <v>33</v>
      </c>
    </row>
    <row r="29" spans="3:11" ht="15.75" x14ac:dyDescent="0.2">
      <c r="C29" s="454" t="s">
        <v>1600</v>
      </c>
      <c r="D29" s="456" t="s">
        <v>21</v>
      </c>
      <c r="E29" s="457" t="s">
        <v>272</v>
      </c>
      <c r="F29" s="457" t="s">
        <v>32</v>
      </c>
      <c r="G29" s="457" t="s">
        <v>25</v>
      </c>
      <c r="H29" s="460" t="s">
        <v>31</v>
      </c>
      <c r="I29" s="460" t="s">
        <v>23</v>
      </c>
      <c r="J29" s="460" t="s">
        <v>34</v>
      </c>
      <c r="K29" s="461" t="s">
        <v>33</v>
      </c>
    </row>
    <row r="30" spans="3:11" ht="15.75" x14ac:dyDescent="0.2">
      <c r="C30" s="454" t="s">
        <v>1599</v>
      </c>
      <c r="D30" s="456" t="s">
        <v>21</v>
      </c>
      <c r="E30" s="457" t="s">
        <v>272</v>
      </c>
      <c r="F30" s="457" t="s">
        <v>841</v>
      </c>
      <c r="G30" s="457" t="s">
        <v>25</v>
      </c>
      <c r="H30" s="460" t="s">
        <v>31</v>
      </c>
      <c r="I30" s="460" t="s">
        <v>23</v>
      </c>
      <c r="J30" s="460" t="s">
        <v>34</v>
      </c>
      <c r="K30" s="461" t="s">
        <v>32</v>
      </c>
    </row>
    <row r="31" spans="3:11" ht="15.75" x14ac:dyDescent="0.2">
      <c r="C31" s="454" t="s">
        <v>1598</v>
      </c>
      <c r="D31" s="456" t="s">
        <v>21</v>
      </c>
      <c r="E31" s="457" t="s">
        <v>272</v>
      </c>
      <c r="F31" s="457" t="s">
        <v>841</v>
      </c>
      <c r="G31" s="457" t="s">
        <v>25</v>
      </c>
      <c r="H31" s="460" t="s">
        <v>31</v>
      </c>
      <c r="I31" s="460" t="s">
        <v>23</v>
      </c>
      <c r="J31" s="460" t="s">
        <v>32</v>
      </c>
      <c r="K31" s="461" t="s">
        <v>33</v>
      </c>
    </row>
    <row r="32" spans="3:11" ht="15.75" x14ac:dyDescent="0.2">
      <c r="C32" s="454" t="s">
        <v>1597</v>
      </c>
      <c r="D32" s="456" t="s">
        <v>22</v>
      </c>
      <c r="E32" s="457" t="s">
        <v>841</v>
      </c>
      <c r="F32" s="457" t="s">
        <v>32</v>
      </c>
      <c r="G32" s="457" t="s">
        <v>21</v>
      </c>
      <c r="H32" s="460" t="s">
        <v>31</v>
      </c>
      <c r="I32" s="460" t="s">
        <v>25</v>
      </c>
      <c r="J32" s="460" t="s">
        <v>34</v>
      </c>
      <c r="K32" s="461" t="s">
        <v>33</v>
      </c>
    </row>
    <row r="33" spans="3:11" ht="15.75" x14ac:dyDescent="0.2">
      <c r="C33" s="454" t="s">
        <v>1596</v>
      </c>
      <c r="D33" s="456" t="s">
        <v>22</v>
      </c>
      <c r="E33" s="457" t="s">
        <v>272</v>
      </c>
      <c r="F33" s="457" t="s">
        <v>32</v>
      </c>
      <c r="G33" s="457" t="s">
        <v>21</v>
      </c>
      <c r="H33" s="460" t="s">
        <v>841</v>
      </c>
      <c r="I33" s="460" t="s">
        <v>25</v>
      </c>
      <c r="J33" s="460" t="s">
        <v>34</v>
      </c>
      <c r="K33" s="461" t="s">
        <v>33</v>
      </c>
    </row>
    <row r="34" spans="3:11" ht="15.75" x14ac:dyDescent="0.2">
      <c r="C34" s="454" t="s">
        <v>1595</v>
      </c>
      <c r="D34" s="456" t="s">
        <v>22</v>
      </c>
      <c r="E34" s="457" t="s">
        <v>272</v>
      </c>
      <c r="F34" s="457" t="s">
        <v>841</v>
      </c>
      <c r="G34" s="457" t="s">
        <v>21</v>
      </c>
      <c r="H34" s="460" t="s">
        <v>31</v>
      </c>
      <c r="I34" s="460" t="s">
        <v>25</v>
      </c>
      <c r="J34" s="460" t="s">
        <v>34</v>
      </c>
      <c r="K34" s="461" t="s">
        <v>33</v>
      </c>
    </row>
    <row r="35" spans="3:11" ht="15.75" x14ac:dyDescent="0.2">
      <c r="C35" s="454" t="s">
        <v>1594</v>
      </c>
      <c r="D35" s="456" t="s">
        <v>22</v>
      </c>
      <c r="E35" s="457" t="s">
        <v>272</v>
      </c>
      <c r="F35" s="457" t="s">
        <v>32</v>
      </c>
      <c r="G35" s="457" t="s">
        <v>21</v>
      </c>
      <c r="H35" s="460" t="s">
        <v>31</v>
      </c>
      <c r="I35" s="460" t="s">
        <v>25</v>
      </c>
      <c r="J35" s="460" t="s">
        <v>34</v>
      </c>
      <c r="K35" s="461" t="s">
        <v>33</v>
      </c>
    </row>
    <row r="36" spans="3:11" ht="15.75" x14ac:dyDescent="0.2">
      <c r="C36" s="454" t="s">
        <v>1593</v>
      </c>
      <c r="D36" s="456" t="s">
        <v>22</v>
      </c>
      <c r="E36" s="457" t="s">
        <v>272</v>
      </c>
      <c r="F36" s="457" t="s">
        <v>841</v>
      </c>
      <c r="G36" s="457" t="s">
        <v>21</v>
      </c>
      <c r="H36" s="460" t="s">
        <v>31</v>
      </c>
      <c r="I36" s="460" t="s">
        <v>25</v>
      </c>
      <c r="J36" s="460" t="s">
        <v>34</v>
      </c>
      <c r="K36" s="461" t="s">
        <v>32</v>
      </c>
    </row>
    <row r="37" spans="3:11" ht="15.75" x14ac:dyDescent="0.2">
      <c r="C37" s="454" t="s">
        <v>1592</v>
      </c>
      <c r="D37" s="456" t="s">
        <v>22</v>
      </c>
      <c r="E37" s="457" t="s">
        <v>272</v>
      </c>
      <c r="F37" s="457" t="s">
        <v>841</v>
      </c>
      <c r="G37" s="457" t="s">
        <v>21</v>
      </c>
      <c r="H37" s="460" t="s">
        <v>31</v>
      </c>
      <c r="I37" s="460" t="s">
        <v>25</v>
      </c>
      <c r="J37" s="460" t="s">
        <v>32</v>
      </c>
      <c r="K37" s="461" t="s">
        <v>33</v>
      </c>
    </row>
    <row r="38" spans="3:11" ht="15.75" x14ac:dyDescent="0.2">
      <c r="C38" s="454" t="s">
        <v>1591</v>
      </c>
      <c r="D38" s="456" t="s">
        <v>21</v>
      </c>
      <c r="E38" s="457" t="s">
        <v>841</v>
      </c>
      <c r="F38" s="457" t="s">
        <v>22</v>
      </c>
      <c r="G38" s="457" t="s">
        <v>25</v>
      </c>
      <c r="H38" s="460" t="s">
        <v>32</v>
      </c>
      <c r="I38" s="460" t="s">
        <v>23</v>
      </c>
      <c r="J38" s="460" t="s">
        <v>34</v>
      </c>
      <c r="K38" s="461" t="s">
        <v>33</v>
      </c>
    </row>
    <row r="39" spans="3:11" ht="15.75" x14ac:dyDescent="0.2">
      <c r="C39" s="454" t="s">
        <v>1590</v>
      </c>
      <c r="D39" s="456" t="s">
        <v>21</v>
      </c>
      <c r="E39" s="457" t="s">
        <v>841</v>
      </c>
      <c r="F39" s="457" t="s">
        <v>22</v>
      </c>
      <c r="G39" s="457" t="s">
        <v>25</v>
      </c>
      <c r="H39" s="460" t="s">
        <v>31</v>
      </c>
      <c r="I39" s="460" t="s">
        <v>23</v>
      </c>
      <c r="J39" s="460" t="s">
        <v>34</v>
      </c>
      <c r="K39" s="461" t="s">
        <v>33</v>
      </c>
    </row>
    <row r="40" spans="3:11" ht="15.75" x14ac:dyDescent="0.2">
      <c r="C40" s="454" t="s">
        <v>1589</v>
      </c>
      <c r="D40" s="456" t="s">
        <v>21</v>
      </c>
      <c r="E40" s="457" t="s">
        <v>22</v>
      </c>
      <c r="F40" s="457" t="s">
        <v>32</v>
      </c>
      <c r="G40" s="457" t="s">
        <v>25</v>
      </c>
      <c r="H40" s="460" t="s">
        <v>31</v>
      </c>
      <c r="I40" s="460" t="s">
        <v>23</v>
      </c>
      <c r="J40" s="460" t="s">
        <v>34</v>
      </c>
      <c r="K40" s="461" t="s">
        <v>33</v>
      </c>
    </row>
    <row r="41" spans="3:11" ht="15.75" x14ac:dyDescent="0.2">
      <c r="C41" s="454" t="s">
        <v>1588</v>
      </c>
      <c r="D41" s="456" t="s">
        <v>21</v>
      </c>
      <c r="E41" s="457" t="s">
        <v>841</v>
      </c>
      <c r="F41" s="457" t="s">
        <v>22</v>
      </c>
      <c r="G41" s="457" t="s">
        <v>25</v>
      </c>
      <c r="H41" s="460" t="s">
        <v>31</v>
      </c>
      <c r="I41" s="460" t="s">
        <v>23</v>
      </c>
      <c r="J41" s="460" t="s">
        <v>34</v>
      </c>
      <c r="K41" s="461" t="s">
        <v>32</v>
      </c>
    </row>
    <row r="42" spans="3:11" ht="15.75" x14ac:dyDescent="0.2">
      <c r="C42" s="454" t="s">
        <v>1587</v>
      </c>
      <c r="D42" s="456" t="s">
        <v>21</v>
      </c>
      <c r="E42" s="457" t="s">
        <v>841</v>
      </c>
      <c r="F42" s="457" t="s">
        <v>22</v>
      </c>
      <c r="G42" s="457" t="s">
        <v>25</v>
      </c>
      <c r="H42" s="460" t="s">
        <v>31</v>
      </c>
      <c r="I42" s="460" t="s">
        <v>23</v>
      </c>
      <c r="J42" s="460" t="s">
        <v>32</v>
      </c>
      <c r="K42" s="461" t="s">
        <v>33</v>
      </c>
    </row>
    <row r="43" spans="3:11" ht="15.75" x14ac:dyDescent="0.2">
      <c r="C43" s="454" t="s">
        <v>1586</v>
      </c>
      <c r="D43" s="456" t="s">
        <v>21</v>
      </c>
      <c r="E43" s="457" t="s">
        <v>272</v>
      </c>
      <c r="F43" s="457" t="s">
        <v>22</v>
      </c>
      <c r="G43" s="457" t="s">
        <v>25</v>
      </c>
      <c r="H43" s="460" t="s">
        <v>841</v>
      </c>
      <c r="I43" s="460" t="s">
        <v>23</v>
      </c>
      <c r="J43" s="460" t="s">
        <v>34</v>
      </c>
      <c r="K43" s="461" t="s">
        <v>33</v>
      </c>
    </row>
    <row r="44" spans="3:11" ht="15.75" x14ac:dyDescent="0.2">
      <c r="C44" s="454" t="s">
        <v>1585</v>
      </c>
      <c r="D44" s="456" t="s">
        <v>21</v>
      </c>
      <c r="E44" s="457" t="s">
        <v>272</v>
      </c>
      <c r="F44" s="457" t="s">
        <v>22</v>
      </c>
      <c r="G44" s="457" t="s">
        <v>25</v>
      </c>
      <c r="H44" s="460" t="s">
        <v>32</v>
      </c>
      <c r="I44" s="460" t="s">
        <v>23</v>
      </c>
      <c r="J44" s="460" t="s">
        <v>34</v>
      </c>
      <c r="K44" s="461" t="s">
        <v>33</v>
      </c>
    </row>
    <row r="45" spans="3:11" ht="15.75" x14ac:dyDescent="0.2">
      <c r="C45" s="454" t="s">
        <v>1584</v>
      </c>
      <c r="D45" s="456" t="s">
        <v>21</v>
      </c>
      <c r="E45" s="457" t="s">
        <v>272</v>
      </c>
      <c r="F45" s="457" t="s">
        <v>22</v>
      </c>
      <c r="G45" s="457" t="s">
        <v>25</v>
      </c>
      <c r="H45" s="460" t="s">
        <v>841</v>
      </c>
      <c r="I45" s="460" t="s">
        <v>23</v>
      </c>
      <c r="J45" s="460" t="s">
        <v>34</v>
      </c>
      <c r="K45" s="461" t="s">
        <v>32</v>
      </c>
    </row>
    <row r="46" spans="3:11" ht="15.75" x14ac:dyDescent="0.2">
      <c r="C46" s="454" t="s">
        <v>1583</v>
      </c>
      <c r="D46" s="456" t="s">
        <v>21</v>
      </c>
      <c r="E46" s="457" t="s">
        <v>272</v>
      </c>
      <c r="F46" s="457" t="s">
        <v>22</v>
      </c>
      <c r="G46" s="457" t="s">
        <v>25</v>
      </c>
      <c r="H46" s="460" t="s">
        <v>841</v>
      </c>
      <c r="I46" s="460" t="s">
        <v>23</v>
      </c>
      <c r="J46" s="460" t="s">
        <v>32</v>
      </c>
      <c r="K46" s="461" t="s">
        <v>33</v>
      </c>
    </row>
    <row r="47" spans="3:11" ht="15.75" x14ac:dyDescent="0.2">
      <c r="C47" s="454" t="s">
        <v>1582</v>
      </c>
      <c r="D47" s="456" t="s">
        <v>21</v>
      </c>
      <c r="E47" s="457" t="s">
        <v>272</v>
      </c>
      <c r="F47" s="457" t="s">
        <v>22</v>
      </c>
      <c r="G47" s="457" t="s">
        <v>25</v>
      </c>
      <c r="H47" s="460" t="s">
        <v>31</v>
      </c>
      <c r="I47" s="460" t="s">
        <v>23</v>
      </c>
      <c r="J47" s="460" t="s">
        <v>34</v>
      </c>
      <c r="K47" s="461" t="s">
        <v>33</v>
      </c>
    </row>
    <row r="48" spans="3:11" ht="15.75" x14ac:dyDescent="0.2">
      <c r="C48" s="454" t="s">
        <v>1581</v>
      </c>
      <c r="D48" s="456" t="s">
        <v>21</v>
      </c>
      <c r="E48" s="457" t="s">
        <v>272</v>
      </c>
      <c r="F48" s="457" t="s">
        <v>841</v>
      </c>
      <c r="G48" s="457" t="s">
        <v>25</v>
      </c>
      <c r="H48" s="460" t="s">
        <v>31</v>
      </c>
      <c r="I48" s="460" t="s">
        <v>23</v>
      </c>
      <c r="J48" s="460" t="s">
        <v>34</v>
      </c>
      <c r="K48" s="461" t="s">
        <v>22</v>
      </c>
    </row>
    <row r="49" spans="3:11" ht="15.75" x14ac:dyDescent="0.2">
      <c r="C49" s="454" t="s">
        <v>1580</v>
      </c>
      <c r="D49" s="456" t="s">
        <v>21</v>
      </c>
      <c r="E49" s="457" t="s">
        <v>272</v>
      </c>
      <c r="F49" s="457" t="s">
        <v>841</v>
      </c>
      <c r="G49" s="457" t="s">
        <v>25</v>
      </c>
      <c r="H49" s="460" t="s">
        <v>31</v>
      </c>
      <c r="I49" s="460" t="s">
        <v>23</v>
      </c>
      <c r="J49" s="460" t="s">
        <v>22</v>
      </c>
      <c r="K49" s="461" t="s">
        <v>33</v>
      </c>
    </row>
    <row r="50" spans="3:11" ht="15.75" x14ac:dyDescent="0.2">
      <c r="C50" s="454" t="s">
        <v>1579</v>
      </c>
      <c r="D50" s="456" t="s">
        <v>21</v>
      </c>
      <c r="E50" s="457" t="s">
        <v>272</v>
      </c>
      <c r="F50" s="457" t="s">
        <v>22</v>
      </c>
      <c r="G50" s="457" t="s">
        <v>25</v>
      </c>
      <c r="H50" s="460" t="s">
        <v>31</v>
      </c>
      <c r="I50" s="460" t="s">
        <v>23</v>
      </c>
      <c r="J50" s="460" t="s">
        <v>34</v>
      </c>
      <c r="K50" s="461" t="s">
        <v>32</v>
      </c>
    </row>
    <row r="51" spans="3:11" ht="15.75" x14ac:dyDescent="0.2">
      <c r="C51" s="454" t="s">
        <v>1578</v>
      </c>
      <c r="D51" s="456" t="s">
        <v>21</v>
      </c>
      <c r="E51" s="457" t="s">
        <v>272</v>
      </c>
      <c r="F51" s="457" t="s">
        <v>22</v>
      </c>
      <c r="G51" s="457" t="s">
        <v>25</v>
      </c>
      <c r="H51" s="460" t="s">
        <v>31</v>
      </c>
      <c r="I51" s="460" t="s">
        <v>23</v>
      </c>
      <c r="J51" s="460" t="s">
        <v>32</v>
      </c>
      <c r="K51" s="461" t="s">
        <v>33</v>
      </c>
    </row>
    <row r="52" spans="3:11" ht="15.75" x14ac:dyDescent="0.2">
      <c r="C52" s="454" t="s">
        <v>1577</v>
      </c>
      <c r="D52" s="456" t="s">
        <v>21</v>
      </c>
      <c r="E52" s="457" t="s">
        <v>272</v>
      </c>
      <c r="F52" s="457" t="s">
        <v>841</v>
      </c>
      <c r="G52" s="457" t="s">
        <v>25</v>
      </c>
      <c r="H52" s="460" t="s">
        <v>31</v>
      </c>
      <c r="I52" s="460" t="s">
        <v>23</v>
      </c>
      <c r="J52" s="460" t="s">
        <v>22</v>
      </c>
      <c r="K52" s="461" t="s">
        <v>32</v>
      </c>
    </row>
    <row r="53" spans="3:11" ht="15.75" x14ac:dyDescent="0.2">
      <c r="C53" s="454" t="s">
        <v>1576</v>
      </c>
      <c r="D53" s="456" t="s">
        <v>31</v>
      </c>
      <c r="E53" s="457" t="s">
        <v>841</v>
      </c>
      <c r="F53" s="457" t="s">
        <v>20</v>
      </c>
      <c r="G53" s="457" t="s">
        <v>23</v>
      </c>
      <c r="H53" s="460" t="s">
        <v>32</v>
      </c>
      <c r="I53" s="460" t="s">
        <v>272</v>
      </c>
      <c r="J53" s="460" t="s">
        <v>34</v>
      </c>
      <c r="K53" s="461" t="s">
        <v>33</v>
      </c>
    </row>
    <row r="54" spans="3:11" ht="15.75" x14ac:dyDescent="0.2">
      <c r="C54" s="454" t="s">
        <v>1575</v>
      </c>
      <c r="D54" s="456" t="s">
        <v>22</v>
      </c>
      <c r="E54" s="457" t="s">
        <v>841</v>
      </c>
      <c r="F54" s="457" t="s">
        <v>32</v>
      </c>
      <c r="G54" s="457" t="s">
        <v>20</v>
      </c>
      <c r="H54" s="460" t="s">
        <v>31</v>
      </c>
      <c r="I54" s="460" t="s">
        <v>272</v>
      </c>
      <c r="J54" s="460" t="s">
        <v>34</v>
      </c>
      <c r="K54" s="461" t="s">
        <v>33</v>
      </c>
    </row>
    <row r="55" spans="3:11" ht="15.75" x14ac:dyDescent="0.2">
      <c r="C55" s="454" t="s">
        <v>1574</v>
      </c>
      <c r="D55" s="456" t="s">
        <v>22</v>
      </c>
      <c r="E55" s="457" t="s">
        <v>841</v>
      </c>
      <c r="F55" s="457" t="s">
        <v>20</v>
      </c>
      <c r="G55" s="457" t="s">
        <v>23</v>
      </c>
      <c r="H55" s="460" t="s">
        <v>32</v>
      </c>
      <c r="I55" s="460" t="s">
        <v>31</v>
      </c>
      <c r="J55" s="460" t="s">
        <v>34</v>
      </c>
      <c r="K55" s="461" t="s">
        <v>33</v>
      </c>
    </row>
    <row r="56" spans="3:11" ht="15.75" x14ac:dyDescent="0.2">
      <c r="C56" s="454" t="s">
        <v>1573</v>
      </c>
      <c r="D56" s="456" t="s">
        <v>22</v>
      </c>
      <c r="E56" s="457" t="s">
        <v>841</v>
      </c>
      <c r="F56" s="457" t="s">
        <v>20</v>
      </c>
      <c r="G56" s="457" t="s">
        <v>23</v>
      </c>
      <c r="H56" s="460" t="s">
        <v>32</v>
      </c>
      <c r="I56" s="460" t="s">
        <v>272</v>
      </c>
      <c r="J56" s="460" t="s">
        <v>34</v>
      </c>
      <c r="K56" s="461" t="s">
        <v>33</v>
      </c>
    </row>
    <row r="57" spans="3:11" ht="15.75" x14ac:dyDescent="0.2">
      <c r="C57" s="454" t="s">
        <v>1572</v>
      </c>
      <c r="D57" s="456" t="s">
        <v>22</v>
      </c>
      <c r="E57" s="457" t="s">
        <v>841</v>
      </c>
      <c r="F57" s="457" t="s">
        <v>20</v>
      </c>
      <c r="G57" s="457" t="s">
        <v>23</v>
      </c>
      <c r="H57" s="460" t="s">
        <v>31</v>
      </c>
      <c r="I57" s="460" t="s">
        <v>272</v>
      </c>
      <c r="J57" s="460" t="s">
        <v>34</v>
      </c>
      <c r="K57" s="461" t="s">
        <v>33</v>
      </c>
    </row>
    <row r="58" spans="3:11" ht="15.75" x14ac:dyDescent="0.2">
      <c r="C58" s="454" t="s">
        <v>1571</v>
      </c>
      <c r="D58" s="456" t="s">
        <v>22</v>
      </c>
      <c r="E58" s="457" t="s">
        <v>272</v>
      </c>
      <c r="F58" s="457" t="s">
        <v>20</v>
      </c>
      <c r="G58" s="457" t="s">
        <v>23</v>
      </c>
      <c r="H58" s="460" t="s">
        <v>32</v>
      </c>
      <c r="I58" s="460" t="s">
        <v>31</v>
      </c>
      <c r="J58" s="460" t="s">
        <v>34</v>
      </c>
      <c r="K58" s="461" t="s">
        <v>33</v>
      </c>
    </row>
    <row r="59" spans="3:11" ht="15.75" x14ac:dyDescent="0.2">
      <c r="C59" s="454" t="s">
        <v>1570</v>
      </c>
      <c r="D59" s="456" t="s">
        <v>22</v>
      </c>
      <c r="E59" s="457" t="s">
        <v>841</v>
      </c>
      <c r="F59" s="457" t="s">
        <v>20</v>
      </c>
      <c r="G59" s="457" t="s">
        <v>23</v>
      </c>
      <c r="H59" s="460" t="s">
        <v>31</v>
      </c>
      <c r="I59" s="460" t="s">
        <v>272</v>
      </c>
      <c r="J59" s="460" t="s">
        <v>34</v>
      </c>
      <c r="K59" s="461" t="s">
        <v>32</v>
      </c>
    </row>
    <row r="60" spans="3:11" ht="15.75" x14ac:dyDescent="0.2">
      <c r="C60" s="454" t="s">
        <v>1569</v>
      </c>
      <c r="D60" s="456" t="s">
        <v>22</v>
      </c>
      <c r="E60" s="457" t="s">
        <v>841</v>
      </c>
      <c r="F60" s="457" t="s">
        <v>20</v>
      </c>
      <c r="G60" s="457" t="s">
        <v>23</v>
      </c>
      <c r="H60" s="460" t="s">
        <v>31</v>
      </c>
      <c r="I60" s="460" t="s">
        <v>272</v>
      </c>
      <c r="J60" s="460" t="s">
        <v>32</v>
      </c>
      <c r="K60" s="461" t="s">
        <v>33</v>
      </c>
    </row>
    <row r="61" spans="3:11" ht="15.75" x14ac:dyDescent="0.2">
      <c r="C61" s="454" t="s">
        <v>1568</v>
      </c>
      <c r="D61" s="456" t="s">
        <v>31</v>
      </c>
      <c r="E61" s="457" t="s">
        <v>841</v>
      </c>
      <c r="F61" s="457" t="s">
        <v>20</v>
      </c>
      <c r="G61" s="457" t="s">
        <v>25</v>
      </c>
      <c r="H61" s="460" t="s">
        <v>32</v>
      </c>
      <c r="I61" s="460" t="s">
        <v>272</v>
      </c>
      <c r="J61" s="460" t="s">
        <v>34</v>
      </c>
      <c r="K61" s="461" t="s">
        <v>33</v>
      </c>
    </row>
    <row r="62" spans="3:11" ht="15.75" x14ac:dyDescent="0.2">
      <c r="C62" s="454" t="s">
        <v>1567</v>
      </c>
      <c r="D62" s="456" t="s">
        <v>31</v>
      </c>
      <c r="E62" s="457" t="s">
        <v>841</v>
      </c>
      <c r="F62" s="457" t="s">
        <v>20</v>
      </c>
      <c r="G62" s="457" t="s">
        <v>25</v>
      </c>
      <c r="H62" s="460" t="s">
        <v>32</v>
      </c>
      <c r="I62" s="460" t="s">
        <v>23</v>
      </c>
      <c r="J62" s="460" t="s">
        <v>34</v>
      </c>
      <c r="K62" s="461" t="s">
        <v>33</v>
      </c>
    </row>
    <row r="63" spans="3:11" ht="15.75" x14ac:dyDescent="0.2">
      <c r="C63" s="454" t="s">
        <v>1566</v>
      </c>
      <c r="D63" s="456" t="s">
        <v>32</v>
      </c>
      <c r="E63" s="457" t="s">
        <v>272</v>
      </c>
      <c r="F63" s="457" t="s">
        <v>20</v>
      </c>
      <c r="G63" s="457" t="s">
        <v>25</v>
      </c>
      <c r="H63" s="460" t="s">
        <v>841</v>
      </c>
      <c r="I63" s="460" t="s">
        <v>23</v>
      </c>
      <c r="J63" s="460" t="s">
        <v>34</v>
      </c>
      <c r="K63" s="461" t="s">
        <v>33</v>
      </c>
    </row>
    <row r="64" spans="3:11" ht="15.75" x14ac:dyDescent="0.2">
      <c r="C64" s="454" t="s">
        <v>1565</v>
      </c>
      <c r="D64" s="456" t="s">
        <v>31</v>
      </c>
      <c r="E64" s="457" t="s">
        <v>272</v>
      </c>
      <c r="F64" s="457" t="s">
        <v>20</v>
      </c>
      <c r="G64" s="457" t="s">
        <v>25</v>
      </c>
      <c r="H64" s="460" t="s">
        <v>841</v>
      </c>
      <c r="I64" s="460" t="s">
        <v>23</v>
      </c>
      <c r="J64" s="460" t="s">
        <v>34</v>
      </c>
      <c r="K64" s="461" t="s">
        <v>33</v>
      </c>
    </row>
    <row r="65" spans="3:11" ht="15.75" x14ac:dyDescent="0.2">
      <c r="C65" s="454" t="s">
        <v>1564</v>
      </c>
      <c r="D65" s="456" t="s">
        <v>31</v>
      </c>
      <c r="E65" s="457" t="s">
        <v>272</v>
      </c>
      <c r="F65" s="457" t="s">
        <v>20</v>
      </c>
      <c r="G65" s="457" t="s">
        <v>25</v>
      </c>
      <c r="H65" s="460" t="s">
        <v>32</v>
      </c>
      <c r="I65" s="460" t="s">
        <v>23</v>
      </c>
      <c r="J65" s="460" t="s">
        <v>34</v>
      </c>
      <c r="K65" s="461" t="s">
        <v>33</v>
      </c>
    </row>
    <row r="66" spans="3:11" ht="15.75" x14ac:dyDescent="0.2">
      <c r="C66" s="454" t="s">
        <v>1563</v>
      </c>
      <c r="D66" s="456" t="s">
        <v>31</v>
      </c>
      <c r="E66" s="457" t="s">
        <v>272</v>
      </c>
      <c r="F66" s="457" t="s">
        <v>20</v>
      </c>
      <c r="G66" s="457" t="s">
        <v>25</v>
      </c>
      <c r="H66" s="460" t="s">
        <v>841</v>
      </c>
      <c r="I66" s="460" t="s">
        <v>23</v>
      </c>
      <c r="J66" s="460" t="s">
        <v>34</v>
      </c>
      <c r="K66" s="461" t="s">
        <v>32</v>
      </c>
    </row>
    <row r="67" spans="3:11" ht="15.75" x14ac:dyDescent="0.2">
      <c r="C67" s="454" t="s">
        <v>1562</v>
      </c>
      <c r="D67" s="456" t="s">
        <v>31</v>
      </c>
      <c r="E67" s="457" t="s">
        <v>272</v>
      </c>
      <c r="F67" s="457" t="s">
        <v>20</v>
      </c>
      <c r="G67" s="457" t="s">
        <v>25</v>
      </c>
      <c r="H67" s="460" t="s">
        <v>841</v>
      </c>
      <c r="I67" s="460" t="s">
        <v>23</v>
      </c>
      <c r="J67" s="460" t="s">
        <v>32</v>
      </c>
      <c r="K67" s="461" t="s">
        <v>33</v>
      </c>
    </row>
    <row r="68" spans="3:11" ht="15.75" x14ac:dyDescent="0.2">
      <c r="C68" s="454" t="s">
        <v>1561</v>
      </c>
      <c r="D68" s="456" t="s">
        <v>22</v>
      </c>
      <c r="E68" s="457" t="s">
        <v>841</v>
      </c>
      <c r="F68" s="457" t="s">
        <v>20</v>
      </c>
      <c r="G68" s="457" t="s">
        <v>25</v>
      </c>
      <c r="H68" s="460" t="s">
        <v>32</v>
      </c>
      <c r="I68" s="460" t="s">
        <v>31</v>
      </c>
      <c r="J68" s="460" t="s">
        <v>34</v>
      </c>
      <c r="K68" s="461" t="s">
        <v>33</v>
      </c>
    </row>
    <row r="69" spans="3:11" ht="15.75" x14ac:dyDescent="0.2">
      <c r="C69" s="454" t="s">
        <v>1560</v>
      </c>
      <c r="D69" s="456" t="s">
        <v>22</v>
      </c>
      <c r="E69" s="457" t="s">
        <v>841</v>
      </c>
      <c r="F69" s="457" t="s">
        <v>20</v>
      </c>
      <c r="G69" s="457" t="s">
        <v>25</v>
      </c>
      <c r="H69" s="460" t="s">
        <v>32</v>
      </c>
      <c r="I69" s="460" t="s">
        <v>272</v>
      </c>
      <c r="J69" s="460" t="s">
        <v>34</v>
      </c>
      <c r="K69" s="461" t="s">
        <v>33</v>
      </c>
    </row>
    <row r="70" spans="3:11" ht="15.75" x14ac:dyDescent="0.2">
      <c r="C70" s="454" t="s">
        <v>1559</v>
      </c>
      <c r="D70" s="456" t="s">
        <v>22</v>
      </c>
      <c r="E70" s="457" t="s">
        <v>841</v>
      </c>
      <c r="F70" s="457" t="s">
        <v>20</v>
      </c>
      <c r="G70" s="457" t="s">
        <v>25</v>
      </c>
      <c r="H70" s="460" t="s">
        <v>31</v>
      </c>
      <c r="I70" s="460" t="s">
        <v>272</v>
      </c>
      <c r="J70" s="460" t="s">
        <v>34</v>
      </c>
      <c r="K70" s="461" t="s">
        <v>33</v>
      </c>
    </row>
    <row r="71" spans="3:11" ht="15.75" x14ac:dyDescent="0.2">
      <c r="C71" s="454" t="s">
        <v>1558</v>
      </c>
      <c r="D71" s="456" t="s">
        <v>22</v>
      </c>
      <c r="E71" s="457" t="s">
        <v>272</v>
      </c>
      <c r="F71" s="457" t="s">
        <v>20</v>
      </c>
      <c r="G71" s="457" t="s">
        <v>25</v>
      </c>
      <c r="H71" s="460" t="s">
        <v>32</v>
      </c>
      <c r="I71" s="460" t="s">
        <v>31</v>
      </c>
      <c r="J71" s="460" t="s">
        <v>34</v>
      </c>
      <c r="K71" s="461" t="s">
        <v>33</v>
      </c>
    </row>
    <row r="72" spans="3:11" ht="15.75" x14ac:dyDescent="0.2">
      <c r="C72" s="454" t="s">
        <v>1557</v>
      </c>
      <c r="D72" s="456" t="s">
        <v>22</v>
      </c>
      <c r="E72" s="457" t="s">
        <v>841</v>
      </c>
      <c r="F72" s="457" t="s">
        <v>20</v>
      </c>
      <c r="G72" s="457" t="s">
        <v>25</v>
      </c>
      <c r="H72" s="460" t="s">
        <v>31</v>
      </c>
      <c r="I72" s="460" t="s">
        <v>272</v>
      </c>
      <c r="J72" s="460" t="s">
        <v>34</v>
      </c>
      <c r="K72" s="461" t="s">
        <v>32</v>
      </c>
    </row>
    <row r="73" spans="3:11" ht="15.75" x14ac:dyDescent="0.2">
      <c r="C73" s="454" t="s">
        <v>1556</v>
      </c>
      <c r="D73" s="456" t="s">
        <v>22</v>
      </c>
      <c r="E73" s="457" t="s">
        <v>841</v>
      </c>
      <c r="F73" s="457" t="s">
        <v>20</v>
      </c>
      <c r="G73" s="457" t="s">
        <v>25</v>
      </c>
      <c r="H73" s="460" t="s">
        <v>31</v>
      </c>
      <c r="I73" s="460" t="s">
        <v>272</v>
      </c>
      <c r="J73" s="460" t="s">
        <v>32</v>
      </c>
      <c r="K73" s="461" t="s">
        <v>33</v>
      </c>
    </row>
    <row r="74" spans="3:11" ht="15.75" x14ac:dyDescent="0.2">
      <c r="C74" s="454" t="s">
        <v>1555</v>
      </c>
      <c r="D74" s="456" t="s">
        <v>22</v>
      </c>
      <c r="E74" s="457" t="s">
        <v>841</v>
      </c>
      <c r="F74" s="457" t="s">
        <v>20</v>
      </c>
      <c r="G74" s="457" t="s">
        <v>25</v>
      </c>
      <c r="H74" s="460" t="s">
        <v>32</v>
      </c>
      <c r="I74" s="460" t="s">
        <v>23</v>
      </c>
      <c r="J74" s="460" t="s">
        <v>34</v>
      </c>
      <c r="K74" s="461" t="s">
        <v>33</v>
      </c>
    </row>
    <row r="75" spans="3:11" ht="15.75" x14ac:dyDescent="0.2">
      <c r="C75" s="454" t="s">
        <v>1554</v>
      </c>
      <c r="D75" s="456" t="s">
        <v>22</v>
      </c>
      <c r="E75" s="457" t="s">
        <v>841</v>
      </c>
      <c r="F75" s="457" t="s">
        <v>20</v>
      </c>
      <c r="G75" s="457" t="s">
        <v>25</v>
      </c>
      <c r="H75" s="460" t="s">
        <v>31</v>
      </c>
      <c r="I75" s="460" t="s">
        <v>23</v>
      </c>
      <c r="J75" s="460" t="s">
        <v>34</v>
      </c>
      <c r="K75" s="461" t="s">
        <v>33</v>
      </c>
    </row>
    <row r="76" spans="3:11" ht="15.75" x14ac:dyDescent="0.2">
      <c r="C76" s="454" t="s">
        <v>1553</v>
      </c>
      <c r="D76" s="456" t="s">
        <v>22</v>
      </c>
      <c r="E76" s="457" t="s">
        <v>32</v>
      </c>
      <c r="F76" s="457" t="s">
        <v>20</v>
      </c>
      <c r="G76" s="457" t="s">
        <v>25</v>
      </c>
      <c r="H76" s="460" t="s">
        <v>31</v>
      </c>
      <c r="I76" s="460" t="s">
        <v>23</v>
      </c>
      <c r="J76" s="460" t="s">
        <v>34</v>
      </c>
      <c r="K76" s="461" t="s">
        <v>33</v>
      </c>
    </row>
    <row r="77" spans="3:11" ht="15.75" x14ac:dyDescent="0.2">
      <c r="C77" s="454" t="s">
        <v>1552</v>
      </c>
      <c r="D77" s="456" t="s">
        <v>22</v>
      </c>
      <c r="E77" s="457" t="s">
        <v>841</v>
      </c>
      <c r="F77" s="457" t="s">
        <v>20</v>
      </c>
      <c r="G77" s="457" t="s">
        <v>25</v>
      </c>
      <c r="H77" s="460" t="s">
        <v>31</v>
      </c>
      <c r="I77" s="460" t="s">
        <v>23</v>
      </c>
      <c r="J77" s="460" t="s">
        <v>34</v>
      </c>
      <c r="K77" s="461" t="s">
        <v>32</v>
      </c>
    </row>
    <row r="78" spans="3:11" ht="15.75" x14ac:dyDescent="0.2">
      <c r="C78" s="454" t="s">
        <v>1551</v>
      </c>
      <c r="D78" s="456" t="s">
        <v>22</v>
      </c>
      <c r="E78" s="457" t="s">
        <v>841</v>
      </c>
      <c r="F78" s="457" t="s">
        <v>20</v>
      </c>
      <c r="G78" s="457" t="s">
        <v>25</v>
      </c>
      <c r="H78" s="460" t="s">
        <v>31</v>
      </c>
      <c r="I78" s="460" t="s">
        <v>23</v>
      </c>
      <c r="J78" s="460" t="s">
        <v>32</v>
      </c>
      <c r="K78" s="461" t="s">
        <v>33</v>
      </c>
    </row>
    <row r="79" spans="3:11" ht="15.75" x14ac:dyDescent="0.2">
      <c r="C79" s="454" t="s">
        <v>1550</v>
      </c>
      <c r="D79" s="456" t="s">
        <v>22</v>
      </c>
      <c r="E79" s="457" t="s">
        <v>272</v>
      </c>
      <c r="F79" s="457" t="s">
        <v>20</v>
      </c>
      <c r="G79" s="457" t="s">
        <v>25</v>
      </c>
      <c r="H79" s="460" t="s">
        <v>841</v>
      </c>
      <c r="I79" s="460" t="s">
        <v>23</v>
      </c>
      <c r="J79" s="460" t="s">
        <v>34</v>
      </c>
      <c r="K79" s="461" t="s">
        <v>33</v>
      </c>
    </row>
    <row r="80" spans="3:11" ht="15.75" x14ac:dyDescent="0.2">
      <c r="C80" s="454" t="s">
        <v>1549</v>
      </c>
      <c r="D80" s="456" t="s">
        <v>22</v>
      </c>
      <c r="E80" s="457" t="s">
        <v>272</v>
      </c>
      <c r="F80" s="457" t="s">
        <v>20</v>
      </c>
      <c r="G80" s="457" t="s">
        <v>25</v>
      </c>
      <c r="H80" s="460" t="s">
        <v>32</v>
      </c>
      <c r="I80" s="460" t="s">
        <v>23</v>
      </c>
      <c r="J80" s="460" t="s">
        <v>34</v>
      </c>
      <c r="K80" s="461" t="s">
        <v>33</v>
      </c>
    </row>
    <row r="81" spans="3:11" ht="15.75" x14ac:dyDescent="0.2">
      <c r="C81" s="454" t="s">
        <v>1548</v>
      </c>
      <c r="D81" s="456" t="s">
        <v>22</v>
      </c>
      <c r="E81" s="457" t="s">
        <v>272</v>
      </c>
      <c r="F81" s="457" t="s">
        <v>20</v>
      </c>
      <c r="G81" s="457" t="s">
        <v>25</v>
      </c>
      <c r="H81" s="460" t="s">
        <v>841</v>
      </c>
      <c r="I81" s="460" t="s">
        <v>23</v>
      </c>
      <c r="J81" s="460" t="s">
        <v>34</v>
      </c>
      <c r="K81" s="461" t="s">
        <v>32</v>
      </c>
    </row>
    <row r="82" spans="3:11" ht="15.75" x14ac:dyDescent="0.2">
      <c r="C82" s="454" t="s">
        <v>1547</v>
      </c>
      <c r="D82" s="456" t="s">
        <v>22</v>
      </c>
      <c r="E82" s="457" t="s">
        <v>272</v>
      </c>
      <c r="F82" s="457" t="s">
        <v>20</v>
      </c>
      <c r="G82" s="457" t="s">
        <v>25</v>
      </c>
      <c r="H82" s="460" t="s">
        <v>841</v>
      </c>
      <c r="I82" s="460" t="s">
        <v>23</v>
      </c>
      <c r="J82" s="460" t="s">
        <v>32</v>
      </c>
      <c r="K82" s="461" t="s">
        <v>33</v>
      </c>
    </row>
    <row r="83" spans="3:11" ht="15.75" x14ac:dyDescent="0.2">
      <c r="C83" s="454" t="s">
        <v>1546</v>
      </c>
      <c r="D83" s="456" t="s">
        <v>22</v>
      </c>
      <c r="E83" s="457" t="s">
        <v>272</v>
      </c>
      <c r="F83" s="457" t="s">
        <v>20</v>
      </c>
      <c r="G83" s="457" t="s">
        <v>25</v>
      </c>
      <c r="H83" s="460" t="s">
        <v>31</v>
      </c>
      <c r="I83" s="460" t="s">
        <v>23</v>
      </c>
      <c r="J83" s="460" t="s">
        <v>34</v>
      </c>
      <c r="K83" s="461" t="s">
        <v>33</v>
      </c>
    </row>
    <row r="84" spans="3:11" ht="15.75" x14ac:dyDescent="0.2">
      <c r="C84" s="454" t="s">
        <v>1545</v>
      </c>
      <c r="D84" s="456" t="s">
        <v>31</v>
      </c>
      <c r="E84" s="457" t="s">
        <v>272</v>
      </c>
      <c r="F84" s="457" t="s">
        <v>20</v>
      </c>
      <c r="G84" s="457" t="s">
        <v>25</v>
      </c>
      <c r="H84" s="460" t="s">
        <v>841</v>
      </c>
      <c r="I84" s="460" t="s">
        <v>23</v>
      </c>
      <c r="J84" s="460" t="s">
        <v>34</v>
      </c>
      <c r="K84" s="461" t="s">
        <v>22</v>
      </c>
    </row>
    <row r="85" spans="3:11" ht="15.75" x14ac:dyDescent="0.2">
      <c r="C85" s="454" t="s">
        <v>1544</v>
      </c>
      <c r="D85" s="456" t="s">
        <v>31</v>
      </c>
      <c r="E85" s="457" t="s">
        <v>272</v>
      </c>
      <c r="F85" s="457" t="s">
        <v>20</v>
      </c>
      <c r="G85" s="457" t="s">
        <v>25</v>
      </c>
      <c r="H85" s="460" t="s">
        <v>841</v>
      </c>
      <c r="I85" s="460" t="s">
        <v>23</v>
      </c>
      <c r="J85" s="460" t="s">
        <v>22</v>
      </c>
      <c r="K85" s="461" t="s">
        <v>33</v>
      </c>
    </row>
    <row r="86" spans="3:11" ht="15.75" x14ac:dyDescent="0.2">
      <c r="C86" s="454" t="s">
        <v>1543</v>
      </c>
      <c r="D86" s="456" t="s">
        <v>22</v>
      </c>
      <c r="E86" s="457" t="s">
        <v>272</v>
      </c>
      <c r="F86" s="457" t="s">
        <v>20</v>
      </c>
      <c r="G86" s="457" t="s">
        <v>25</v>
      </c>
      <c r="H86" s="460" t="s">
        <v>31</v>
      </c>
      <c r="I86" s="460" t="s">
        <v>23</v>
      </c>
      <c r="J86" s="460" t="s">
        <v>34</v>
      </c>
      <c r="K86" s="461" t="s">
        <v>32</v>
      </c>
    </row>
    <row r="87" spans="3:11" ht="15.75" x14ac:dyDescent="0.2">
      <c r="C87" s="454" t="s">
        <v>1542</v>
      </c>
      <c r="D87" s="456" t="s">
        <v>22</v>
      </c>
      <c r="E87" s="457" t="s">
        <v>272</v>
      </c>
      <c r="F87" s="457" t="s">
        <v>20</v>
      </c>
      <c r="G87" s="457" t="s">
        <v>25</v>
      </c>
      <c r="H87" s="460" t="s">
        <v>31</v>
      </c>
      <c r="I87" s="460" t="s">
        <v>23</v>
      </c>
      <c r="J87" s="460" t="s">
        <v>32</v>
      </c>
      <c r="K87" s="461" t="s">
        <v>33</v>
      </c>
    </row>
    <row r="88" spans="3:11" ht="15.75" x14ac:dyDescent="0.2">
      <c r="C88" s="454" t="s">
        <v>1541</v>
      </c>
      <c r="D88" s="456" t="s">
        <v>31</v>
      </c>
      <c r="E88" s="457" t="s">
        <v>272</v>
      </c>
      <c r="F88" s="457" t="s">
        <v>20</v>
      </c>
      <c r="G88" s="457" t="s">
        <v>25</v>
      </c>
      <c r="H88" s="460" t="s">
        <v>841</v>
      </c>
      <c r="I88" s="460" t="s">
        <v>23</v>
      </c>
      <c r="J88" s="460" t="s">
        <v>22</v>
      </c>
      <c r="K88" s="461" t="s">
        <v>32</v>
      </c>
    </row>
    <row r="89" spans="3:11" ht="15.75" x14ac:dyDescent="0.2">
      <c r="C89" s="454" t="s">
        <v>1540</v>
      </c>
      <c r="D89" s="456" t="s">
        <v>31</v>
      </c>
      <c r="E89" s="457" t="s">
        <v>841</v>
      </c>
      <c r="F89" s="457" t="s">
        <v>20</v>
      </c>
      <c r="G89" s="457" t="s">
        <v>21</v>
      </c>
      <c r="H89" s="460" t="s">
        <v>32</v>
      </c>
      <c r="I89" s="460" t="s">
        <v>272</v>
      </c>
      <c r="J89" s="460" t="s">
        <v>34</v>
      </c>
      <c r="K89" s="461" t="s">
        <v>33</v>
      </c>
    </row>
    <row r="90" spans="3:11" ht="15.75" x14ac:dyDescent="0.2">
      <c r="C90" s="454" t="s">
        <v>1539</v>
      </c>
      <c r="D90" s="456" t="s">
        <v>31</v>
      </c>
      <c r="E90" s="457" t="s">
        <v>841</v>
      </c>
      <c r="F90" s="457" t="s">
        <v>20</v>
      </c>
      <c r="G90" s="457" t="s">
        <v>21</v>
      </c>
      <c r="H90" s="460" t="s">
        <v>32</v>
      </c>
      <c r="I90" s="460" t="s">
        <v>23</v>
      </c>
      <c r="J90" s="460" t="s">
        <v>34</v>
      </c>
      <c r="K90" s="461" t="s">
        <v>33</v>
      </c>
    </row>
    <row r="91" spans="3:11" ht="15.75" x14ac:dyDescent="0.2">
      <c r="C91" s="454" t="s">
        <v>1538</v>
      </c>
      <c r="D91" s="456" t="s">
        <v>32</v>
      </c>
      <c r="E91" s="457" t="s">
        <v>272</v>
      </c>
      <c r="F91" s="457" t="s">
        <v>20</v>
      </c>
      <c r="G91" s="457" t="s">
        <v>21</v>
      </c>
      <c r="H91" s="460" t="s">
        <v>841</v>
      </c>
      <c r="I91" s="460" t="s">
        <v>23</v>
      </c>
      <c r="J91" s="460" t="s">
        <v>34</v>
      </c>
      <c r="K91" s="461" t="s">
        <v>33</v>
      </c>
    </row>
    <row r="92" spans="3:11" ht="15.75" x14ac:dyDescent="0.2">
      <c r="C92" s="454" t="s">
        <v>1537</v>
      </c>
      <c r="D92" s="456" t="s">
        <v>31</v>
      </c>
      <c r="E92" s="457" t="s">
        <v>272</v>
      </c>
      <c r="F92" s="457" t="s">
        <v>20</v>
      </c>
      <c r="G92" s="457" t="s">
        <v>21</v>
      </c>
      <c r="H92" s="460" t="s">
        <v>841</v>
      </c>
      <c r="I92" s="460" t="s">
        <v>23</v>
      </c>
      <c r="J92" s="460" t="s">
        <v>34</v>
      </c>
      <c r="K92" s="461" t="s">
        <v>33</v>
      </c>
    </row>
    <row r="93" spans="3:11" ht="15.75" x14ac:dyDescent="0.2">
      <c r="C93" s="454" t="s">
        <v>1536</v>
      </c>
      <c r="D93" s="456" t="s">
        <v>31</v>
      </c>
      <c r="E93" s="457" t="s">
        <v>272</v>
      </c>
      <c r="F93" s="457" t="s">
        <v>20</v>
      </c>
      <c r="G93" s="457" t="s">
        <v>21</v>
      </c>
      <c r="H93" s="460" t="s">
        <v>32</v>
      </c>
      <c r="I93" s="460" t="s">
        <v>23</v>
      </c>
      <c r="J93" s="460" t="s">
        <v>34</v>
      </c>
      <c r="K93" s="461" t="s">
        <v>33</v>
      </c>
    </row>
    <row r="94" spans="3:11" ht="15.75" x14ac:dyDescent="0.2">
      <c r="C94" s="454" t="s">
        <v>1535</v>
      </c>
      <c r="D94" s="456" t="s">
        <v>31</v>
      </c>
      <c r="E94" s="457" t="s">
        <v>272</v>
      </c>
      <c r="F94" s="457" t="s">
        <v>20</v>
      </c>
      <c r="G94" s="457" t="s">
        <v>21</v>
      </c>
      <c r="H94" s="460" t="s">
        <v>841</v>
      </c>
      <c r="I94" s="460" t="s">
        <v>23</v>
      </c>
      <c r="J94" s="460" t="s">
        <v>34</v>
      </c>
      <c r="K94" s="461" t="s">
        <v>32</v>
      </c>
    </row>
    <row r="95" spans="3:11" ht="15.75" x14ac:dyDescent="0.2">
      <c r="C95" s="454" t="s">
        <v>1534</v>
      </c>
      <c r="D95" s="456" t="s">
        <v>31</v>
      </c>
      <c r="E95" s="457" t="s">
        <v>272</v>
      </c>
      <c r="F95" s="457" t="s">
        <v>20</v>
      </c>
      <c r="G95" s="457" t="s">
        <v>21</v>
      </c>
      <c r="H95" s="460" t="s">
        <v>841</v>
      </c>
      <c r="I95" s="460" t="s">
        <v>23</v>
      </c>
      <c r="J95" s="460" t="s">
        <v>32</v>
      </c>
      <c r="K95" s="461" t="s">
        <v>33</v>
      </c>
    </row>
    <row r="96" spans="3:11" ht="15.75" x14ac:dyDescent="0.2">
      <c r="C96" s="454" t="s">
        <v>1533</v>
      </c>
      <c r="D96" s="456" t="s">
        <v>22</v>
      </c>
      <c r="E96" s="457" t="s">
        <v>841</v>
      </c>
      <c r="F96" s="457" t="s">
        <v>20</v>
      </c>
      <c r="G96" s="457" t="s">
        <v>21</v>
      </c>
      <c r="H96" s="460" t="s">
        <v>32</v>
      </c>
      <c r="I96" s="460" t="s">
        <v>31</v>
      </c>
      <c r="J96" s="460" t="s">
        <v>34</v>
      </c>
      <c r="K96" s="461" t="s">
        <v>33</v>
      </c>
    </row>
    <row r="97" spans="3:11" ht="15.75" x14ac:dyDescent="0.2">
      <c r="C97" s="454" t="s">
        <v>1532</v>
      </c>
      <c r="D97" s="456" t="s">
        <v>22</v>
      </c>
      <c r="E97" s="457" t="s">
        <v>841</v>
      </c>
      <c r="F97" s="457" t="s">
        <v>20</v>
      </c>
      <c r="G97" s="457" t="s">
        <v>21</v>
      </c>
      <c r="H97" s="460" t="s">
        <v>32</v>
      </c>
      <c r="I97" s="460" t="s">
        <v>272</v>
      </c>
      <c r="J97" s="460" t="s">
        <v>34</v>
      </c>
      <c r="K97" s="461" t="s">
        <v>33</v>
      </c>
    </row>
    <row r="98" spans="3:11" ht="15.75" x14ac:dyDescent="0.2">
      <c r="C98" s="454" t="s">
        <v>1531</v>
      </c>
      <c r="D98" s="456" t="s">
        <v>22</v>
      </c>
      <c r="E98" s="457" t="s">
        <v>841</v>
      </c>
      <c r="F98" s="457" t="s">
        <v>20</v>
      </c>
      <c r="G98" s="457" t="s">
        <v>21</v>
      </c>
      <c r="H98" s="460" t="s">
        <v>31</v>
      </c>
      <c r="I98" s="460" t="s">
        <v>272</v>
      </c>
      <c r="J98" s="460" t="s">
        <v>34</v>
      </c>
      <c r="K98" s="461" t="s">
        <v>33</v>
      </c>
    </row>
    <row r="99" spans="3:11" ht="15.75" x14ac:dyDescent="0.2">
      <c r="C99" s="454" t="s">
        <v>1530</v>
      </c>
      <c r="D99" s="456" t="s">
        <v>22</v>
      </c>
      <c r="E99" s="457" t="s">
        <v>272</v>
      </c>
      <c r="F99" s="457" t="s">
        <v>20</v>
      </c>
      <c r="G99" s="457" t="s">
        <v>21</v>
      </c>
      <c r="H99" s="460" t="s">
        <v>32</v>
      </c>
      <c r="I99" s="460" t="s">
        <v>31</v>
      </c>
      <c r="J99" s="460" t="s">
        <v>34</v>
      </c>
      <c r="K99" s="461" t="s">
        <v>33</v>
      </c>
    </row>
    <row r="100" spans="3:11" ht="15.75" x14ac:dyDescent="0.2">
      <c r="C100" s="454" t="s">
        <v>1529</v>
      </c>
      <c r="D100" s="456" t="s">
        <v>22</v>
      </c>
      <c r="E100" s="457" t="s">
        <v>841</v>
      </c>
      <c r="F100" s="457" t="s">
        <v>20</v>
      </c>
      <c r="G100" s="457" t="s">
        <v>21</v>
      </c>
      <c r="H100" s="460" t="s">
        <v>31</v>
      </c>
      <c r="I100" s="460" t="s">
        <v>272</v>
      </c>
      <c r="J100" s="460" t="s">
        <v>34</v>
      </c>
      <c r="K100" s="461" t="s">
        <v>32</v>
      </c>
    </row>
    <row r="101" spans="3:11" ht="15.75" x14ac:dyDescent="0.2">
      <c r="C101" s="454" t="s">
        <v>1528</v>
      </c>
      <c r="D101" s="456" t="s">
        <v>22</v>
      </c>
      <c r="E101" s="457" t="s">
        <v>841</v>
      </c>
      <c r="F101" s="457" t="s">
        <v>20</v>
      </c>
      <c r="G101" s="457" t="s">
        <v>21</v>
      </c>
      <c r="H101" s="460" t="s">
        <v>31</v>
      </c>
      <c r="I101" s="460" t="s">
        <v>272</v>
      </c>
      <c r="J101" s="460" t="s">
        <v>32</v>
      </c>
      <c r="K101" s="461" t="s">
        <v>33</v>
      </c>
    </row>
    <row r="102" spans="3:11" ht="15.75" x14ac:dyDescent="0.2">
      <c r="C102" s="454" t="s">
        <v>1527</v>
      </c>
      <c r="D102" s="456" t="s">
        <v>22</v>
      </c>
      <c r="E102" s="457" t="s">
        <v>841</v>
      </c>
      <c r="F102" s="457" t="s">
        <v>20</v>
      </c>
      <c r="G102" s="457" t="s">
        <v>21</v>
      </c>
      <c r="H102" s="460" t="s">
        <v>32</v>
      </c>
      <c r="I102" s="460" t="s">
        <v>23</v>
      </c>
      <c r="J102" s="460" t="s">
        <v>34</v>
      </c>
      <c r="K102" s="461" t="s">
        <v>33</v>
      </c>
    </row>
    <row r="103" spans="3:11" ht="15.75" x14ac:dyDescent="0.2">
      <c r="C103" s="454" t="s">
        <v>1526</v>
      </c>
      <c r="D103" s="456" t="s">
        <v>22</v>
      </c>
      <c r="E103" s="457" t="s">
        <v>841</v>
      </c>
      <c r="F103" s="457" t="s">
        <v>20</v>
      </c>
      <c r="G103" s="457" t="s">
        <v>21</v>
      </c>
      <c r="H103" s="460" t="s">
        <v>31</v>
      </c>
      <c r="I103" s="460" t="s">
        <v>23</v>
      </c>
      <c r="J103" s="460" t="s">
        <v>34</v>
      </c>
      <c r="K103" s="461" t="s">
        <v>33</v>
      </c>
    </row>
    <row r="104" spans="3:11" ht="15.75" x14ac:dyDescent="0.2">
      <c r="C104" s="454" t="s">
        <v>1525</v>
      </c>
      <c r="D104" s="456" t="s">
        <v>22</v>
      </c>
      <c r="E104" s="457" t="s">
        <v>32</v>
      </c>
      <c r="F104" s="457" t="s">
        <v>20</v>
      </c>
      <c r="G104" s="457" t="s">
        <v>21</v>
      </c>
      <c r="H104" s="460" t="s">
        <v>31</v>
      </c>
      <c r="I104" s="460" t="s">
        <v>23</v>
      </c>
      <c r="J104" s="460" t="s">
        <v>34</v>
      </c>
      <c r="K104" s="461" t="s">
        <v>33</v>
      </c>
    </row>
    <row r="105" spans="3:11" ht="15.75" x14ac:dyDescent="0.2">
      <c r="C105" s="454" t="s">
        <v>1524</v>
      </c>
      <c r="D105" s="456" t="s">
        <v>22</v>
      </c>
      <c r="E105" s="457" t="s">
        <v>841</v>
      </c>
      <c r="F105" s="457" t="s">
        <v>20</v>
      </c>
      <c r="G105" s="457" t="s">
        <v>21</v>
      </c>
      <c r="H105" s="460" t="s">
        <v>31</v>
      </c>
      <c r="I105" s="460" t="s">
        <v>23</v>
      </c>
      <c r="J105" s="460" t="s">
        <v>34</v>
      </c>
      <c r="K105" s="461" t="s">
        <v>32</v>
      </c>
    </row>
    <row r="106" spans="3:11" ht="15.75" x14ac:dyDescent="0.2">
      <c r="C106" s="454" t="s">
        <v>1523</v>
      </c>
      <c r="D106" s="456" t="s">
        <v>22</v>
      </c>
      <c r="E106" s="457" t="s">
        <v>841</v>
      </c>
      <c r="F106" s="457" t="s">
        <v>20</v>
      </c>
      <c r="G106" s="457" t="s">
        <v>21</v>
      </c>
      <c r="H106" s="460" t="s">
        <v>31</v>
      </c>
      <c r="I106" s="460" t="s">
        <v>23</v>
      </c>
      <c r="J106" s="460" t="s">
        <v>32</v>
      </c>
      <c r="K106" s="461" t="s">
        <v>33</v>
      </c>
    </row>
    <row r="107" spans="3:11" ht="15.75" x14ac:dyDescent="0.2">
      <c r="C107" s="454" t="s">
        <v>1522</v>
      </c>
      <c r="D107" s="456" t="s">
        <v>22</v>
      </c>
      <c r="E107" s="457" t="s">
        <v>272</v>
      </c>
      <c r="F107" s="457" t="s">
        <v>20</v>
      </c>
      <c r="G107" s="457" t="s">
        <v>21</v>
      </c>
      <c r="H107" s="460" t="s">
        <v>841</v>
      </c>
      <c r="I107" s="460" t="s">
        <v>23</v>
      </c>
      <c r="J107" s="460" t="s">
        <v>34</v>
      </c>
      <c r="K107" s="461" t="s">
        <v>33</v>
      </c>
    </row>
    <row r="108" spans="3:11" ht="15.75" x14ac:dyDescent="0.2">
      <c r="C108" s="454" t="s">
        <v>1521</v>
      </c>
      <c r="D108" s="456" t="s">
        <v>22</v>
      </c>
      <c r="E108" s="457" t="s">
        <v>272</v>
      </c>
      <c r="F108" s="457" t="s">
        <v>20</v>
      </c>
      <c r="G108" s="457" t="s">
        <v>21</v>
      </c>
      <c r="H108" s="460" t="s">
        <v>32</v>
      </c>
      <c r="I108" s="460" t="s">
        <v>23</v>
      </c>
      <c r="J108" s="460" t="s">
        <v>34</v>
      </c>
      <c r="K108" s="461" t="s">
        <v>33</v>
      </c>
    </row>
    <row r="109" spans="3:11" ht="15.75" x14ac:dyDescent="0.2">
      <c r="C109" s="454" t="s">
        <v>1520</v>
      </c>
      <c r="D109" s="456" t="s">
        <v>22</v>
      </c>
      <c r="E109" s="457" t="s">
        <v>272</v>
      </c>
      <c r="F109" s="457" t="s">
        <v>20</v>
      </c>
      <c r="G109" s="457" t="s">
        <v>21</v>
      </c>
      <c r="H109" s="460" t="s">
        <v>841</v>
      </c>
      <c r="I109" s="460" t="s">
        <v>23</v>
      </c>
      <c r="J109" s="460" t="s">
        <v>34</v>
      </c>
      <c r="K109" s="461" t="s">
        <v>32</v>
      </c>
    </row>
    <row r="110" spans="3:11" ht="15.75" x14ac:dyDescent="0.2">
      <c r="C110" s="454" t="s">
        <v>1519</v>
      </c>
      <c r="D110" s="456" t="s">
        <v>22</v>
      </c>
      <c r="E110" s="457" t="s">
        <v>272</v>
      </c>
      <c r="F110" s="457" t="s">
        <v>20</v>
      </c>
      <c r="G110" s="457" t="s">
        <v>21</v>
      </c>
      <c r="H110" s="460" t="s">
        <v>841</v>
      </c>
      <c r="I110" s="460" t="s">
        <v>23</v>
      </c>
      <c r="J110" s="460" t="s">
        <v>32</v>
      </c>
      <c r="K110" s="461" t="s">
        <v>33</v>
      </c>
    </row>
    <row r="111" spans="3:11" ht="15.75" x14ac:dyDescent="0.2">
      <c r="C111" s="454" t="s">
        <v>1518</v>
      </c>
      <c r="D111" s="456" t="s">
        <v>22</v>
      </c>
      <c r="E111" s="457" t="s">
        <v>272</v>
      </c>
      <c r="F111" s="457" t="s">
        <v>20</v>
      </c>
      <c r="G111" s="457" t="s">
        <v>21</v>
      </c>
      <c r="H111" s="460" t="s">
        <v>31</v>
      </c>
      <c r="I111" s="460" t="s">
        <v>23</v>
      </c>
      <c r="J111" s="460" t="s">
        <v>34</v>
      </c>
      <c r="K111" s="461" t="s">
        <v>33</v>
      </c>
    </row>
    <row r="112" spans="3:11" ht="15.75" x14ac:dyDescent="0.2">
      <c r="C112" s="454" t="s">
        <v>1517</v>
      </c>
      <c r="D112" s="456" t="s">
        <v>31</v>
      </c>
      <c r="E112" s="457" t="s">
        <v>272</v>
      </c>
      <c r="F112" s="457" t="s">
        <v>20</v>
      </c>
      <c r="G112" s="457" t="s">
        <v>21</v>
      </c>
      <c r="H112" s="460" t="s">
        <v>841</v>
      </c>
      <c r="I112" s="460" t="s">
        <v>23</v>
      </c>
      <c r="J112" s="460" t="s">
        <v>34</v>
      </c>
      <c r="K112" s="461" t="s">
        <v>22</v>
      </c>
    </row>
    <row r="113" spans="3:11" ht="15.75" x14ac:dyDescent="0.2">
      <c r="C113" s="454" t="s">
        <v>1516</v>
      </c>
      <c r="D113" s="456" t="s">
        <v>31</v>
      </c>
      <c r="E113" s="457" t="s">
        <v>272</v>
      </c>
      <c r="F113" s="457" t="s">
        <v>20</v>
      </c>
      <c r="G113" s="457" t="s">
        <v>21</v>
      </c>
      <c r="H113" s="460" t="s">
        <v>841</v>
      </c>
      <c r="I113" s="460" t="s">
        <v>23</v>
      </c>
      <c r="J113" s="460" t="s">
        <v>22</v>
      </c>
      <c r="K113" s="461" t="s">
        <v>33</v>
      </c>
    </row>
    <row r="114" spans="3:11" ht="15.75" x14ac:dyDescent="0.2">
      <c r="C114" s="454" t="s">
        <v>1515</v>
      </c>
      <c r="D114" s="456" t="s">
        <v>22</v>
      </c>
      <c r="E114" s="457" t="s">
        <v>272</v>
      </c>
      <c r="F114" s="457" t="s">
        <v>20</v>
      </c>
      <c r="G114" s="457" t="s">
        <v>21</v>
      </c>
      <c r="H114" s="460" t="s">
        <v>31</v>
      </c>
      <c r="I114" s="460" t="s">
        <v>23</v>
      </c>
      <c r="J114" s="460" t="s">
        <v>34</v>
      </c>
      <c r="K114" s="461" t="s">
        <v>32</v>
      </c>
    </row>
    <row r="115" spans="3:11" ht="15.75" x14ac:dyDescent="0.2">
      <c r="C115" s="454" t="s">
        <v>1514</v>
      </c>
      <c r="D115" s="456" t="s">
        <v>22</v>
      </c>
      <c r="E115" s="457" t="s">
        <v>272</v>
      </c>
      <c r="F115" s="457" t="s">
        <v>20</v>
      </c>
      <c r="G115" s="457" t="s">
        <v>21</v>
      </c>
      <c r="H115" s="460" t="s">
        <v>31</v>
      </c>
      <c r="I115" s="460" t="s">
        <v>23</v>
      </c>
      <c r="J115" s="460" t="s">
        <v>32</v>
      </c>
      <c r="K115" s="461" t="s">
        <v>33</v>
      </c>
    </row>
    <row r="116" spans="3:11" ht="15.75" x14ac:dyDescent="0.2">
      <c r="C116" s="454" t="s">
        <v>1513</v>
      </c>
      <c r="D116" s="456" t="s">
        <v>31</v>
      </c>
      <c r="E116" s="457" t="s">
        <v>272</v>
      </c>
      <c r="F116" s="457" t="s">
        <v>20</v>
      </c>
      <c r="G116" s="457" t="s">
        <v>21</v>
      </c>
      <c r="H116" s="460" t="s">
        <v>841</v>
      </c>
      <c r="I116" s="460" t="s">
        <v>23</v>
      </c>
      <c r="J116" s="460" t="s">
        <v>22</v>
      </c>
      <c r="K116" s="461" t="s">
        <v>32</v>
      </c>
    </row>
    <row r="117" spans="3:11" ht="15.75" x14ac:dyDescent="0.2">
      <c r="C117" s="454" t="s">
        <v>1512</v>
      </c>
      <c r="D117" s="456" t="s">
        <v>31</v>
      </c>
      <c r="E117" s="457" t="s">
        <v>841</v>
      </c>
      <c r="F117" s="457" t="s">
        <v>20</v>
      </c>
      <c r="G117" s="457" t="s">
        <v>21</v>
      </c>
      <c r="H117" s="460" t="s">
        <v>32</v>
      </c>
      <c r="I117" s="460" t="s">
        <v>25</v>
      </c>
      <c r="J117" s="460" t="s">
        <v>34</v>
      </c>
      <c r="K117" s="461" t="s">
        <v>33</v>
      </c>
    </row>
    <row r="118" spans="3:11" ht="15.75" x14ac:dyDescent="0.2">
      <c r="C118" s="454" t="s">
        <v>1511</v>
      </c>
      <c r="D118" s="456" t="s">
        <v>32</v>
      </c>
      <c r="E118" s="457" t="s">
        <v>272</v>
      </c>
      <c r="F118" s="457" t="s">
        <v>20</v>
      </c>
      <c r="G118" s="457" t="s">
        <v>21</v>
      </c>
      <c r="H118" s="460" t="s">
        <v>841</v>
      </c>
      <c r="I118" s="460" t="s">
        <v>25</v>
      </c>
      <c r="J118" s="460" t="s">
        <v>34</v>
      </c>
      <c r="K118" s="461" t="s">
        <v>33</v>
      </c>
    </row>
    <row r="119" spans="3:11" ht="15.75" x14ac:dyDescent="0.2">
      <c r="C119" s="454" t="s">
        <v>1510</v>
      </c>
      <c r="D119" s="456" t="s">
        <v>31</v>
      </c>
      <c r="E119" s="457" t="s">
        <v>272</v>
      </c>
      <c r="F119" s="457" t="s">
        <v>20</v>
      </c>
      <c r="G119" s="457" t="s">
        <v>21</v>
      </c>
      <c r="H119" s="460" t="s">
        <v>841</v>
      </c>
      <c r="I119" s="460" t="s">
        <v>25</v>
      </c>
      <c r="J119" s="460" t="s">
        <v>34</v>
      </c>
      <c r="K119" s="461" t="s">
        <v>33</v>
      </c>
    </row>
    <row r="120" spans="3:11" ht="15.75" x14ac:dyDescent="0.2">
      <c r="C120" s="454" t="s">
        <v>1509</v>
      </c>
      <c r="D120" s="456" t="s">
        <v>31</v>
      </c>
      <c r="E120" s="457" t="s">
        <v>272</v>
      </c>
      <c r="F120" s="457" t="s">
        <v>20</v>
      </c>
      <c r="G120" s="457" t="s">
        <v>21</v>
      </c>
      <c r="H120" s="460" t="s">
        <v>32</v>
      </c>
      <c r="I120" s="460" t="s">
        <v>25</v>
      </c>
      <c r="J120" s="460" t="s">
        <v>34</v>
      </c>
      <c r="K120" s="461" t="s">
        <v>33</v>
      </c>
    </row>
    <row r="121" spans="3:11" ht="15.75" x14ac:dyDescent="0.2">
      <c r="C121" s="454" t="s">
        <v>1508</v>
      </c>
      <c r="D121" s="456" t="s">
        <v>31</v>
      </c>
      <c r="E121" s="457" t="s">
        <v>272</v>
      </c>
      <c r="F121" s="457" t="s">
        <v>20</v>
      </c>
      <c r="G121" s="457" t="s">
        <v>21</v>
      </c>
      <c r="H121" s="460" t="s">
        <v>841</v>
      </c>
      <c r="I121" s="460" t="s">
        <v>25</v>
      </c>
      <c r="J121" s="460" t="s">
        <v>34</v>
      </c>
      <c r="K121" s="461" t="s">
        <v>32</v>
      </c>
    </row>
    <row r="122" spans="3:11" ht="15.75" x14ac:dyDescent="0.2">
      <c r="C122" s="454" t="s">
        <v>1507</v>
      </c>
      <c r="D122" s="456" t="s">
        <v>31</v>
      </c>
      <c r="E122" s="457" t="s">
        <v>272</v>
      </c>
      <c r="F122" s="457" t="s">
        <v>20</v>
      </c>
      <c r="G122" s="457" t="s">
        <v>21</v>
      </c>
      <c r="H122" s="460" t="s">
        <v>841</v>
      </c>
      <c r="I122" s="460" t="s">
        <v>25</v>
      </c>
      <c r="J122" s="460" t="s">
        <v>32</v>
      </c>
      <c r="K122" s="461" t="s">
        <v>33</v>
      </c>
    </row>
    <row r="123" spans="3:11" ht="15.75" x14ac:dyDescent="0.2">
      <c r="C123" s="454" t="s">
        <v>1506</v>
      </c>
      <c r="D123" s="456" t="s">
        <v>21</v>
      </c>
      <c r="E123" s="457" t="s">
        <v>841</v>
      </c>
      <c r="F123" s="457" t="s">
        <v>20</v>
      </c>
      <c r="G123" s="457" t="s">
        <v>25</v>
      </c>
      <c r="H123" s="460" t="s">
        <v>32</v>
      </c>
      <c r="I123" s="460" t="s">
        <v>23</v>
      </c>
      <c r="J123" s="460" t="s">
        <v>34</v>
      </c>
      <c r="K123" s="461" t="s">
        <v>33</v>
      </c>
    </row>
    <row r="124" spans="3:11" ht="15.75" x14ac:dyDescent="0.2">
      <c r="C124" s="454" t="s">
        <v>1505</v>
      </c>
      <c r="D124" s="456" t="s">
        <v>21</v>
      </c>
      <c r="E124" s="457" t="s">
        <v>841</v>
      </c>
      <c r="F124" s="457" t="s">
        <v>20</v>
      </c>
      <c r="G124" s="457" t="s">
        <v>25</v>
      </c>
      <c r="H124" s="460" t="s">
        <v>31</v>
      </c>
      <c r="I124" s="460" t="s">
        <v>23</v>
      </c>
      <c r="J124" s="460" t="s">
        <v>34</v>
      </c>
      <c r="K124" s="461" t="s">
        <v>33</v>
      </c>
    </row>
    <row r="125" spans="3:11" ht="15.75" x14ac:dyDescent="0.2">
      <c r="C125" s="454" t="s">
        <v>1504</v>
      </c>
      <c r="D125" s="456" t="s">
        <v>21</v>
      </c>
      <c r="E125" s="457" t="s">
        <v>32</v>
      </c>
      <c r="F125" s="457" t="s">
        <v>20</v>
      </c>
      <c r="G125" s="457" t="s">
        <v>25</v>
      </c>
      <c r="H125" s="460" t="s">
        <v>31</v>
      </c>
      <c r="I125" s="460" t="s">
        <v>23</v>
      </c>
      <c r="J125" s="460" t="s">
        <v>34</v>
      </c>
      <c r="K125" s="461" t="s">
        <v>33</v>
      </c>
    </row>
    <row r="126" spans="3:11" ht="15.75" x14ac:dyDescent="0.2">
      <c r="C126" s="454" t="s">
        <v>1503</v>
      </c>
      <c r="D126" s="456" t="s">
        <v>21</v>
      </c>
      <c r="E126" s="457" t="s">
        <v>841</v>
      </c>
      <c r="F126" s="457" t="s">
        <v>20</v>
      </c>
      <c r="G126" s="457" t="s">
        <v>25</v>
      </c>
      <c r="H126" s="460" t="s">
        <v>31</v>
      </c>
      <c r="I126" s="460" t="s">
        <v>23</v>
      </c>
      <c r="J126" s="460" t="s">
        <v>34</v>
      </c>
      <c r="K126" s="461" t="s">
        <v>32</v>
      </c>
    </row>
    <row r="127" spans="3:11" ht="15.75" x14ac:dyDescent="0.2">
      <c r="C127" s="454" t="s">
        <v>1502</v>
      </c>
      <c r="D127" s="456" t="s">
        <v>21</v>
      </c>
      <c r="E127" s="457" t="s">
        <v>841</v>
      </c>
      <c r="F127" s="457" t="s">
        <v>20</v>
      </c>
      <c r="G127" s="457" t="s">
        <v>25</v>
      </c>
      <c r="H127" s="460" t="s">
        <v>31</v>
      </c>
      <c r="I127" s="460" t="s">
        <v>23</v>
      </c>
      <c r="J127" s="460" t="s">
        <v>32</v>
      </c>
      <c r="K127" s="461" t="s">
        <v>33</v>
      </c>
    </row>
    <row r="128" spans="3:11" ht="15.75" x14ac:dyDescent="0.2">
      <c r="C128" s="454" t="s">
        <v>1501</v>
      </c>
      <c r="D128" s="456" t="s">
        <v>21</v>
      </c>
      <c r="E128" s="457" t="s">
        <v>272</v>
      </c>
      <c r="F128" s="457" t="s">
        <v>20</v>
      </c>
      <c r="G128" s="457" t="s">
        <v>25</v>
      </c>
      <c r="H128" s="460" t="s">
        <v>841</v>
      </c>
      <c r="I128" s="460" t="s">
        <v>23</v>
      </c>
      <c r="J128" s="460" t="s">
        <v>34</v>
      </c>
      <c r="K128" s="461" t="s">
        <v>33</v>
      </c>
    </row>
    <row r="129" spans="3:11" ht="15.75" x14ac:dyDescent="0.2">
      <c r="C129" s="454" t="s">
        <v>1500</v>
      </c>
      <c r="D129" s="456" t="s">
        <v>21</v>
      </c>
      <c r="E129" s="457" t="s">
        <v>272</v>
      </c>
      <c r="F129" s="457" t="s">
        <v>20</v>
      </c>
      <c r="G129" s="457" t="s">
        <v>25</v>
      </c>
      <c r="H129" s="460" t="s">
        <v>32</v>
      </c>
      <c r="I129" s="460" t="s">
        <v>23</v>
      </c>
      <c r="J129" s="460" t="s">
        <v>34</v>
      </c>
      <c r="K129" s="461" t="s">
        <v>33</v>
      </c>
    </row>
    <row r="130" spans="3:11" ht="15.75" x14ac:dyDescent="0.2">
      <c r="C130" s="454" t="s">
        <v>1499</v>
      </c>
      <c r="D130" s="456" t="s">
        <v>21</v>
      </c>
      <c r="E130" s="457" t="s">
        <v>272</v>
      </c>
      <c r="F130" s="457" t="s">
        <v>20</v>
      </c>
      <c r="G130" s="457" t="s">
        <v>25</v>
      </c>
      <c r="H130" s="460" t="s">
        <v>841</v>
      </c>
      <c r="I130" s="460" t="s">
        <v>23</v>
      </c>
      <c r="J130" s="460" t="s">
        <v>34</v>
      </c>
      <c r="K130" s="461" t="s">
        <v>32</v>
      </c>
    </row>
    <row r="131" spans="3:11" ht="15.75" x14ac:dyDescent="0.2">
      <c r="C131" s="454" t="s">
        <v>1498</v>
      </c>
      <c r="D131" s="456" t="s">
        <v>21</v>
      </c>
      <c r="E131" s="457" t="s">
        <v>272</v>
      </c>
      <c r="F131" s="457" t="s">
        <v>20</v>
      </c>
      <c r="G131" s="457" t="s">
        <v>25</v>
      </c>
      <c r="H131" s="460" t="s">
        <v>841</v>
      </c>
      <c r="I131" s="460" t="s">
        <v>23</v>
      </c>
      <c r="J131" s="460" t="s">
        <v>32</v>
      </c>
      <c r="K131" s="461" t="s">
        <v>33</v>
      </c>
    </row>
    <row r="132" spans="3:11" ht="15.75" x14ac:dyDescent="0.2">
      <c r="C132" s="454" t="s">
        <v>1497</v>
      </c>
      <c r="D132" s="456" t="s">
        <v>21</v>
      </c>
      <c r="E132" s="457" t="s">
        <v>272</v>
      </c>
      <c r="F132" s="457" t="s">
        <v>20</v>
      </c>
      <c r="G132" s="457" t="s">
        <v>25</v>
      </c>
      <c r="H132" s="460" t="s">
        <v>31</v>
      </c>
      <c r="I132" s="460" t="s">
        <v>23</v>
      </c>
      <c r="J132" s="460" t="s">
        <v>34</v>
      </c>
      <c r="K132" s="461" t="s">
        <v>33</v>
      </c>
    </row>
    <row r="133" spans="3:11" ht="15.75" x14ac:dyDescent="0.2">
      <c r="C133" s="454" t="s">
        <v>1496</v>
      </c>
      <c r="D133" s="456" t="s">
        <v>21</v>
      </c>
      <c r="E133" s="457" t="s">
        <v>272</v>
      </c>
      <c r="F133" s="457" t="s">
        <v>20</v>
      </c>
      <c r="G133" s="457" t="s">
        <v>25</v>
      </c>
      <c r="H133" s="460" t="s">
        <v>31</v>
      </c>
      <c r="I133" s="460" t="s">
        <v>23</v>
      </c>
      <c r="J133" s="460" t="s">
        <v>34</v>
      </c>
      <c r="K133" s="461" t="s">
        <v>841</v>
      </c>
    </row>
    <row r="134" spans="3:11" ht="15.75" x14ac:dyDescent="0.2">
      <c r="C134" s="454" t="s">
        <v>1495</v>
      </c>
      <c r="D134" s="456" t="s">
        <v>31</v>
      </c>
      <c r="E134" s="457" t="s">
        <v>272</v>
      </c>
      <c r="F134" s="457" t="s">
        <v>20</v>
      </c>
      <c r="G134" s="457" t="s">
        <v>21</v>
      </c>
      <c r="H134" s="460" t="s">
        <v>841</v>
      </c>
      <c r="I134" s="460" t="s">
        <v>23</v>
      </c>
      <c r="J134" s="460" t="s">
        <v>25</v>
      </c>
      <c r="K134" s="461" t="s">
        <v>33</v>
      </c>
    </row>
    <row r="135" spans="3:11" ht="15.75" x14ac:dyDescent="0.2">
      <c r="C135" s="454" t="s">
        <v>1494</v>
      </c>
      <c r="D135" s="456" t="s">
        <v>21</v>
      </c>
      <c r="E135" s="457" t="s">
        <v>272</v>
      </c>
      <c r="F135" s="457" t="s">
        <v>20</v>
      </c>
      <c r="G135" s="457" t="s">
        <v>25</v>
      </c>
      <c r="H135" s="460" t="s">
        <v>31</v>
      </c>
      <c r="I135" s="460" t="s">
        <v>23</v>
      </c>
      <c r="J135" s="460" t="s">
        <v>34</v>
      </c>
      <c r="K135" s="461" t="s">
        <v>32</v>
      </c>
    </row>
    <row r="136" spans="3:11" ht="15.75" x14ac:dyDescent="0.2">
      <c r="C136" s="454" t="s">
        <v>1493</v>
      </c>
      <c r="D136" s="456" t="s">
        <v>21</v>
      </c>
      <c r="E136" s="457" t="s">
        <v>272</v>
      </c>
      <c r="F136" s="457" t="s">
        <v>20</v>
      </c>
      <c r="G136" s="457" t="s">
        <v>25</v>
      </c>
      <c r="H136" s="460" t="s">
        <v>31</v>
      </c>
      <c r="I136" s="460" t="s">
        <v>23</v>
      </c>
      <c r="J136" s="460" t="s">
        <v>32</v>
      </c>
      <c r="K136" s="461" t="s">
        <v>33</v>
      </c>
    </row>
    <row r="137" spans="3:11" ht="15.75" x14ac:dyDescent="0.2">
      <c r="C137" s="454" t="s">
        <v>1492</v>
      </c>
      <c r="D137" s="456" t="s">
        <v>31</v>
      </c>
      <c r="E137" s="457" t="s">
        <v>272</v>
      </c>
      <c r="F137" s="457" t="s">
        <v>20</v>
      </c>
      <c r="G137" s="457" t="s">
        <v>21</v>
      </c>
      <c r="H137" s="460" t="s">
        <v>841</v>
      </c>
      <c r="I137" s="460" t="s">
        <v>23</v>
      </c>
      <c r="J137" s="460" t="s">
        <v>25</v>
      </c>
      <c r="K137" s="461" t="s">
        <v>32</v>
      </c>
    </row>
    <row r="138" spans="3:11" ht="15.75" x14ac:dyDescent="0.2">
      <c r="C138" s="454" t="s">
        <v>1491</v>
      </c>
      <c r="D138" s="456" t="s">
        <v>22</v>
      </c>
      <c r="E138" s="457" t="s">
        <v>841</v>
      </c>
      <c r="F138" s="457" t="s">
        <v>20</v>
      </c>
      <c r="G138" s="457" t="s">
        <v>21</v>
      </c>
      <c r="H138" s="460" t="s">
        <v>32</v>
      </c>
      <c r="I138" s="460" t="s">
        <v>25</v>
      </c>
      <c r="J138" s="460" t="s">
        <v>34</v>
      </c>
      <c r="K138" s="461" t="s">
        <v>33</v>
      </c>
    </row>
    <row r="139" spans="3:11" ht="15.75" x14ac:dyDescent="0.2">
      <c r="C139" s="454" t="s">
        <v>1490</v>
      </c>
      <c r="D139" s="456" t="s">
        <v>22</v>
      </c>
      <c r="E139" s="457" t="s">
        <v>841</v>
      </c>
      <c r="F139" s="457" t="s">
        <v>20</v>
      </c>
      <c r="G139" s="457" t="s">
        <v>21</v>
      </c>
      <c r="H139" s="460" t="s">
        <v>31</v>
      </c>
      <c r="I139" s="460" t="s">
        <v>25</v>
      </c>
      <c r="J139" s="460" t="s">
        <v>34</v>
      </c>
      <c r="K139" s="461" t="s">
        <v>33</v>
      </c>
    </row>
    <row r="140" spans="3:11" ht="15.75" x14ac:dyDescent="0.2">
      <c r="C140" s="454" t="s">
        <v>1489</v>
      </c>
      <c r="D140" s="456" t="s">
        <v>22</v>
      </c>
      <c r="E140" s="457" t="s">
        <v>32</v>
      </c>
      <c r="F140" s="457" t="s">
        <v>20</v>
      </c>
      <c r="G140" s="457" t="s">
        <v>21</v>
      </c>
      <c r="H140" s="460" t="s">
        <v>31</v>
      </c>
      <c r="I140" s="460" t="s">
        <v>25</v>
      </c>
      <c r="J140" s="460" t="s">
        <v>34</v>
      </c>
      <c r="K140" s="461" t="s">
        <v>33</v>
      </c>
    </row>
    <row r="141" spans="3:11" ht="15.75" x14ac:dyDescent="0.2">
      <c r="C141" s="454" t="s">
        <v>1488</v>
      </c>
      <c r="D141" s="456" t="s">
        <v>22</v>
      </c>
      <c r="E141" s="457" t="s">
        <v>841</v>
      </c>
      <c r="F141" s="457" t="s">
        <v>20</v>
      </c>
      <c r="G141" s="457" t="s">
        <v>21</v>
      </c>
      <c r="H141" s="460" t="s">
        <v>31</v>
      </c>
      <c r="I141" s="460" t="s">
        <v>25</v>
      </c>
      <c r="J141" s="460" t="s">
        <v>34</v>
      </c>
      <c r="K141" s="461" t="s">
        <v>32</v>
      </c>
    </row>
    <row r="142" spans="3:11" ht="15.75" x14ac:dyDescent="0.2">
      <c r="C142" s="454" t="s">
        <v>1487</v>
      </c>
      <c r="D142" s="456" t="s">
        <v>22</v>
      </c>
      <c r="E142" s="457" t="s">
        <v>841</v>
      </c>
      <c r="F142" s="457" t="s">
        <v>20</v>
      </c>
      <c r="G142" s="457" t="s">
        <v>21</v>
      </c>
      <c r="H142" s="460" t="s">
        <v>31</v>
      </c>
      <c r="I142" s="460" t="s">
        <v>25</v>
      </c>
      <c r="J142" s="460" t="s">
        <v>32</v>
      </c>
      <c r="K142" s="461" t="s">
        <v>33</v>
      </c>
    </row>
    <row r="143" spans="3:11" ht="15.75" x14ac:dyDescent="0.2">
      <c r="C143" s="454" t="s">
        <v>1486</v>
      </c>
      <c r="D143" s="456" t="s">
        <v>22</v>
      </c>
      <c r="E143" s="457" t="s">
        <v>272</v>
      </c>
      <c r="F143" s="457" t="s">
        <v>20</v>
      </c>
      <c r="G143" s="457" t="s">
        <v>21</v>
      </c>
      <c r="H143" s="460" t="s">
        <v>841</v>
      </c>
      <c r="I143" s="460" t="s">
        <v>25</v>
      </c>
      <c r="J143" s="460" t="s">
        <v>34</v>
      </c>
      <c r="K143" s="461" t="s">
        <v>33</v>
      </c>
    </row>
    <row r="144" spans="3:11" ht="15.75" x14ac:dyDescent="0.2">
      <c r="C144" s="454" t="s">
        <v>1485</v>
      </c>
      <c r="D144" s="456" t="s">
        <v>22</v>
      </c>
      <c r="E144" s="457" t="s">
        <v>272</v>
      </c>
      <c r="F144" s="457" t="s">
        <v>20</v>
      </c>
      <c r="G144" s="457" t="s">
        <v>21</v>
      </c>
      <c r="H144" s="460" t="s">
        <v>32</v>
      </c>
      <c r="I144" s="460" t="s">
        <v>25</v>
      </c>
      <c r="J144" s="460" t="s">
        <v>34</v>
      </c>
      <c r="K144" s="461" t="s">
        <v>33</v>
      </c>
    </row>
    <row r="145" spans="3:11" ht="15.75" x14ac:dyDescent="0.2">
      <c r="C145" s="454" t="s">
        <v>1484</v>
      </c>
      <c r="D145" s="456" t="s">
        <v>22</v>
      </c>
      <c r="E145" s="457" t="s">
        <v>272</v>
      </c>
      <c r="F145" s="457" t="s">
        <v>20</v>
      </c>
      <c r="G145" s="457" t="s">
        <v>21</v>
      </c>
      <c r="H145" s="460" t="s">
        <v>841</v>
      </c>
      <c r="I145" s="460" t="s">
        <v>25</v>
      </c>
      <c r="J145" s="460" t="s">
        <v>34</v>
      </c>
      <c r="K145" s="461" t="s">
        <v>32</v>
      </c>
    </row>
    <row r="146" spans="3:11" ht="15.75" x14ac:dyDescent="0.2">
      <c r="C146" s="454" t="s">
        <v>1483</v>
      </c>
      <c r="D146" s="456" t="s">
        <v>22</v>
      </c>
      <c r="E146" s="457" t="s">
        <v>272</v>
      </c>
      <c r="F146" s="457" t="s">
        <v>20</v>
      </c>
      <c r="G146" s="457" t="s">
        <v>21</v>
      </c>
      <c r="H146" s="460" t="s">
        <v>841</v>
      </c>
      <c r="I146" s="460" t="s">
        <v>25</v>
      </c>
      <c r="J146" s="460" t="s">
        <v>32</v>
      </c>
      <c r="K146" s="461" t="s">
        <v>33</v>
      </c>
    </row>
    <row r="147" spans="3:11" ht="15.75" x14ac:dyDescent="0.2">
      <c r="C147" s="454" t="s">
        <v>1482</v>
      </c>
      <c r="D147" s="456" t="s">
        <v>22</v>
      </c>
      <c r="E147" s="457" t="s">
        <v>272</v>
      </c>
      <c r="F147" s="457" t="s">
        <v>20</v>
      </c>
      <c r="G147" s="457" t="s">
        <v>21</v>
      </c>
      <c r="H147" s="460" t="s">
        <v>31</v>
      </c>
      <c r="I147" s="460" t="s">
        <v>25</v>
      </c>
      <c r="J147" s="460" t="s">
        <v>34</v>
      </c>
      <c r="K147" s="461" t="s">
        <v>33</v>
      </c>
    </row>
    <row r="148" spans="3:11" ht="15.75" x14ac:dyDescent="0.2">
      <c r="C148" s="454" t="s">
        <v>1481</v>
      </c>
      <c r="D148" s="456" t="s">
        <v>31</v>
      </c>
      <c r="E148" s="457" t="s">
        <v>272</v>
      </c>
      <c r="F148" s="457" t="s">
        <v>20</v>
      </c>
      <c r="G148" s="457" t="s">
        <v>21</v>
      </c>
      <c r="H148" s="460" t="s">
        <v>841</v>
      </c>
      <c r="I148" s="460" t="s">
        <v>25</v>
      </c>
      <c r="J148" s="460" t="s">
        <v>34</v>
      </c>
      <c r="K148" s="461" t="s">
        <v>22</v>
      </c>
    </row>
    <row r="149" spans="3:11" ht="15.75" x14ac:dyDescent="0.2">
      <c r="C149" s="454" t="s">
        <v>1480</v>
      </c>
      <c r="D149" s="456" t="s">
        <v>31</v>
      </c>
      <c r="E149" s="457" t="s">
        <v>272</v>
      </c>
      <c r="F149" s="457" t="s">
        <v>20</v>
      </c>
      <c r="G149" s="457" t="s">
        <v>21</v>
      </c>
      <c r="H149" s="460" t="s">
        <v>841</v>
      </c>
      <c r="I149" s="460" t="s">
        <v>25</v>
      </c>
      <c r="J149" s="460" t="s">
        <v>22</v>
      </c>
      <c r="K149" s="461" t="s">
        <v>33</v>
      </c>
    </row>
    <row r="150" spans="3:11" ht="15.75" x14ac:dyDescent="0.2">
      <c r="C150" s="454" t="s">
        <v>1479</v>
      </c>
      <c r="D150" s="456" t="s">
        <v>22</v>
      </c>
      <c r="E150" s="457" t="s">
        <v>272</v>
      </c>
      <c r="F150" s="457" t="s">
        <v>20</v>
      </c>
      <c r="G150" s="457" t="s">
        <v>21</v>
      </c>
      <c r="H150" s="460" t="s">
        <v>31</v>
      </c>
      <c r="I150" s="460" t="s">
        <v>25</v>
      </c>
      <c r="J150" s="460" t="s">
        <v>34</v>
      </c>
      <c r="K150" s="461" t="s">
        <v>32</v>
      </c>
    </row>
    <row r="151" spans="3:11" ht="15.75" x14ac:dyDescent="0.2">
      <c r="C151" s="454" t="s">
        <v>1478</v>
      </c>
      <c r="D151" s="456" t="s">
        <v>22</v>
      </c>
      <c r="E151" s="457" t="s">
        <v>272</v>
      </c>
      <c r="F151" s="457" t="s">
        <v>20</v>
      </c>
      <c r="G151" s="457" t="s">
        <v>21</v>
      </c>
      <c r="H151" s="460" t="s">
        <v>31</v>
      </c>
      <c r="I151" s="460" t="s">
        <v>25</v>
      </c>
      <c r="J151" s="460" t="s">
        <v>32</v>
      </c>
      <c r="K151" s="461" t="s">
        <v>33</v>
      </c>
    </row>
    <row r="152" spans="3:11" ht="15.75" x14ac:dyDescent="0.2">
      <c r="C152" s="454" t="s">
        <v>1477</v>
      </c>
      <c r="D152" s="456" t="s">
        <v>31</v>
      </c>
      <c r="E152" s="457" t="s">
        <v>272</v>
      </c>
      <c r="F152" s="457" t="s">
        <v>20</v>
      </c>
      <c r="G152" s="457" t="s">
        <v>21</v>
      </c>
      <c r="H152" s="460" t="s">
        <v>841</v>
      </c>
      <c r="I152" s="460" t="s">
        <v>25</v>
      </c>
      <c r="J152" s="460" t="s">
        <v>22</v>
      </c>
      <c r="K152" s="461" t="s">
        <v>32</v>
      </c>
    </row>
    <row r="153" spans="3:11" ht="15.75" x14ac:dyDescent="0.2">
      <c r="C153" s="454" t="s">
        <v>1476</v>
      </c>
      <c r="D153" s="456" t="s">
        <v>21</v>
      </c>
      <c r="E153" s="457" t="s">
        <v>841</v>
      </c>
      <c r="F153" s="457" t="s">
        <v>20</v>
      </c>
      <c r="G153" s="457" t="s">
        <v>25</v>
      </c>
      <c r="H153" s="460" t="s">
        <v>22</v>
      </c>
      <c r="I153" s="460" t="s">
        <v>23</v>
      </c>
      <c r="J153" s="460" t="s">
        <v>34</v>
      </c>
      <c r="K153" s="461" t="s">
        <v>33</v>
      </c>
    </row>
    <row r="154" spans="3:11" ht="15.75" x14ac:dyDescent="0.2">
      <c r="C154" s="454" t="s">
        <v>1475</v>
      </c>
      <c r="D154" s="456" t="s">
        <v>21</v>
      </c>
      <c r="E154" s="457" t="s">
        <v>22</v>
      </c>
      <c r="F154" s="457" t="s">
        <v>20</v>
      </c>
      <c r="G154" s="457" t="s">
        <v>25</v>
      </c>
      <c r="H154" s="460" t="s">
        <v>32</v>
      </c>
      <c r="I154" s="460" t="s">
        <v>23</v>
      </c>
      <c r="J154" s="460" t="s">
        <v>34</v>
      </c>
      <c r="K154" s="461" t="s">
        <v>33</v>
      </c>
    </row>
    <row r="155" spans="3:11" ht="15.75" x14ac:dyDescent="0.2">
      <c r="C155" s="454" t="s">
        <v>1474</v>
      </c>
      <c r="D155" s="456" t="s">
        <v>21</v>
      </c>
      <c r="E155" s="457" t="s">
        <v>841</v>
      </c>
      <c r="F155" s="457" t="s">
        <v>20</v>
      </c>
      <c r="G155" s="457" t="s">
        <v>25</v>
      </c>
      <c r="H155" s="460" t="s">
        <v>22</v>
      </c>
      <c r="I155" s="460" t="s">
        <v>23</v>
      </c>
      <c r="J155" s="460" t="s">
        <v>34</v>
      </c>
      <c r="K155" s="461" t="s">
        <v>32</v>
      </c>
    </row>
    <row r="156" spans="3:11" ht="15.75" x14ac:dyDescent="0.2">
      <c r="C156" s="454" t="s">
        <v>1473</v>
      </c>
      <c r="D156" s="456" t="s">
        <v>21</v>
      </c>
      <c r="E156" s="457" t="s">
        <v>841</v>
      </c>
      <c r="F156" s="457" t="s">
        <v>20</v>
      </c>
      <c r="G156" s="457" t="s">
        <v>25</v>
      </c>
      <c r="H156" s="460" t="s">
        <v>22</v>
      </c>
      <c r="I156" s="460" t="s">
        <v>23</v>
      </c>
      <c r="J156" s="460" t="s">
        <v>32</v>
      </c>
      <c r="K156" s="461" t="s">
        <v>33</v>
      </c>
    </row>
    <row r="157" spans="3:11" ht="15.75" x14ac:dyDescent="0.2">
      <c r="C157" s="454" t="s">
        <v>1472</v>
      </c>
      <c r="D157" s="456" t="s">
        <v>21</v>
      </c>
      <c r="E157" s="457" t="s">
        <v>22</v>
      </c>
      <c r="F157" s="457" t="s">
        <v>20</v>
      </c>
      <c r="G157" s="457" t="s">
        <v>25</v>
      </c>
      <c r="H157" s="460" t="s">
        <v>31</v>
      </c>
      <c r="I157" s="460" t="s">
        <v>23</v>
      </c>
      <c r="J157" s="460" t="s">
        <v>34</v>
      </c>
      <c r="K157" s="461" t="s">
        <v>33</v>
      </c>
    </row>
    <row r="158" spans="3:11" ht="15.75" x14ac:dyDescent="0.2">
      <c r="C158" s="454" t="s">
        <v>1471</v>
      </c>
      <c r="D158" s="456" t="s">
        <v>21</v>
      </c>
      <c r="E158" s="457" t="s">
        <v>841</v>
      </c>
      <c r="F158" s="457" t="s">
        <v>20</v>
      </c>
      <c r="G158" s="457" t="s">
        <v>25</v>
      </c>
      <c r="H158" s="460" t="s">
        <v>31</v>
      </c>
      <c r="I158" s="460" t="s">
        <v>23</v>
      </c>
      <c r="J158" s="460" t="s">
        <v>34</v>
      </c>
      <c r="K158" s="461" t="s">
        <v>22</v>
      </c>
    </row>
    <row r="159" spans="3:11" ht="15.75" x14ac:dyDescent="0.2">
      <c r="C159" s="454" t="s">
        <v>1470</v>
      </c>
      <c r="D159" s="456" t="s">
        <v>21</v>
      </c>
      <c r="E159" s="457" t="s">
        <v>841</v>
      </c>
      <c r="F159" s="457" t="s">
        <v>20</v>
      </c>
      <c r="G159" s="457" t="s">
        <v>25</v>
      </c>
      <c r="H159" s="460" t="s">
        <v>31</v>
      </c>
      <c r="I159" s="460" t="s">
        <v>23</v>
      </c>
      <c r="J159" s="460" t="s">
        <v>22</v>
      </c>
      <c r="K159" s="461" t="s">
        <v>33</v>
      </c>
    </row>
    <row r="160" spans="3:11" ht="15.75" x14ac:dyDescent="0.2">
      <c r="C160" s="454" t="s">
        <v>1469</v>
      </c>
      <c r="D160" s="456" t="s">
        <v>21</v>
      </c>
      <c r="E160" s="457" t="s">
        <v>22</v>
      </c>
      <c r="F160" s="457" t="s">
        <v>20</v>
      </c>
      <c r="G160" s="457" t="s">
        <v>25</v>
      </c>
      <c r="H160" s="460" t="s">
        <v>31</v>
      </c>
      <c r="I160" s="460" t="s">
        <v>23</v>
      </c>
      <c r="J160" s="460" t="s">
        <v>34</v>
      </c>
      <c r="K160" s="461" t="s">
        <v>32</v>
      </c>
    </row>
    <row r="161" spans="3:11" ht="15.75" x14ac:dyDescent="0.2">
      <c r="C161" s="454" t="s">
        <v>1468</v>
      </c>
      <c r="D161" s="456" t="s">
        <v>21</v>
      </c>
      <c r="E161" s="457" t="s">
        <v>22</v>
      </c>
      <c r="F161" s="457" t="s">
        <v>20</v>
      </c>
      <c r="G161" s="457" t="s">
        <v>25</v>
      </c>
      <c r="H161" s="460" t="s">
        <v>31</v>
      </c>
      <c r="I161" s="460" t="s">
        <v>23</v>
      </c>
      <c r="J161" s="460" t="s">
        <v>32</v>
      </c>
      <c r="K161" s="461" t="s">
        <v>33</v>
      </c>
    </row>
    <row r="162" spans="3:11" ht="15.75" x14ac:dyDescent="0.2">
      <c r="C162" s="454" t="s">
        <v>1467</v>
      </c>
      <c r="D162" s="456" t="s">
        <v>21</v>
      </c>
      <c r="E162" s="457" t="s">
        <v>841</v>
      </c>
      <c r="F162" s="457" t="s">
        <v>20</v>
      </c>
      <c r="G162" s="457" t="s">
        <v>25</v>
      </c>
      <c r="H162" s="460" t="s">
        <v>31</v>
      </c>
      <c r="I162" s="460" t="s">
        <v>23</v>
      </c>
      <c r="J162" s="460" t="s">
        <v>22</v>
      </c>
      <c r="K162" s="461" t="s">
        <v>32</v>
      </c>
    </row>
    <row r="163" spans="3:11" ht="15.75" x14ac:dyDescent="0.2">
      <c r="C163" s="454" t="s">
        <v>1466</v>
      </c>
      <c r="D163" s="456" t="s">
        <v>21</v>
      </c>
      <c r="E163" s="457" t="s">
        <v>272</v>
      </c>
      <c r="F163" s="457" t="s">
        <v>20</v>
      </c>
      <c r="G163" s="457" t="s">
        <v>25</v>
      </c>
      <c r="H163" s="460" t="s">
        <v>22</v>
      </c>
      <c r="I163" s="460" t="s">
        <v>23</v>
      </c>
      <c r="J163" s="460" t="s">
        <v>34</v>
      </c>
      <c r="K163" s="461" t="s">
        <v>33</v>
      </c>
    </row>
    <row r="164" spans="3:11" ht="15.75" x14ac:dyDescent="0.2">
      <c r="C164" s="454" t="s">
        <v>1465</v>
      </c>
      <c r="D164" s="456" t="s">
        <v>21</v>
      </c>
      <c r="E164" s="457" t="s">
        <v>272</v>
      </c>
      <c r="F164" s="457" t="s">
        <v>20</v>
      </c>
      <c r="G164" s="457" t="s">
        <v>25</v>
      </c>
      <c r="H164" s="460" t="s">
        <v>841</v>
      </c>
      <c r="I164" s="460" t="s">
        <v>23</v>
      </c>
      <c r="J164" s="460" t="s">
        <v>34</v>
      </c>
      <c r="K164" s="461" t="s">
        <v>22</v>
      </c>
    </row>
    <row r="165" spans="3:11" ht="15.75" x14ac:dyDescent="0.2">
      <c r="C165" s="454" t="s">
        <v>1464</v>
      </c>
      <c r="D165" s="456" t="s">
        <v>21</v>
      </c>
      <c r="E165" s="457" t="s">
        <v>272</v>
      </c>
      <c r="F165" s="457" t="s">
        <v>20</v>
      </c>
      <c r="G165" s="457" t="s">
        <v>25</v>
      </c>
      <c r="H165" s="460" t="s">
        <v>841</v>
      </c>
      <c r="I165" s="460" t="s">
        <v>23</v>
      </c>
      <c r="J165" s="460" t="s">
        <v>22</v>
      </c>
      <c r="K165" s="461" t="s">
        <v>33</v>
      </c>
    </row>
    <row r="166" spans="3:11" ht="15.75" x14ac:dyDescent="0.2">
      <c r="C166" s="454" t="s">
        <v>1463</v>
      </c>
      <c r="D166" s="456" t="s">
        <v>21</v>
      </c>
      <c r="E166" s="457" t="s">
        <v>272</v>
      </c>
      <c r="F166" s="457" t="s">
        <v>20</v>
      </c>
      <c r="G166" s="457" t="s">
        <v>25</v>
      </c>
      <c r="H166" s="460" t="s">
        <v>22</v>
      </c>
      <c r="I166" s="460" t="s">
        <v>23</v>
      </c>
      <c r="J166" s="460" t="s">
        <v>34</v>
      </c>
      <c r="K166" s="461" t="s">
        <v>32</v>
      </c>
    </row>
    <row r="167" spans="3:11" ht="15.75" x14ac:dyDescent="0.2">
      <c r="C167" s="454" t="s">
        <v>1462</v>
      </c>
      <c r="D167" s="456" t="s">
        <v>21</v>
      </c>
      <c r="E167" s="457" t="s">
        <v>272</v>
      </c>
      <c r="F167" s="457" t="s">
        <v>20</v>
      </c>
      <c r="G167" s="457" t="s">
        <v>25</v>
      </c>
      <c r="H167" s="460" t="s">
        <v>22</v>
      </c>
      <c r="I167" s="460" t="s">
        <v>23</v>
      </c>
      <c r="J167" s="460" t="s">
        <v>32</v>
      </c>
      <c r="K167" s="461" t="s">
        <v>33</v>
      </c>
    </row>
    <row r="168" spans="3:11" ht="15.75" x14ac:dyDescent="0.2">
      <c r="C168" s="454" t="s">
        <v>1461</v>
      </c>
      <c r="D168" s="456" t="s">
        <v>21</v>
      </c>
      <c r="E168" s="457" t="s">
        <v>272</v>
      </c>
      <c r="F168" s="457" t="s">
        <v>20</v>
      </c>
      <c r="G168" s="457" t="s">
        <v>25</v>
      </c>
      <c r="H168" s="460" t="s">
        <v>841</v>
      </c>
      <c r="I168" s="460" t="s">
        <v>23</v>
      </c>
      <c r="J168" s="460" t="s">
        <v>22</v>
      </c>
      <c r="K168" s="461" t="s">
        <v>32</v>
      </c>
    </row>
    <row r="169" spans="3:11" ht="15.75" x14ac:dyDescent="0.2">
      <c r="C169" s="454" t="s">
        <v>1460</v>
      </c>
      <c r="D169" s="456" t="s">
        <v>21</v>
      </c>
      <c r="E169" s="457" t="s">
        <v>272</v>
      </c>
      <c r="F169" s="457" t="s">
        <v>20</v>
      </c>
      <c r="G169" s="457" t="s">
        <v>25</v>
      </c>
      <c r="H169" s="460" t="s">
        <v>31</v>
      </c>
      <c r="I169" s="460" t="s">
        <v>23</v>
      </c>
      <c r="J169" s="460" t="s">
        <v>34</v>
      </c>
      <c r="K169" s="461" t="s">
        <v>22</v>
      </c>
    </row>
    <row r="170" spans="3:11" ht="15.75" x14ac:dyDescent="0.2">
      <c r="C170" s="454" t="s">
        <v>1459</v>
      </c>
      <c r="D170" s="456" t="s">
        <v>21</v>
      </c>
      <c r="E170" s="457" t="s">
        <v>272</v>
      </c>
      <c r="F170" s="457" t="s">
        <v>20</v>
      </c>
      <c r="G170" s="457" t="s">
        <v>25</v>
      </c>
      <c r="H170" s="460" t="s">
        <v>31</v>
      </c>
      <c r="I170" s="460" t="s">
        <v>23</v>
      </c>
      <c r="J170" s="460" t="s">
        <v>22</v>
      </c>
      <c r="K170" s="461" t="s">
        <v>33</v>
      </c>
    </row>
    <row r="171" spans="3:11" ht="15.75" x14ac:dyDescent="0.2">
      <c r="C171" s="454" t="s">
        <v>1458</v>
      </c>
      <c r="D171" s="456" t="s">
        <v>31</v>
      </c>
      <c r="E171" s="457" t="s">
        <v>272</v>
      </c>
      <c r="F171" s="457" t="s">
        <v>20</v>
      </c>
      <c r="G171" s="457" t="s">
        <v>21</v>
      </c>
      <c r="H171" s="460" t="s">
        <v>841</v>
      </c>
      <c r="I171" s="460" t="s">
        <v>23</v>
      </c>
      <c r="J171" s="460" t="s">
        <v>25</v>
      </c>
      <c r="K171" s="461" t="s">
        <v>22</v>
      </c>
    </row>
    <row r="172" spans="3:11" ht="15.75" x14ac:dyDescent="0.2">
      <c r="C172" s="454" t="s">
        <v>1457</v>
      </c>
      <c r="D172" s="456" t="s">
        <v>21</v>
      </c>
      <c r="E172" s="457" t="s">
        <v>272</v>
      </c>
      <c r="F172" s="457" t="s">
        <v>20</v>
      </c>
      <c r="G172" s="457" t="s">
        <v>25</v>
      </c>
      <c r="H172" s="460" t="s">
        <v>31</v>
      </c>
      <c r="I172" s="460" t="s">
        <v>23</v>
      </c>
      <c r="J172" s="460" t="s">
        <v>22</v>
      </c>
      <c r="K172" s="461" t="s">
        <v>32</v>
      </c>
    </row>
    <row r="173" spans="3:11" ht="15.75" x14ac:dyDescent="0.2">
      <c r="C173" s="454" t="s">
        <v>1456</v>
      </c>
      <c r="D173" s="456" t="s">
        <v>31</v>
      </c>
      <c r="E173" s="457" t="s">
        <v>841</v>
      </c>
      <c r="F173" s="457" t="s">
        <v>32</v>
      </c>
      <c r="G173" s="457" t="s">
        <v>23</v>
      </c>
      <c r="H173" s="460" t="s">
        <v>24</v>
      </c>
      <c r="I173" s="460" t="s">
        <v>272</v>
      </c>
      <c r="J173" s="460" t="s">
        <v>34</v>
      </c>
      <c r="K173" s="461" t="s">
        <v>33</v>
      </c>
    </row>
    <row r="174" spans="3:11" ht="15.75" x14ac:dyDescent="0.2">
      <c r="C174" s="454" t="s">
        <v>1455</v>
      </c>
      <c r="D174" s="456" t="s">
        <v>22</v>
      </c>
      <c r="E174" s="457" t="s">
        <v>841</v>
      </c>
      <c r="F174" s="457" t="s">
        <v>32</v>
      </c>
      <c r="G174" s="457" t="s">
        <v>24</v>
      </c>
      <c r="H174" s="460" t="s">
        <v>31</v>
      </c>
      <c r="I174" s="460" t="s">
        <v>272</v>
      </c>
      <c r="J174" s="460" t="s">
        <v>34</v>
      </c>
      <c r="K174" s="461" t="s">
        <v>33</v>
      </c>
    </row>
    <row r="175" spans="3:11" ht="15.75" x14ac:dyDescent="0.2">
      <c r="C175" s="454" t="s">
        <v>1454</v>
      </c>
      <c r="D175" s="456" t="s">
        <v>22</v>
      </c>
      <c r="E175" s="457" t="s">
        <v>841</v>
      </c>
      <c r="F175" s="457" t="s">
        <v>32</v>
      </c>
      <c r="G175" s="457" t="s">
        <v>23</v>
      </c>
      <c r="H175" s="460" t="s">
        <v>24</v>
      </c>
      <c r="I175" s="460" t="s">
        <v>31</v>
      </c>
      <c r="J175" s="460" t="s">
        <v>34</v>
      </c>
      <c r="K175" s="461" t="s">
        <v>33</v>
      </c>
    </row>
    <row r="176" spans="3:11" ht="15.75" x14ac:dyDescent="0.2">
      <c r="C176" s="454" t="s">
        <v>1453</v>
      </c>
      <c r="D176" s="456" t="s">
        <v>22</v>
      </c>
      <c r="E176" s="457" t="s">
        <v>841</v>
      </c>
      <c r="F176" s="457" t="s">
        <v>32</v>
      </c>
      <c r="G176" s="457" t="s">
        <v>23</v>
      </c>
      <c r="H176" s="460" t="s">
        <v>24</v>
      </c>
      <c r="I176" s="460" t="s">
        <v>272</v>
      </c>
      <c r="J176" s="460" t="s">
        <v>34</v>
      </c>
      <c r="K176" s="461" t="s">
        <v>33</v>
      </c>
    </row>
    <row r="177" spans="3:11" ht="15.75" x14ac:dyDescent="0.2">
      <c r="C177" s="454" t="s">
        <v>1452</v>
      </c>
      <c r="D177" s="456" t="s">
        <v>22</v>
      </c>
      <c r="E177" s="457" t="s">
        <v>272</v>
      </c>
      <c r="F177" s="457" t="s">
        <v>841</v>
      </c>
      <c r="G177" s="457" t="s">
        <v>23</v>
      </c>
      <c r="H177" s="460" t="s">
        <v>24</v>
      </c>
      <c r="I177" s="460" t="s">
        <v>31</v>
      </c>
      <c r="J177" s="460" t="s">
        <v>34</v>
      </c>
      <c r="K177" s="461" t="s">
        <v>33</v>
      </c>
    </row>
    <row r="178" spans="3:11" ht="15.75" x14ac:dyDescent="0.2">
      <c r="C178" s="454" t="s">
        <v>1451</v>
      </c>
      <c r="D178" s="456" t="s">
        <v>22</v>
      </c>
      <c r="E178" s="457" t="s">
        <v>272</v>
      </c>
      <c r="F178" s="457" t="s">
        <v>32</v>
      </c>
      <c r="G178" s="457" t="s">
        <v>23</v>
      </c>
      <c r="H178" s="460" t="s">
        <v>24</v>
      </c>
      <c r="I178" s="460" t="s">
        <v>31</v>
      </c>
      <c r="J178" s="460" t="s">
        <v>34</v>
      </c>
      <c r="K178" s="461" t="s">
        <v>33</v>
      </c>
    </row>
    <row r="179" spans="3:11" ht="15.75" x14ac:dyDescent="0.2">
      <c r="C179" s="454" t="s">
        <v>1450</v>
      </c>
      <c r="D179" s="456" t="s">
        <v>22</v>
      </c>
      <c r="E179" s="457" t="s">
        <v>272</v>
      </c>
      <c r="F179" s="457" t="s">
        <v>841</v>
      </c>
      <c r="G179" s="457" t="s">
        <v>23</v>
      </c>
      <c r="H179" s="460" t="s">
        <v>24</v>
      </c>
      <c r="I179" s="460" t="s">
        <v>31</v>
      </c>
      <c r="J179" s="460" t="s">
        <v>34</v>
      </c>
      <c r="K179" s="461" t="s">
        <v>32</v>
      </c>
    </row>
    <row r="180" spans="3:11" ht="15.75" x14ac:dyDescent="0.2">
      <c r="C180" s="454" t="s">
        <v>1449</v>
      </c>
      <c r="D180" s="456" t="s">
        <v>22</v>
      </c>
      <c r="E180" s="457" t="s">
        <v>272</v>
      </c>
      <c r="F180" s="457" t="s">
        <v>841</v>
      </c>
      <c r="G180" s="457" t="s">
        <v>23</v>
      </c>
      <c r="H180" s="460" t="s">
        <v>24</v>
      </c>
      <c r="I180" s="460" t="s">
        <v>31</v>
      </c>
      <c r="J180" s="460" t="s">
        <v>32</v>
      </c>
      <c r="K180" s="461" t="s">
        <v>33</v>
      </c>
    </row>
    <row r="181" spans="3:11" ht="15.75" x14ac:dyDescent="0.2">
      <c r="C181" s="454" t="s">
        <v>1448</v>
      </c>
      <c r="D181" s="456" t="s">
        <v>31</v>
      </c>
      <c r="E181" s="457" t="s">
        <v>841</v>
      </c>
      <c r="F181" s="457" t="s">
        <v>32</v>
      </c>
      <c r="G181" s="457" t="s">
        <v>25</v>
      </c>
      <c r="H181" s="460" t="s">
        <v>24</v>
      </c>
      <c r="I181" s="460" t="s">
        <v>272</v>
      </c>
      <c r="J181" s="460" t="s">
        <v>34</v>
      </c>
      <c r="K181" s="461" t="s">
        <v>33</v>
      </c>
    </row>
    <row r="182" spans="3:11" ht="15.75" x14ac:dyDescent="0.2">
      <c r="C182" s="454" t="s">
        <v>1447</v>
      </c>
      <c r="D182" s="456" t="s">
        <v>31</v>
      </c>
      <c r="E182" s="457" t="s">
        <v>841</v>
      </c>
      <c r="F182" s="457" t="s">
        <v>32</v>
      </c>
      <c r="G182" s="457" t="s">
        <v>25</v>
      </c>
      <c r="H182" s="460" t="s">
        <v>24</v>
      </c>
      <c r="I182" s="460" t="s">
        <v>23</v>
      </c>
      <c r="J182" s="460" t="s">
        <v>34</v>
      </c>
      <c r="K182" s="461" t="s">
        <v>33</v>
      </c>
    </row>
    <row r="183" spans="3:11" ht="15.75" x14ac:dyDescent="0.2">
      <c r="C183" s="454" t="s">
        <v>1446</v>
      </c>
      <c r="D183" s="456" t="s">
        <v>32</v>
      </c>
      <c r="E183" s="457" t="s">
        <v>272</v>
      </c>
      <c r="F183" s="457" t="s">
        <v>841</v>
      </c>
      <c r="G183" s="457" t="s">
        <v>25</v>
      </c>
      <c r="H183" s="460" t="s">
        <v>24</v>
      </c>
      <c r="I183" s="460" t="s">
        <v>23</v>
      </c>
      <c r="J183" s="460" t="s">
        <v>34</v>
      </c>
      <c r="K183" s="461" t="s">
        <v>33</v>
      </c>
    </row>
    <row r="184" spans="3:11" ht="15.75" x14ac:dyDescent="0.2">
      <c r="C184" s="454" t="s">
        <v>1445</v>
      </c>
      <c r="D184" s="456" t="s">
        <v>31</v>
      </c>
      <c r="E184" s="457" t="s">
        <v>272</v>
      </c>
      <c r="F184" s="457" t="s">
        <v>841</v>
      </c>
      <c r="G184" s="457" t="s">
        <v>25</v>
      </c>
      <c r="H184" s="460" t="s">
        <v>24</v>
      </c>
      <c r="I184" s="460" t="s">
        <v>23</v>
      </c>
      <c r="J184" s="460" t="s">
        <v>34</v>
      </c>
      <c r="K184" s="461" t="s">
        <v>33</v>
      </c>
    </row>
    <row r="185" spans="3:11" ht="15.75" x14ac:dyDescent="0.2">
      <c r="C185" s="454" t="s">
        <v>1444</v>
      </c>
      <c r="D185" s="456" t="s">
        <v>31</v>
      </c>
      <c r="E185" s="457" t="s">
        <v>272</v>
      </c>
      <c r="F185" s="457" t="s">
        <v>32</v>
      </c>
      <c r="G185" s="457" t="s">
        <v>25</v>
      </c>
      <c r="H185" s="460" t="s">
        <v>24</v>
      </c>
      <c r="I185" s="460" t="s">
        <v>23</v>
      </c>
      <c r="J185" s="460" t="s">
        <v>34</v>
      </c>
      <c r="K185" s="461" t="s">
        <v>33</v>
      </c>
    </row>
    <row r="186" spans="3:11" ht="15.75" x14ac:dyDescent="0.2">
      <c r="C186" s="454" t="s">
        <v>1443</v>
      </c>
      <c r="D186" s="456" t="s">
        <v>31</v>
      </c>
      <c r="E186" s="457" t="s">
        <v>272</v>
      </c>
      <c r="F186" s="457" t="s">
        <v>841</v>
      </c>
      <c r="G186" s="457" t="s">
        <v>25</v>
      </c>
      <c r="H186" s="460" t="s">
        <v>24</v>
      </c>
      <c r="I186" s="460" t="s">
        <v>23</v>
      </c>
      <c r="J186" s="460" t="s">
        <v>34</v>
      </c>
      <c r="K186" s="461" t="s">
        <v>32</v>
      </c>
    </row>
    <row r="187" spans="3:11" ht="15.75" x14ac:dyDescent="0.2">
      <c r="C187" s="454" t="s">
        <v>1442</v>
      </c>
      <c r="D187" s="456" t="s">
        <v>31</v>
      </c>
      <c r="E187" s="457" t="s">
        <v>272</v>
      </c>
      <c r="F187" s="457" t="s">
        <v>841</v>
      </c>
      <c r="G187" s="457" t="s">
        <v>25</v>
      </c>
      <c r="H187" s="460" t="s">
        <v>24</v>
      </c>
      <c r="I187" s="460" t="s">
        <v>23</v>
      </c>
      <c r="J187" s="460" t="s">
        <v>32</v>
      </c>
      <c r="K187" s="461" t="s">
        <v>33</v>
      </c>
    </row>
    <row r="188" spans="3:11" ht="15.75" x14ac:dyDescent="0.2">
      <c r="C188" s="454" t="s">
        <v>1441</v>
      </c>
      <c r="D188" s="456" t="s">
        <v>22</v>
      </c>
      <c r="E188" s="457" t="s">
        <v>841</v>
      </c>
      <c r="F188" s="457" t="s">
        <v>32</v>
      </c>
      <c r="G188" s="457" t="s">
        <v>25</v>
      </c>
      <c r="H188" s="460" t="s">
        <v>24</v>
      </c>
      <c r="I188" s="460" t="s">
        <v>31</v>
      </c>
      <c r="J188" s="460" t="s">
        <v>34</v>
      </c>
      <c r="K188" s="461" t="s">
        <v>33</v>
      </c>
    </row>
    <row r="189" spans="3:11" ht="15.75" x14ac:dyDescent="0.2">
      <c r="C189" s="454" t="s">
        <v>1440</v>
      </c>
      <c r="D189" s="456" t="s">
        <v>22</v>
      </c>
      <c r="E189" s="457" t="s">
        <v>841</v>
      </c>
      <c r="F189" s="457" t="s">
        <v>32</v>
      </c>
      <c r="G189" s="457" t="s">
        <v>25</v>
      </c>
      <c r="H189" s="460" t="s">
        <v>24</v>
      </c>
      <c r="I189" s="460" t="s">
        <v>272</v>
      </c>
      <c r="J189" s="460" t="s">
        <v>34</v>
      </c>
      <c r="K189" s="461" t="s">
        <v>33</v>
      </c>
    </row>
    <row r="190" spans="3:11" ht="15.75" x14ac:dyDescent="0.2">
      <c r="C190" s="454" t="s">
        <v>1439</v>
      </c>
      <c r="D190" s="456" t="s">
        <v>22</v>
      </c>
      <c r="E190" s="457" t="s">
        <v>272</v>
      </c>
      <c r="F190" s="457" t="s">
        <v>841</v>
      </c>
      <c r="G190" s="457" t="s">
        <v>25</v>
      </c>
      <c r="H190" s="460" t="s">
        <v>24</v>
      </c>
      <c r="I190" s="460" t="s">
        <v>31</v>
      </c>
      <c r="J190" s="460" t="s">
        <v>34</v>
      </c>
      <c r="K190" s="461" t="s">
        <v>33</v>
      </c>
    </row>
    <row r="191" spans="3:11" ht="15.75" x14ac:dyDescent="0.2">
      <c r="C191" s="454" t="s">
        <v>1438</v>
      </c>
      <c r="D191" s="456" t="s">
        <v>22</v>
      </c>
      <c r="E191" s="457" t="s">
        <v>272</v>
      </c>
      <c r="F191" s="457" t="s">
        <v>32</v>
      </c>
      <c r="G191" s="457" t="s">
        <v>25</v>
      </c>
      <c r="H191" s="460" t="s">
        <v>24</v>
      </c>
      <c r="I191" s="460" t="s">
        <v>31</v>
      </c>
      <c r="J191" s="460" t="s">
        <v>34</v>
      </c>
      <c r="K191" s="461" t="s">
        <v>33</v>
      </c>
    </row>
    <row r="192" spans="3:11" ht="15.75" x14ac:dyDescent="0.2">
      <c r="C192" s="454" t="s">
        <v>1437</v>
      </c>
      <c r="D192" s="456" t="s">
        <v>22</v>
      </c>
      <c r="E192" s="457" t="s">
        <v>272</v>
      </c>
      <c r="F192" s="457" t="s">
        <v>841</v>
      </c>
      <c r="G192" s="457" t="s">
        <v>25</v>
      </c>
      <c r="H192" s="460" t="s">
        <v>24</v>
      </c>
      <c r="I192" s="460" t="s">
        <v>31</v>
      </c>
      <c r="J192" s="460" t="s">
        <v>34</v>
      </c>
      <c r="K192" s="461" t="s">
        <v>32</v>
      </c>
    </row>
    <row r="193" spans="3:11" ht="15.75" x14ac:dyDescent="0.2">
      <c r="C193" s="454" t="s">
        <v>1436</v>
      </c>
      <c r="D193" s="456" t="s">
        <v>22</v>
      </c>
      <c r="E193" s="457" t="s">
        <v>272</v>
      </c>
      <c r="F193" s="457" t="s">
        <v>841</v>
      </c>
      <c r="G193" s="457" t="s">
        <v>25</v>
      </c>
      <c r="H193" s="460" t="s">
        <v>24</v>
      </c>
      <c r="I193" s="460" t="s">
        <v>31</v>
      </c>
      <c r="J193" s="460" t="s">
        <v>32</v>
      </c>
      <c r="K193" s="461" t="s">
        <v>33</v>
      </c>
    </row>
    <row r="194" spans="3:11" ht="15.75" x14ac:dyDescent="0.2">
      <c r="C194" s="454" t="s">
        <v>1435</v>
      </c>
      <c r="D194" s="456" t="s">
        <v>22</v>
      </c>
      <c r="E194" s="457" t="s">
        <v>841</v>
      </c>
      <c r="F194" s="457" t="s">
        <v>32</v>
      </c>
      <c r="G194" s="457" t="s">
        <v>25</v>
      </c>
      <c r="H194" s="460" t="s">
        <v>24</v>
      </c>
      <c r="I194" s="460" t="s">
        <v>23</v>
      </c>
      <c r="J194" s="460" t="s">
        <v>34</v>
      </c>
      <c r="K194" s="461" t="s">
        <v>33</v>
      </c>
    </row>
    <row r="195" spans="3:11" ht="15.75" x14ac:dyDescent="0.2">
      <c r="C195" s="454" t="s">
        <v>1434</v>
      </c>
      <c r="D195" s="456" t="s">
        <v>31</v>
      </c>
      <c r="E195" s="457" t="s">
        <v>841</v>
      </c>
      <c r="F195" s="457" t="s">
        <v>22</v>
      </c>
      <c r="G195" s="457" t="s">
        <v>25</v>
      </c>
      <c r="H195" s="460" t="s">
        <v>24</v>
      </c>
      <c r="I195" s="460" t="s">
        <v>23</v>
      </c>
      <c r="J195" s="460" t="s">
        <v>34</v>
      </c>
      <c r="K195" s="461" t="s">
        <v>33</v>
      </c>
    </row>
    <row r="196" spans="3:11" ht="15.75" x14ac:dyDescent="0.2">
      <c r="C196" s="454" t="s">
        <v>1433</v>
      </c>
      <c r="D196" s="456" t="s">
        <v>31</v>
      </c>
      <c r="E196" s="457" t="s">
        <v>22</v>
      </c>
      <c r="F196" s="457" t="s">
        <v>32</v>
      </c>
      <c r="G196" s="457" t="s">
        <v>25</v>
      </c>
      <c r="H196" s="460" t="s">
        <v>24</v>
      </c>
      <c r="I196" s="460" t="s">
        <v>23</v>
      </c>
      <c r="J196" s="460" t="s">
        <v>34</v>
      </c>
      <c r="K196" s="461" t="s">
        <v>33</v>
      </c>
    </row>
    <row r="197" spans="3:11" ht="15.75" x14ac:dyDescent="0.2">
      <c r="C197" s="454" t="s">
        <v>1432</v>
      </c>
      <c r="D197" s="456" t="s">
        <v>31</v>
      </c>
      <c r="E197" s="457" t="s">
        <v>841</v>
      </c>
      <c r="F197" s="457" t="s">
        <v>22</v>
      </c>
      <c r="G197" s="457" t="s">
        <v>25</v>
      </c>
      <c r="H197" s="460" t="s">
        <v>24</v>
      </c>
      <c r="I197" s="460" t="s">
        <v>23</v>
      </c>
      <c r="J197" s="460" t="s">
        <v>34</v>
      </c>
      <c r="K197" s="461" t="s">
        <v>32</v>
      </c>
    </row>
    <row r="198" spans="3:11" ht="15.75" x14ac:dyDescent="0.2">
      <c r="C198" s="454" t="s">
        <v>1431</v>
      </c>
      <c r="D198" s="456" t="s">
        <v>31</v>
      </c>
      <c r="E198" s="457" t="s">
        <v>841</v>
      </c>
      <c r="F198" s="457" t="s">
        <v>22</v>
      </c>
      <c r="G198" s="457" t="s">
        <v>25</v>
      </c>
      <c r="H198" s="460" t="s">
        <v>24</v>
      </c>
      <c r="I198" s="460" t="s">
        <v>23</v>
      </c>
      <c r="J198" s="460" t="s">
        <v>32</v>
      </c>
      <c r="K198" s="461" t="s">
        <v>33</v>
      </c>
    </row>
    <row r="199" spans="3:11" ht="15.75" x14ac:dyDescent="0.2">
      <c r="C199" s="454" t="s">
        <v>1430</v>
      </c>
      <c r="D199" s="456" t="s">
        <v>22</v>
      </c>
      <c r="E199" s="457" t="s">
        <v>272</v>
      </c>
      <c r="F199" s="457" t="s">
        <v>841</v>
      </c>
      <c r="G199" s="457" t="s">
        <v>25</v>
      </c>
      <c r="H199" s="460" t="s">
        <v>24</v>
      </c>
      <c r="I199" s="460" t="s">
        <v>23</v>
      </c>
      <c r="J199" s="460" t="s">
        <v>34</v>
      </c>
      <c r="K199" s="461" t="s">
        <v>33</v>
      </c>
    </row>
    <row r="200" spans="3:11" ht="15.75" x14ac:dyDescent="0.2">
      <c r="C200" s="454" t="s">
        <v>1429</v>
      </c>
      <c r="D200" s="456" t="s">
        <v>22</v>
      </c>
      <c r="E200" s="457" t="s">
        <v>272</v>
      </c>
      <c r="F200" s="457" t="s">
        <v>32</v>
      </c>
      <c r="G200" s="457" t="s">
        <v>25</v>
      </c>
      <c r="H200" s="460" t="s">
        <v>24</v>
      </c>
      <c r="I200" s="460" t="s">
        <v>23</v>
      </c>
      <c r="J200" s="460" t="s">
        <v>34</v>
      </c>
      <c r="K200" s="461" t="s">
        <v>33</v>
      </c>
    </row>
    <row r="201" spans="3:11" ht="15.75" x14ac:dyDescent="0.2">
      <c r="C201" s="454" t="s">
        <v>1428</v>
      </c>
      <c r="D201" s="456" t="s">
        <v>22</v>
      </c>
      <c r="E201" s="457" t="s">
        <v>272</v>
      </c>
      <c r="F201" s="457" t="s">
        <v>841</v>
      </c>
      <c r="G201" s="457" t="s">
        <v>25</v>
      </c>
      <c r="H201" s="460" t="s">
        <v>24</v>
      </c>
      <c r="I201" s="460" t="s">
        <v>23</v>
      </c>
      <c r="J201" s="460" t="s">
        <v>34</v>
      </c>
      <c r="K201" s="461" t="s">
        <v>32</v>
      </c>
    </row>
    <row r="202" spans="3:11" ht="15.75" x14ac:dyDescent="0.2">
      <c r="C202" s="454" t="s">
        <v>1427</v>
      </c>
      <c r="D202" s="456" t="s">
        <v>22</v>
      </c>
      <c r="E202" s="457" t="s">
        <v>272</v>
      </c>
      <c r="F202" s="457" t="s">
        <v>841</v>
      </c>
      <c r="G202" s="457" t="s">
        <v>25</v>
      </c>
      <c r="H202" s="460" t="s">
        <v>24</v>
      </c>
      <c r="I202" s="460" t="s">
        <v>23</v>
      </c>
      <c r="J202" s="460" t="s">
        <v>32</v>
      </c>
      <c r="K202" s="461" t="s">
        <v>33</v>
      </c>
    </row>
    <row r="203" spans="3:11" ht="15.75" x14ac:dyDescent="0.2">
      <c r="C203" s="454" t="s">
        <v>1426</v>
      </c>
      <c r="D203" s="456" t="s">
        <v>31</v>
      </c>
      <c r="E203" s="457" t="s">
        <v>272</v>
      </c>
      <c r="F203" s="457" t="s">
        <v>22</v>
      </c>
      <c r="G203" s="457" t="s">
        <v>25</v>
      </c>
      <c r="H203" s="460" t="s">
        <v>24</v>
      </c>
      <c r="I203" s="460" t="s">
        <v>23</v>
      </c>
      <c r="J203" s="460" t="s">
        <v>34</v>
      </c>
      <c r="K203" s="461" t="s">
        <v>33</v>
      </c>
    </row>
    <row r="204" spans="3:11" ht="15.75" x14ac:dyDescent="0.2">
      <c r="C204" s="454" t="s">
        <v>1425</v>
      </c>
      <c r="D204" s="456" t="s">
        <v>31</v>
      </c>
      <c r="E204" s="457" t="s">
        <v>272</v>
      </c>
      <c r="F204" s="457" t="s">
        <v>841</v>
      </c>
      <c r="G204" s="457" t="s">
        <v>25</v>
      </c>
      <c r="H204" s="460" t="s">
        <v>24</v>
      </c>
      <c r="I204" s="460" t="s">
        <v>23</v>
      </c>
      <c r="J204" s="460" t="s">
        <v>34</v>
      </c>
      <c r="K204" s="461" t="s">
        <v>22</v>
      </c>
    </row>
    <row r="205" spans="3:11" ht="15.75" x14ac:dyDescent="0.2">
      <c r="C205" s="454" t="s">
        <v>1424</v>
      </c>
      <c r="D205" s="456" t="s">
        <v>31</v>
      </c>
      <c r="E205" s="457" t="s">
        <v>272</v>
      </c>
      <c r="F205" s="457" t="s">
        <v>841</v>
      </c>
      <c r="G205" s="457" t="s">
        <v>25</v>
      </c>
      <c r="H205" s="460" t="s">
        <v>24</v>
      </c>
      <c r="I205" s="460" t="s">
        <v>23</v>
      </c>
      <c r="J205" s="460" t="s">
        <v>22</v>
      </c>
      <c r="K205" s="461" t="s">
        <v>33</v>
      </c>
    </row>
    <row r="206" spans="3:11" ht="15.75" x14ac:dyDescent="0.2">
      <c r="C206" s="454" t="s">
        <v>1423</v>
      </c>
      <c r="D206" s="456" t="s">
        <v>31</v>
      </c>
      <c r="E206" s="457" t="s">
        <v>272</v>
      </c>
      <c r="F206" s="457" t="s">
        <v>22</v>
      </c>
      <c r="G206" s="457" t="s">
        <v>25</v>
      </c>
      <c r="H206" s="460" t="s">
        <v>24</v>
      </c>
      <c r="I206" s="460" t="s">
        <v>23</v>
      </c>
      <c r="J206" s="460" t="s">
        <v>34</v>
      </c>
      <c r="K206" s="461" t="s">
        <v>32</v>
      </c>
    </row>
    <row r="207" spans="3:11" ht="15.75" x14ac:dyDescent="0.2">
      <c r="C207" s="454" t="s">
        <v>1422</v>
      </c>
      <c r="D207" s="456" t="s">
        <v>31</v>
      </c>
      <c r="E207" s="457" t="s">
        <v>272</v>
      </c>
      <c r="F207" s="457" t="s">
        <v>22</v>
      </c>
      <c r="G207" s="457" t="s">
        <v>25</v>
      </c>
      <c r="H207" s="460" t="s">
        <v>24</v>
      </c>
      <c r="I207" s="460" t="s">
        <v>23</v>
      </c>
      <c r="J207" s="460" t="s">
        <v>32</v>
      </c>
      <c r="K207" s="461" t="s">
        <v>33</v>
      </c>
    </row>
    <row r="208" spans="3:11" ht="15.75" x14ac:dyDescent="0.2">
      <c r="C208" s="454" t="s">
        <v>1421</v>
      </c>
      <c r="D208" s="456" t="s">
        <v>31</v>
      </c>
      <c r="E208" s="457" t="s">
        <v>272</v>
      </c>
      <c r="F208" s="457" t="s">
        <v>841</v>
      </c>
      <c r="G208" s="457" t="s">
        <v>25</v>
      </c>
      <c r="H208" s="460" t="s">
        <v>24</v>
      </c>
      <c r="I208" s="460" t="s">
        <v>23</v>
      </c>
      <c r="J208" s="460" t="s">
        <v>22</v>
      </c>
      <c r="K208" s="461" t="s">
        <v>32</v>
      </c>
    </row>
    <row r="209" spans="3:11" ht="15.75" x14ac:dyDescent="0.2">
      <c r="C209" s="454" t="s">
        <v>1420</v>
      </c>
      <c r="D209" s="456" t="s">
        <v>31</v>
      </c>
      <c r="E209" s="457" t="s">
        <v>841</v>
      </c>
      <c r="F209" s="457" t="s">
        <v>32</v>
      </c>
      <c r="G209" s="457" t="s">
        <v>21</v>
      </c>
      <c r="H209" s="460" t="s">
        <v>24</v>
      </c>
      <c r="I209" s="460" t="s">
        <v>272</v>
      </c>
      <c r="J209" s="460" t="s">
        <v>34</v>
      </c>
      <c r="K209" s="461" t="s">
        <v>33</v>
      </c>
    </row>
    <row r="210" spans="3:11" ht="15.75" x14ac:dyDescent="0.2">
      <c r="C210" s="454" t="s">
        <v>1419</v>
      </c>
      <c r="D210" s="456" t="s">
        <v>31</v>
      </c>
      <c r="E210" s="457" t="s">
        <v>841</v>
      </c>
      <c r="F210" s="457" t="s">
        <v>32</v>
      </c>
      <c r="G210" s="457" t="s">
        <v>21</v>
      </c>
      <c r="H210" s="460" t="s">
        <v>24</v>
      </c>
      <c r="I210" s="460" t="s">
        <v>23</v>
      </c>
      <c r="J210" s="460" t="s">
        <v>34</v>
      </c>
      <c r="K210" s="461" t="s">
        <v>33</v>
      </c>
    </row>
    <row r="211" spans="3:11" ht="15.75" x14ac:dyDescent="0.2">
      <c r="C211" s="454" t="s">
        <v>1418</v>
      </c>
      <c r="D211" s="456" t="s">
        <v>32</v>
      </c>
      <c r="E211" s="457" t="s">
        <v>272</v>
      </c>
      <c r="F211" s="457" t="s">
        <v>841</v>
      </c>
      <c r="G211" s="457" t="s">
        <v>21</v>
      </c>
      <c r="H211" s="460" t="s">
        <v>24</v>
      </c>
      <c r="I211" s="460" t="s">
        <v>23</v>
      </c>
      <c r="J211" s="460" t="s">
        <v>34</v>
      </c>
      <c r="K211" s="461" t="s">
        <v>33</v>
      </c>
    </row>
    <row r="212" spans="3:11" ht="15.75" x14ac:dyDescent="0.2">
      <c r="C212" s="454" t="s">
        <v>1417</v>
      </c>
      <c r="D212" s="456" t="s">
        <v>31</v>
      </c>
      <c r="E212" s="457" t="s">
        <v>272</v>
      </c>
      <c r="F212" s="457" t="s">
        <v>841</v>
      </c>
      <c r="G212" s="457" t="s">
        <v>21</v>
      </c>
      <c r="H212" s="460" t="s">
        <v>24</v>
      </c>
      <c r="I212" s="460" t="s">
        <v>23</v>
      </c>
      <c r="J212" s="460" t="s">
        <v>34</v>
      </c>
      <c r="K212" s="461" t="s">
        <v>33</v>
      </c>
    </row>
    <row r="213" spans="3:11" ht="15.75" x14ac:dyDescent="0.2">
      <c r="C213" s="454" t="s">
        <v>1416</v>
      </c>
      <c r="D213" s="456" t="s">
        <v>31</v>
      </c>
      <c r="E213" s="457" t="s">
        <v>272</v>
      </c>
      <c r="F213" s="457" t="s">
        <v>32</v>
      </c>
      <c r="G213" s="457" t="s">
        <v>21</v>
      </c>
      <c r="H213" s="460" t="s">
        <v>24</v>
      </c>
      <c r="I213" s="460" t="s">
        <v>23</v>
      </c>
      <c r="J213" s="460" t="s">
        <v>34</v>
      </c>
      <c r="K213" s="461" t="s">
        <v>33</v>
      </c>
    </row>
    <row r="214" spans="3:11" ht="15.75" x14ac:dyDescent="0.2">
      <c r="C214" s="454" t="s">
        <v>1415</v>
      </c>
      <c r="D214" s="456" t="s">
        <v>31</v>
      </c>
      <c r="E214" s="457" t="s">
        <v>272</v>
      </c>
      <c r="F214" s="457" t="s">
        <v>841</v>
      </c>
      <c r="G214" s="457" t="s">
        <v>21</v>
      </c>
      <c r="H214" s="460" t="s">
        <v>24</v>
      </c>
      <c r="I214" s="460" t="s">
        <v>23</v>
      </c>
      <c r="J214" s="460" t="s">
        <v>34</v>
      </c>
      <c r="K214" s="461" t="s">
        <v>32</v>
      </c>
    </row>
    <row r="215" spans="3:11" ht="15.75" x14ac:dyDescent="0.2">
      <c r="C215" s="454" t="s">
        <v>1414</v>
      </c>
      <c r="D215" s="456" t="s">
        <v>31</v>
      </c>
      <c r="E215" s="457" t="s">
        <v>272</v>
      </c>
      <c r="F215" s="457" t="s">
        <v>841</v>
      </c>
      <c r="G215" s="457" t="s">
        <v>21</v>
      </c>
      <c r="H215" s="460" t="s">
        <v>24</v>
      </c>
      <c r="I215" s="460" t="s">
        <v>23</v>
      </c>
      <c r="J215" s="460" t="s">
        <v>32</v>
      </c>
      <c r="K215" s="461" t="s">
        <v>33</v>
      </c>
    </row>
    <row r="216" spans="3:11" ht="15.75" x14ac:dyDescent="0.2">
      <c r="C216" s="454" t="s">
        <v>1413</v>
      </c>
      <c r="D216" s="456" t="s">
        <v>22</v>
      </c>
      <c r="E216" s="457" t="s">
        <v>841</v>
      </c>
      <c r="F216" s="457" t="s">
        <v>32</v>
      </c>
      <c r="G216" s="457" t="s">
        <v>21</v>
      </c>
      <c r="H216" s="460" t="s">
        <v>24</v>
      </c>
      <c r="I216" s="460" t="s">
        <v>31</v>
      </c>
      <c r="J216" s="460" t="s">
        <v>34</v>
      </c>
      <c r="K216" s="461" t="s">
        <v>33</v>
      </c>
    </row>
    <row r="217" spans="3:11" ht="15.75" x14ac:dyDescent="0.2">
      <c r="C217" s="454" t="s">
        <v>1412</v>
      </c>
      <c r="D217" s="456" t="s">
        <v>22</v>
      </c>
      <c r="E217" s="457" t="s">
        <v>841</v>
      </c>
      <c r="F217" s="457" t="s">
        <v>32</v>
      </c>
      <c r="G217" s="457" t="s">
        <v>21</v>
      </c>
      <c r="H217" s="460" t="s">
        <v>24</v>
      </c>
      <c r="I217" s="460" t="s">
        <v>272</v>
      </c>
      <c r="J217" s="460" t="s">
        <v>34</v>
      </c>
      <c r="K217" s="461" t="s">
        <v>33</v>
      </c>
    </row>
    <row r="218" spans="3:11" ht="15.75" x14ac:dyDescent="0.2">
      <c r="C218" s="454" t="s">
        <v>1411</v>
      </c>
      <c r="D218" s="456" t="s">
        <v>22</v>
      </c>
      <c r="E218" s="457" t="s">
        <v>272</v>
      </c>
      <c r="F218" s="457" t="s">
        <v>841</v>
      </c>
      <c r="G218" s="457" t="s">
        <v>21</v>
      </c>
      <c r="H218" s="460" t="s">
        <v>24</v>
      </c>
      <c r="I218" s="460" t="s">
        <v>31</v>
      </c>
      <c r="J218" s="460" t="s">
        <v>34</v>
      </c>
      <c r="K218" s="461" t="s">
        <v>33</v>
      </c>
    </row>
    <row r="219" spans="3:11" ht="15.75" x14ac:dyDescent="0.2">
      <c r="C219" s="454" t="s">
        <v>1410</v>
      </c>
      <c r="D219" s="456" t="s">
        <v>22</v>
      </c>
      <c r="E219" s="457" t="s">
        <v>272</v>
      </c>
      <c r="F219" s="457" t="s">
        <v>32</v>
      </c>
      <c r="G219" s="457" t="s">
        <v>21</v>
      </c>
      <c r="H219" s="460" t="s">
        <v>24</v>
      </c>
      <c r="I219" s="460" t="s">
        <v>31</v>
      </c>
      <c r="J219" s="460" t="s">
        <v>34</v>
      </c>
      <c r="K219" s="461" t="s">
        <v>33</v>
      </c>
    </row>
    <row r="220" spans="3:11" ht="15.75" x14ac:dyDescent="0.2">
      <c r="C220" s="454" t="s">
        <v>1409</v>
      </c>
      <c r="D220" s="456" t="s">
        <v>22</v>
      </c>
      <c r="E220" s="457" t="s">
        <v>272</v>
      </c>
      <c r="F220" s="457" t="s">
        <v>841</v>
      </c>
      <c r="G220" s="457" t="s">
        <v>21</v>
      </c>
      <c r="H220" s="460" t="s">
        <v>24</v>
      </c>
      <c r="I220" s="460" t="s">
        <v>31</v>
      </c>
      <c r="J220" s="460" t="s">
        <v>34</v>
      </c>
      <c r="K220" s="461" t="s">
        <v>32</v>
      </c>
    </row>
    <row r="221" spans="3:11" ht="15.75" x14ac:dyDescent="0.2">
      <c r="C221" s="454" t="s">
        <v>1408</v>
      </c>
      <c r="D221" s="456" t="s">
        <v>22</v>
      </c>
      <c r="E221" s="457" t="s">
        <v>272</v>
      </c>
      <c r="F221" s="457" t="s">
        <v>841</v>
      </c>
      <c r="G221" s="457" t="s">
        <v>21</v>
      </c>
      <c r="H221" s="460" t="s">
        <v>24</v>
      </c>
      <c r="I221" s="460" t="s">
        <v>31</v>
      </c>
      <c r="J221" s="460" t="s">
        <v>32</v>
      </c>
      <c r="K221" s="461" t="s">
        <v>33</v>
      </c>
    </row>
    <row r="222" spans="3:11" ht="15.75" x14ac:dyDescent="0.2">
      <c r="C222" s="454" t="s">
        <v>1407</v>
      </c>
      <c r="D222" s="456" t="s">
        <v>22</v>
      </c>
      <c r="E222" s="457" t="s">
        <v>841</v>
      </c>
      <c r="F222" s="457" t="s">
        <v>32</v>
      </c>
      <c r="G222" s="457" t="s">
        <v>21</v>
      </c>
      <c r="H222" s="460" t="s">
        <v>24</v>
      </c>
      <c r="I222" s="460" t="s">
        <v>23</v>
      </c>
      <c r="J222" s="460" t="s">
        <v>34</v>
      </c>
      <c r="K222" s="461" t="s">
        <v>33</v>
      </c>
    </row>
    <row r="223" spans="3:11" ht="15.75" x14ac:dyDescent="0.2">
      <c r="C223" s="454" t="s">
        <v>1406</v>
      </c>
      <c r="D223" s="456" t="s">
        <v>31</v>
      </c>
      <c r="E223" s="457" t="s">
        <v>841</v>
      </c>
      <c r="F223" s="457" t="s">
        <v>22</v>
      </c>
      <c r="G223" s="457" t="s">
        <v>21</v>
      </c>
      <c r="H223" s="460" t="s">
        <v>24</v>
      </c>
      <c r="I223" s="460" t="s">
        <v>23</v>
      </c>
      <c r="J223" s="460" t="s">
        <v>34</v>
      </c>
      <c r="K223" s="461" t="s">
        <v>33</v>
      </c>
    </row>
    <row r="224" spans="3:11" ht="15.75" x14ac:dyDescent="0.2">
      <c r="C224" s="454" t="s">
        <v>1405</v>
      </c>
      <c r="D224" s="456" t="s">
        <v>31</v>
      </c>
      <c r="E224" s="457" t="s">
        <v>22</v>
      </c>
      <c r="F224" s="457" t="s">
        <v>32</v>
      </c>
      <c r="G224" s="457" t="s">
        <v>21</v>
      </c>
      <c r="H224" s="460" t="s">
        <v>24</v>
      </c>
      <c r="I224" s="460" t="s">
        <v>23</v>
      </c>
      <c r="J224" s="460" t="s">
        <v>34</v>
      </c>
      <c r="K224" s="461" t="s">
        <v>33</v>
      </c>
    </row>
    <row r="225" spans="3:11" ht="15.75" x14ac:dyDescent="0.2">
      <c r="C225" s="454" t="s">
        <v>1404</v>
      </c>
      <c r="D225" s="456" t="s">
        <v>31</v>
      </c>
      <c r="E225" s="457" t="s">
        <v>841</v>
      </c>
      <c r="F225" s="457" t="s">
        <v>22</v>
      </c>
      <c r="G225" s="457" t="s">
        <v>21</v>
      </c>
      <c r="H225" s="460" t="s">
        <v>24</v>
      </c>
      <c r="I225" s="460" t="s">
        <v>23</v>
      </c>
      <c r="J225" s="460" t="s">
        <v>34</v>
      </c>
      <c r="K225" s="461" t="s">
        <v>32</v>
      </c>
    </row>
    <row r="226" spans="3:11" ht="15.75" x14ac:dyDescent="0.2">
      <c r="C226" s="454" t="s">
        <v>1403</v>
      </c>
      <c r="D226" s="456" t="s">
        <v>31</v>
      </c>
      <c r="E226" s="457" t="s">
        <v>841</v>
      </c>
      <c r="F226" s="457" t="s">
        <v>22</v>
      </c>
      <c r="G226" s="457" t="s">
        <v>21</v>
      </c>
      <c r="H226" s="460" t="s">
        <v>24</v>
      </c>
      <c r="I226" s="460" t="s">
        <v>23</v>
      </c>
      <c r="J226" s="460" t="s">
        <v>32</v>
      </c>
      <c r="K226" s="461" t="s">
        <v>33</v>
      </c>
    </row>
    <row r="227" spans="3:11" ht="15.75" x14ac:dyDescent="0.2">
      <c r="C227" s="454" t="s">
        <v>1402</v>
      </c>
      <c r="D227" s="456" t="s">
        <v>22</v>
      </c>
      <c r="E227" s="457" t="s">
        <v>272</v>
      </c>
      <c r="F227" s="457" t="s">
        <v>841</v>
      </c>
      <c r="G227" s="457" t="s">
        <v>21</v>
      </c>
      <c r="H227" s="460" t="s">
        <v>24</v>
      </c>
      <c r="I227" s="460" t="s">
        <v>23</v>
      </c>
      <c r="J227" s="460" t="s">
        <v>34</v>
      </c>
      <c r="K227" s="461" t="s">
        <v>33</v>
      </c>
    </row>
    <row r="228" spans="3:11" ht="15.75" x14ac:dyDescent="0.2">
      <c r="C228" s="454" t="s">
        <v>1401</v>
      </c>
      <c r="D228" s="456" t="s">
        <v>22</v>
      </c>
      <c r="E228" s="457" t="s">
        <v>272</v>
      </c>
      <c r="F228" s="457" t="s">
        <v>32</v>
      </c>
      <c r="G228" s="457" t="s">
        <v>21</v>
      </c>
      <c r="H228" s="460" t="s">
        <v>24</v>
      </c>
      <c r="I228" s="460" t="s">
        <v>23</v>
      </c>
      <c r="J228" s="460" t="s">
        <v>34</v>
      </c>
      <c r="K228" s="461" t="s">
        <v>33</v>
      </c>
    </row>
    <row r="229" spans="3:11" ht="15.75" x14ac:dyDescent="0.2">
      <c r="C229" s="454" t="s">
        <v>1400</v>
      </c>
      <c r="D229" s="456" t="s">
        <v>22</v>
      </c>
      <c r="E229" s="457" t="s">
        <v>272</v>
      </c>
      <c r="F229" s="457" t="s">
        <v>841</v>
      </c>
      <c r="G229" s="457" t="s">
        <v>21</v>
      </c>
      <c r="H229" s="460" t="s">
        <v>24</v>
      </c>
      <c r="I229" s="460" t="s">
        <v>23</v>
      </c>
      <c r="J229" s="460" t="s">
        <v>34</v>
      </c>
      <c r="K229" s="461" t="s">
        <v>32</v>
      </c>
    </row>
    <row r="230" spans="3:11" ht="15.75" x14ac:dyDescent="0.2">
      <c r="C230" s="454" t="s">
        <v>1399</v>
      </c>
      <c r="D230" s="456" t="s">
        <v>22</v>
      </c>
      <c r="E230" s="457" t="s">
        <v>272</v>
      </c>
      <c r="F230" s="457" t="s">
        <v>841</v>
      </c>
      <c r="G230" s="457" t="s">
        <v>21</v>
      </c>
      <c r="H230" s="460" t="s">
        <v>24</v>
      </c>
      <c r="I230" s="460" t="s">
        <v>23</v>
      </c>
      <c r="J230" s="460" t="s">
        <v>32</v>
      </c>
      <c r="K230" s="461" t="s">
        <v>33</v>
      </c>
    </row>
    <row r="231" spans="3:11" ht="15.75" x14ac:dyDescent="0.2">
      <c r="C231" s="454" t="s">
        <v>1398</v>
      </c>
      <c r="D231" s="456" t="s">
        <v>31</v>
      </c>
      <c r="E231" s="457" t="s">
        <v>272</v>
      </c>
      <c r="F231" s="457" t="s">
        <v>22</v>
      </c>
      <c r="G231" s="457" t="s">
        <v>21</v>
      </c>
      <c r="H231" s="460" t="s">
        <v>24</v>
      </c>
      <c r="I231" s="460" t="s">
        <v>23</v>
      </c>
      <c r="J231" s="460" t="s">
        <v>34</v>
      </c>
      <c r="K231" s="461" t="s">
        <v>33</v>
      </c>
    </row>
    <row r="232" spans="3:11" ht="15.75" x14ac:dyDescent="0.2">
      <c r="C232" s="454" t="s">
        <v>1397</v>
      </c>
      <c r="D232" s="456" t="s">
        <v>31</v>
      </c>
      <c r="E232" s="457" t="s">
        <v>272</v>
      </c>
      <c r="F232" s="457" t="s">
        <v>841</v>
      </c>
      <c r="G232" s="457" t="s">
        <v>21</v>
      </c>
      <c r="H232" s="460" t="s">
        <v>24</v>
      </c>
      <c r="I232" s="460" t="s">
        <v>23</v>
      </c>
      <c r="J232" s="460" t="s">
        <v>34</v>
      </c>
      <c r="K232" s="461" t="s">
        <v>22</v>
      </c>
    </row>
    <row r="233" spans="3:11" ht="15.75" x14ac:dyDescent="0.2">
      <c r="C233" s="454" t="s">
        <v>1396</v>
      </c>
      <c r="D233" s="456" t="s">
        <v>31</v>
      </c>
      <c r="E233" s="457" t="s">
        <v>272</v>
      </c>
      <c r="F233" s="457" t="s">
        <v>841</v>
      </c>
      <c r="G233" s="457" t="s">
        <v>21</v>
      </c>
      <c r="H233" s="460" t="s">
        <v>24</v>
      </c>
      <c r="I233" s="460" t="s">
        <v>23</v>
      </c>
      <c r="J233" s="460" t="s">
        <v>22</v>
      </c>
      <c r="K233" s="461" t="s">
        <v>33</v>
      </c>
    </row>
    <row r="234" spans="3:11" ht="15.75" x14ac:dyDescent="0.2">
      <c r="C234" s="454" t="s">
        <v>1395</v>
      </c>
      <c r="D234" s="456" t="s">
        <v>31</v>
      </c>
      <c r="E234" s="457" t="s">
        <v>272</v>
      </c>
      <c r="F234" s="457" t="s">
        <v>22</v>
      </c>
      <c r="G234" s="457" t="s">
        <v>21</v>
      </c>
      <c r="H234" s="460" t="s">
        <v>24</v>
      </c>
      <c r="I234" s="460" t="s">
        <v>23</v>
      </c>
      <c r="J234" s="460" t="s">
        <v>34</v>
      </c>
      <c r="K234" s="461" t="s">
        <v>32</v>
      </c>
    </row>
    <row r="235" spans="3:11" ht="15.75" x14ac:dyDescent="0.2">
      <c r="C235" s="454" t="s">
        <v>1394</v>
      </c>
      <c r="D235" s="456" t="s">
        <v>31</v>
      </c>
      <c r="E235" s="457" t="s">
        <v>272</v>
      </c>
      <c r="F235" s="457" t="s">
        <v>22</v>
      </c>
      <c r="G235" s="457" t="s">
        <v>21</v>
      </c>
      <c r="H235" s="460" t="s">
        <v>24</v>
      </c>
      <c r="I235" s="460" t="s">
        <v>23</v>
      </c>
      <c r="J235" s="460" t="s">
        <v>32</v>
      </c>
      <c r="K235" s="461" t="s">
        <v>33</v>
      </c>
    </row>
    <row r="236" spans="3:11" ht="15.75" x14ac:dyDescent="0.2">
      <c r="C236" s="454" t="s">
        <v>1393</v>
      </c>
      <c r="D236" s="456" t="s">
        <v>31</v>
      </c>
      <c r="E236" s="457" t="s">
        <v>272</v>
      </c>
      <c r="F236" s="457" t="s">
        <v>841</v>
      </c>
      <c r="G236" s="457" t="s">
        <v>21</v>
      </c>
      <c r="H236" s="460" t="s">
        <v>24</v>
      </c>
      <c r="I236" s="460" t="s">
        <v>23</v>
      </c>
      <c r="J236" s="460" t="s">
        <v>22</v>
      </c>
      <c r="K236" s="461" t="s">
        <v>32</v>
      </c>
    </row>
    <row r="237" spans="3:11" ht="15.75" x14ac:dyDescent="0.2">
      <c r="C237" s="454" t="s">
        <v>1392</v>
      </c>
      <c r="D237" s="456" t="s">
        <v>31</v>
      </c>
      <c r="E237" s="457" t="s">
        <v>841</v>
      </c>
      <c r="F237" s="457" t="s">
        <v>32</v>
      </c>
      <c r="G237" s="457" t="s">
        <v>21</v>
      </c>
      <c r="H237" s="460" t="s">
        <v>24</v>
      </c>
      <c r="I237" s="460" t="s">
        <v>25</v>
      </c>
      <c r="J237" s="460" t="s">
        <v>34</v>
      </c>
      <c r="K237" s="461" t="s">
        <v>33</v>
      </c>
    </row>
    <row r="238" spans="3:11" ht="15.75" x14ac:dyDescent="0.2">
      <c r="C238" s="454" t="s">
        <v>1391</v>
      </c>
      <c r="D238" s="456" t="s">
        <v>32</v>
      </c>
      <c r="E238" s="457" t="s">
        <v>272</v>
      </c>
      <c r="F238" s="457" t="s">
        <v>841</v>
      </c>
      <c r="G238" s="457" t="s">
        <v>21</v>
      </c>
      <c r="H238" s="460" t="s">
        <v>24</v>
      </c>
      <c r="I238" s="460" t="s">
        <v>25</v>
      </c>
      <c r="J238" s="460" t="s">
        <v>34</v>
      </c>
      <c r="K238" s="461" t="s">
        <v>33</v>
      </c>
    </row>
    <row r="239" spans="3:11" ht="15.75" x14ac:dyDescent="0.2">
      <c r="C239" s="454" t="s">
        <v>1390</v>
      </c>
      <c r="D239" s="456" t="s">
        <v>31</v>
      </c>
      <c r="E239" s="457" t="s">
        <v>272</v>
      </c>
      <c r="F239" s="457" t="s">
        <v>841</v>
      </c>
      <c r="G239" s="457" t="s">
        <v>21</v>
      </c>
      <c r="H239" s="460" t="s">
        <v>24</v>
      </c>
      <c r="I239" s="460" t="s">
        <v>25</v>
      </c>
      <c r="J239" s="460" t="s">
        <v>34</v>
      </c>
      <c r="K239" s="461" t="s">
        <v>33</v>
      </c>
    </row>
    <row r="240" spans="3:11" ht="15.75" x14ac:dyDescent="0.2">
      <c r="C240" s="454" t="s">
        <v>1389</v>
      </c>
      <c r="D240" s="456" t="s">
        <v>31</v>
      </c>
      <c r="E240" s="457" t="s">
        <v>272</v>
      </c>
      <c r="F240" s="457" t="s">
        <v>32</v>
      </c>
      <c r="G240" s="457" t="s">
        <v>21</v>
      </c>
      <c r="H240" s="460" t="s">
        <v>24</v>
      </c>
      <c r="I240" s="460" t="s">
        <v>25</v>
      </c>
      <c r="J240" s="460" t="s">
        <v>34</v>
      </c>
      <c r="K240" s="461" t="s">
        <v>33</v>
      </c>
    </row>
    <row r="241" spans="3:11" ht="15.75" x14ac:dyDescent="0.2">
      <c r="C241" s="454" t="s">
        <v>1388</v>
      </c>
      <c r="D241" s="456" t="s">
        <v>31</v>
      </c>
      <c r="E241" s="457" t="s">
        <v>272</v>
      </c>
      <c r="F241" s="457" t="s">
        <v>841</v>
      </c>
      <c r="G241" s="457" t="s">
        <v>21</v>
      </c>
      <c r="H241" s="460" t="s">
        <v>24</v>
      </c>
      <c r="I241" s="460" t="s">
        <v>25</v>
      </c>
      <c r="J241" s="460" t="s">
        <v>34</v>
      </c>
      <c r="K241" s="461" t="s">
        <v>32</v>
      </c>
    </row>
    <row r="242" spans="3:11" ht="15.75" x14ac:dyDescent="0.2">
      <c r="C242" s="454" t="s">
        <v>1387</v>
      </c>
      <c r="D242" s="456" t="s">
        <v>31</v>
      </c>
      <c r="E242" s="457" t="s">
        <v>272</v>
      </c>
      <c r="F242" s="457" t="s">
        <v>841</v>
      </c>
      <c r="G242" s="457" t="s">
        <v>21</v>
      </c>
      <c r="H242" s="460" t="s">
        <v>24</v>
      </c>
      <c r="I242" s="460" t="s">
        <v>25</v>
      </c>
      <c r="J242" s="460" t="s">
        <v>32</v>
      </c>
      <c r="K242" s="461" t="s">
        <v>33</v>
      </c>
    </row>
    <row r="243" spans="3:11" ht="15.75" x14ac:dyDescent="0.2">
      <c r="C243" s="454" t="s">
        <v>1386</v>
      </c>
      <c r="D243" s="456" t="s">
        <v>21</v>
      </c>
      <c r="E243" s="457" t="s">
        <v>841</v>
      </c>
      <c r="F243" s="457" t="s">
        <v>32</v>
      </c>
      <c r="G243" s="457" t="s">
        <v>25</v>
      </c>
      <c r="H243" s="460" t="s">
        <v>24</v>
      </c>
      <c r="I243" s="460" t="s">
        <v>23</v>
      </c>
      <c r="J243" s="460" t="s">
        <v>34</v>
      </c>
      <c r="K243" s="461" t="s">
        <v>33</v>
      </c>
    </row>
    <row r="244" spans="3:11" ht="15.75" x14ac:dyDescent="0.2">
      <c r="C244" s="454" t="s">
        <v>1385</v>
      </c>
      <c r="D244" s="456" t="s">
        <v>31</v>
      </c>
      <c r="E244" s="457" t="s">
        <v>841</v>
      </c>
      <c r="F244" s="457" t="s">
        <v>23</v>
      </c>
      <c r="G244" s="457" t="s">
        <v>21</v>
      </c>
      <c r="H244" s="460" t="s">
        <v>24</v>
      </c>
      <c r="I244" s="460" t="s">
        <v>25</v>
      </c>
      <c r="J244" s="460" t="s">
        <v>34</v>
      </c>
      <c r="K244" s="461" t="s">
        <v>33</v>
      </c>
    </row>
    <row r="245" spans="3:11" ht="15.75" x14ac:dyDescent="0.2">
      <c r="C245" s="454" t="s">
        <v>1384</v>
      </c>
      <c r="D245" s="456" t="s">
        <v>31</v>
      </c>
      <c r="E245" s="457" t="s">
        <v>23</v>
      </c>
      <c r="F245" s="457" t="s">
        <v>32</v>
      </c>
      <c r="G245" s="457" t="s">
        <v>21</v>
      </c>
      <c r="H245" s="460" t="s">
        <v>24</v>
      </c>
      <c r="I245" s="460" t="s">
        <v>25</v>
      </c>
      <c r="J245" s="460" t="s">
        <v>34</v>
      </c>
      <c r="K245" s="461" t="s">
        <v>33</v>
      </c>
    </row>
    <row r="246" spans="3:11" ht="15.75" x14ac:dyDescent="0.2">
      <c r="C246" s="454" t="s">
        <v>1383</v>
      </c>
      <c r="D246" s="456" t="s">
        <v>31</v>
      </c>
      <c r="E246" s="457" t="s">
        <v>841</v>
      </c>
      <c r="F246" s="457" t="s">
        <v>23</v>
      </c>
      <c r="G246" s="457" t="s">
        <v>21</v>
      </c>
      <c r="H246" s="460" t="s">
        <v>24</v>
      </c>
      <c r="I246" s="460" t="s">
        <v>25</v>
      </c>
      <c r="J246" s="460" t="s">
        <v>34</v>
      </c>
      <c r="K246" s="461" t="s">
        <v>32</v>
      </c>
    </row>
    <row r="247" spans="3:11" ht="15.75" x14ac:dyDescent="0.2">
      <c r="C247" s="454" t="s">
        <v>1382</v>
      </c>
      <c r="D247" s="456" t="s">
        <v>31</v>
      </c>
      <c r="E247" s="457" t="s">
        <v>841</v>
      </c>
      <c r="F247" s="457" t="s">
        <v>23</v>
      </c>
      <c r="G247" s="457" t="s">
        <v>21</v>
      </c>
      <c r="H247" s="460" t="s">
        <v>24</v>
      </c>
      <c r="I247" s="460" t="s">
        <v>25</v>
      </c>
      <c r="J247" s="460" t="s">
        <v>32</v>
      </c>
      <c r="K247" s="461" t="s">
        <v>33</v>
      </c>
    </row>
    <row r="248" spans="3:11" ht="15.75" x14ac:dyDescent="0.2">
      <c r="C248" s="454" t="s">
        <v>1381</v>
      </c>
      <c r="D248" s="456" t="s">
        <v>21</v>
      </c>
      <c r="E248" s="457" t="s">
        <v>272</v>
      </c>
      <c r="F248" s="457" t="s">
        <v>841</v>
      </c>
      <c r="G248" s="457" t="s">
        <v>25</v>
      </c>
      <c r="H248" s="460" t="s">
        <v>24</v>
      </c>
      <c r="I248" s="460" t="s">
        <v>23</v>
      </c>
      <c r="J248" s="460" t="s">
        <v>34</v>
      </c>
      <c r="K248" s="461" t="s">
        <v>33</v>
      </c>
    </row>
    <row r="249" spans="3:11" ht="15.75" x14ac:dyDescent="0.2">
      <c r="C249" s="454" t="s">
        <v>1380</v>
      </c>
      <c r="D249" s="456" t="s">
        <v>21</v>
      </c>
      <c r="E249" s="457" t="s">
        <v>272</v>
      </c>
      <c r="F249" s="457" t="s">
        <v>32</v>
      </c>
      <c r="G249" s="457" t="s">
        <v>25</v>
      </c>
      <c r="H249" s="460" t="s">
        <v>24</v>
      </c>
      <c r="I249" s="460" t="s">
        <v>23</v>
      </c>
      <c r="J249" s="460" t="s">
        <v>34</v>
      </c>
      <c r="K249" s="461" t="s">
        <v>33</v>
      </c>
    </row>
    <row r="250" spans="3:11" ht="15.75" x14ac:dyDescent="0.2">
      <c r="C250" s="454" t="s">
        <v>1379</v>
      </c>
      <c r="D250" s="456" t="s">
        <v>21</v>
      </c>
      <c r="E250" s="457" t="s">
        <v>272</v>
      </c>
      <c r="F250" s="457" t="s">
        <v>841</v>
      </c>
      <c r="G250" s="457" t="s">
        <v>25</v>
      </c>
      <c r="H250" s="460" t="s">
        <v>24</v>
      </c>
      <c r="I250" s="460" t="s">
        <v>23</v>
      </c>
      <c r="J250" s="460" t="s">
        <v>34</v>
      </c>
      <c r="K250" s="461" t="s">
        <v>32</v>
      </c>
    </row>
    <row r="251" spans="3:11" ht="15.75" x14ac:dyDescent="0.2">
      <c r="C251" s="454" t="s">
        <v>1378</v>
      </c>
      <c r="D251" s="456" t="s">
        <v>21</v>
      </c>
      <c r="E251" s="457" t="s">
        <v>272</v>
      </c>
      <c r="F251" s="457" t="s">
        <v>841</v>
      </c>
      <c r="G251" s="457" t="s">
        <v>25</v>
      </c>
      <c r="H251" s="460" t="s">
        <v>24</v>
      </c>
      <c r="I251" s="460" t="s">
        <v>23</v>
      </c>
      <c r="J251" s="460" t="s">
        <v>32</v>
      </c>
      <c r="K251" s="461" t="s">
        <v>33</v>
      </c>
    </row>
    <row r="252" spans="3:11" ht="15.75" x14ac:dyDescent="0.2">
      <c r="C252" s="454" t="s">
        <v>1377</v>
      </c>
      <c r="D252" s="456" t="s">
        <v>31</v>
      </c>
      <c r="E252" s="457" t="s">
        <v>272</v>
      </c>
      <c r="F252" s="457" t="s">
        <v>23</v>
      </c>
      <c r="G252" s="457" t="s">
        <v>21</v>
      </c>
      <c r="H252" s="460" t="s">
        <v>24</v>
      </c>
      <c r="I252" s="460" t="s">
        <v>25</v>
      </c>
      <c r="J252" s="460" t="s">
        <v>34</v>
      </c>
      <c r="K252" s="461" t="s">
        <v>33</v>
      </c>
    </row>
    <row r="253" spans="3:11" ht="15.75" x14ac:dyDescent="0.2">
      <c r="C253" s="454" t="s">
        <v>1376</v>
      </c>
      <c r="D253" s="456" t="s">
        <v>21</v>
      </c>
      <c r="E253" s="457" t="s">
        <v>272</v>
      </c>
      <c r="F253" s="457" t="s">
        <v>841</v>
      </c>
      <c r="G253" s="457" t="s">
        <v>25</v>
      </c>
      <c r="H253" s="460" t="s">
        <v>24</v>
      </c>
      <c r="I253" s="460" t="s">
        <v>23</v>
      </c>
      <c r="J253" s="460" t="s">
        <v>34</v>
      </c>
      <c r="K253" s="461" t="s">
        <v>31</v>
      </c>
    </row>
    <row r="254" spans="3:11" ht="15.75" x14ac:dyDescent="0.2">
      <c r="C254" s="454" t="s">
        <v>1375</v>
      </c>
      <c r="D254" s="456" t="s">
        <v>31</v>
      </c>
      <c r="E254" s="457" t="s">
        <v>272</v>
      </c>
      <c r="F254" s="457" t="s">
        <v>841</v>
      </c>
      <c r="G254" s="457" t="s">
        <v>21</v>
      </c>
      <c r="H254" s="460" t="s">
        <v>24</v>
      </c>
      <c r="I254" s="460" t="s">
        <v>23</v>
      </c>
      <c r="J254" s="460" t="s">
        <v>25</v>
      </c>
      <c r="K254" s="461" t="s">
        <v>33</v>
      </c>
    </row>
    <row r="255" spans="3:11" ht="15.75" x14ac:dyDescent="0.2">
      <c r="C255" s="454" t="s">
        <v>1374</v>
      </c>
      <c r="D255" s="456" t="s">
        <v>31</v>
      </c>
      <c r="E255" s="457" t="s">
        <v>272</v>
      </c>
      <c r="F255" s="457" t="s">
        <v>23</v>
      </c>
      <c r="G255" s="457" t="s">
        <v>21</v>
      </c>
      <c r="H255" s="460" t="s">
        <v>24</v>
      </c>
      <c r="I255" s="460" t="s">
        <v>25</v>
      </c>
      <c r="J255" s="460" t="s">
        <v>34</v>
      </c>
      <c r="K255" s="461" t="s">
        <v>32</v>
      </c>
    </row>
    <row r="256" spans="3:11" ht="15.75" x14ac:dyDescent="0.2">
      <c r="C256" s="454" t="s">
        <v>1373</v>
      </c>
      <c r="D256" s="456" t="s">
        <v>31</v>
      </c>
      <c r="E256" s="457" t="s">
        <v>272</v>
      </c>
      <c r="F256" s="457" t="s">
        <v>23</v>
      </c>
      <c r="G256" s="457" t="s">
        <v>21</v>
      </c>
      <c r="H256" s="460" t="s">
        <v>24</v>
      </c>
      <c r="I256" s="460" t="s">
        <v>25</v>
      </c>
      <c r="J256" s="460" t="s">
        <v>32</v>
      </c>
      <c r="K256" s="461" t="s">
        <v>33</v>
      </c>
    </row>
    <row r="257" spans="3:11" ht="15.75" x14ac:dyDescent="0.2">
      <c r="C257" s="454" t="s">
        <v>1372</v>
      </c>
      <c r="D257" s="456" t="s">
        <v>31</v>
      </c>
      <c r="E257" s="457" t="s">
        <v>272</v>
      </c>
      <c r="F257" s="457" t="s">
        <v>841</v>
      </c>
      <c r="G257" s="457" t="s">
        <v>21</v>
      </c>
      <c r="H257" s="460" t="s">
        <v>24</v>
      </c>
      <c r="I257" s="460" t="s">
        <v>23</v>
      </c>
      <c r="J257" s="460" t="s">
        <v>25</v>
      </c>
      <c r="K257" s="461" t="s">
        <v>32</v>
      </c>
    </row>
    <row r="258" spans="3:11" ht="15.75" x14ac:dyDescent="0.2">
      <c r="C258" s="454" t="s">
        <v>1371</v>
      </c>
      <c r="D258" s="456" t="s">
        <v>22</v>
      </c>
      <c r="E258" s="457" t="s">
        <v>841</v>
      </c>
      <c r="F258" s="457" t="s">
        <v>32</v>
      </c>
      <c r="G258" s="457" t="s">
        <v>21</v>
      </c>
      <c r="H258" s="460" t="s">
        <v>24</v>
      </c>
      <c r="I258" s="460" t="s">
        <v>25</v>
      </c>
      <c r="J258" s="460" t="s">
        <v>34</v>
      </c>
      <c r="K258" s="461" t="s">
        <v>33</v>
      </c>
    </row>
    <row r="259" spans="3:11" ht="15.75" x14ac:dyDescent="0.2">
      <c r="C259" s="454" t="s">
        <v>1370</v>
      </c>
      <c r="D259" s="456" t="s">
        <v>31</v>
      </c>
      <c r="E259" s="457" t="s">
        <v>841</v>
      </c>
      <c r="F259" s="457" t="s">
        <v>22</v>
      </c>
      <c r="G259" s="457" t="s">
        <v>21</v>
      </c>
      <c r="H259" s="460" t="s">
        <v>24</v>
      </c>
      <c r="I259" s="460" t="s">
        <v>25</v>
      </c>
      <c r="J259" s="460" t="s">
        <v>34</v>
      </c>
      <c r="K259" s="461" t="s">
        <v>33</v>
      </c>
    </row>
    <row r="260" spans="3:11" ht="15.75" x14ac:dyDescent="0.2">
      <c r="C260" s="454" t="s">
        <v>1369</v>
      </c>
      <c r="D260" s="456" t="s">
        <v>31</v>
      </c>
      <c r="E260" s="457" t="s">
        <v>22</v>
      </c>
      <c r="F260" s="457" t="s">
        <v>32</v>
      </c>
      <c r="G260" s="457" t="s">
        <v>21</v>
      </c>
      <c r="H260" s="460" t="s">
        <v>24</v>
      </c>
      <c r="I260" s="460" t="s">
        <v>25</v>
      </c>
      <c r="J260" s="460" t="s">
        <v>34</v>
      </c>
      <c r="K260" s="461" t="s">
        <v>33</v>
      </c>
    </row>
    <row r="261" spans="3:11" ht="15.75" x14ac:dyDescent="0.2">
      <c r="C261" s="454" t="s">
        <v>1368</v>
      </c>
      <c r="D261" s="456" t="s">
        <v>31</v>
      </c>
      <c r="E261" s="457" t="s">
        <v>841</v>
      </c>
      <c r="F261" s="457" t="s">
        <v>22</v>
      </c>
      <c r="G261" s="457" t="s">
        <v>21</v>
      </c>
      <c r="H261" s="460" t="s">
        <v>24</v>
      </c>
      <c r="I261" s="460" t="s">
        <v>25</v>
      </c>
      <c r="J261" s="460" t="s">
        <v>34</v>
      </c>
      <c r="K261" s="461" t="s">
        <v>32</v>
      </c>
    </row>
    <row r="262" spans="3:11" ht="15.75" x14ac:dyDescent="0.2">
      <c r="C262" s="454" t="s">
        <v>1367</v>
      </c>
      <c r="D262" s="456" t="s">
        <v>31</v>
      </c>
      <c r="E262" s="457" t="s">
        <v>841</v>
      </c>
      <c r="F262" s="457" t="s">
        <v>22</v>
      </c>
      <c r="G262" s="457" t="s">
        <v>21</v>
      </c>
      <c r="H262" s="460" t="s">
        <v>24</v>
      </c>
      <c r="I262" s="460" t="s">
        <v>25</v>
      </c>
      <c r="J262" s="460" t="s">
        <v>32</v>
      </c>
      <c r="K262" s="461" t="s">
        <v>33</v>
      </c>
    </row>
    <row r="263" spans="3:11" ht="15.75" x14ac:dyDescent="0.2">
      <c r="C263" s="454" t="s">
        <v>1366</v>
      </c>
      <c r="D263" s="456" t="s">
        <v>22</v>
      </c>
      <c r="E263" s="457" t="s">
        <v>272</v>
      </c>
      <c r="F263" s="457" t="s">
        <v>841</v>
      </c>
      <c r="G263" s="457" t="s">
        <v>21</v>
      </c>
      <c r="H263" s="460" t="s">
        <v>24</v>
      </c>
      <c r="I263" s="460" t="s">
        <v>25</v>
      </c>
      <c r="J263" s="460" t="s">
        <v>34</v>
      </c>
      <c r="K263" s="461" t="s">
        <v>33</v>
      </c>
    </row>
    <row r="264" spans="3:11" ht="15.75" x14ac:dyDescent="0.2">
      <c r="C264" s="454" t="s">
        <v>1365</v>
      </c>
      <c r="D264" s="456" t="s">
        <v>22</v>
      </c>
      <c r="E264" s="457" t="s">
        <v>272</v>
      </c>
      <c r="F264" s="457" t="s">
        <v>32</v>
      </c>
      <c r="G264" s="457" t="s">
        <v>21</v>
      </c>
      <c r="H264" s="460" t="s">
        <v>24</v>
      </c>
      <c r="I264" s="460" t="s">
        <v>25</v>
      </c>
      <c r="J264" s="460" t="s">
        <v>34</v>
      </c>
      <c r="K264" s="461" t="s">
        <v>33</v>
      </c>
    </row>
    <row r="265" spans="3:11" ht="15.75" x14ac:dyDescent="0.2">
      <c r="C265" s="454" t="s">
        <v>1364</v>
      </c>
      <c r="D265" s="456" t="s">
        <v>22</v>
      </c>
      <c r="E265" s="457" t="s">
        <v>272</v>
      </c>
      <c r="F265" s="457" t="s">
        <v>841</v>
      </c>
      <c r="G265" s="457" t="s">
        <v>21</v>
      </c>
      <c r="H265" s="460" t="s">
        <v>24</v>
      </c>
      <c r="I265" s="460" t="s">
        <v>25</v>
      </c>
      <c r="J265" s="460" t="s">
        <v>34</v>
      </c>
      <c r="K265" s="461" t="s">
        <v>32</v>
      </c>
    </row>
    <row r="266" spans="3:11" ht="15.75" x14ac:dyDescent="0.2">
      <c r="C266" s="454" t="s">
        <v>1363</v>
      </c>
      <c r="D266" s="456" t="s">
        <v>22</v>
      </c>
      <c r="E266" s="457" t="s">
        <v>272</v>
      </c>
      <c r="F266" s="457" t="s">
        <v>841</v>
      </c>
      <c r="G266" s="457" t="s">
        <v>21</v>
      </c>
      <c r="H266" s="460" t="s">
        <v>24</v>
      </c>
      <c r="I266" s="460" t="s">
        <v>25</v>
      </c>
      <c r="J266" s="460" t="s">
        <v>32</v>
      </c>
      <c r="K266" s="461" t="s">
        <v>33</v>
      </c>
    </row>
    <row r="267" spans="3:11" ht="15.75" x14ac:dyDescent="0.2">
      <c r="C267" s="454" t="s">
        <v>1362</v>
      </c>
      <c r="D267" s="456" t="s">
        <v>31</v>
      </c>
      <c r="E267" s="457" t="s">
        <v>272</v>
      </c>
      <c r="F267" s="457" t="s">
        <v>22</v>
      </c>
      <c r="G267" s="457" t="s">
        <v>21</v>
      </c>
      <c r="H267" s="460" t="s">
        <v>24</v>
      </c>
      <c r="I267" s="460" t="s">
        <v>25</v>
      </c>
      <c r="J267" s="460" t="s">
        <v>34</v>
      </c>
      <c r="K267" s="461" t="s">
        <v>33</v>
      </c>
    </row>
    <row r="268" spans="3:11" ht="15.75" x14ac:dyDescent="0.2">
      <c r="C268" s="454" t="s">
        <v>1361</v>
      </c>
      <c r="D268" s="456" t="s">
        <v>31</v>
      </c>
      <c r="E268" s="457" t="s">
        <v>272</v>
      </c>
      <c r="F268" s="457" t="s">
        <v>841</v>
      </c>
      <c r="G268" s="457" t="s">
        <v>21</v>
      </c>
      <c r="H268" s="460" t="s">
        <v>24</v>
      </c>
      <c r="I268" s="460" t="s">
        <v>25</v>
      </c>
      <c r="J268" s="460" t="s">
        <v>34</v>
      </c>
      <c r="K268" s="461" t="s">
        <v>22</v>
      </c>
    </row>
    <row r="269" spans="3:11" ht="15.75" x14ac:dyDescent="0.2">
      <c r="C269" s="454" t="s">
        <v>1360</v>
      </c>
      <c r="D269" s="456" t="s">
        <v>31</v>
      </c>
      <c r="E269" s="457" t="s">
        <v>272</v>
      </c>
      <c r="F269" s="457" t="s">
        <v>841</v>
      </c>
      <c r="G269" s="457" t="s">
        <v>21</v>
      </c>
      <c r="H269" s="460" t="s">
        <v>24</v>
      </c>
      <c r="I269" s="460" t="s">
        <v>25</v>
      </c>
      <c r="J269" s="460" t="s">
        <v>22</v>
      </c>
      <c r="K269" s="461" t="s">
        <v>33</v>
      </c>
    </row>
    <row r="270" spans="3:11" ht="15.75" x14ac:dyDescent="0.2">
      <c r="C270" s="454" t="s">
        <v>1359</v>
      </c>
      <c r="D270" s="456" t="s">
        <v>31</v>
      </c>
      <c r="E270" s="457" t="s">
        <v>272</v>
      </c>
      <c r="F270" s="457" t="s">
        <v>22</v>
      </c>
      <c r="G270" s="457" t="s">
        <v>21</v>
      </c>
      <c r="H270" s="460" t="s">
        <v>24</v>
      </c>
      <c r="I270" s="460" t="s">
        <v>25</v>
      </c>
      <c r="J270" s="460" t="s">
        <v>34</v>
      </c>
      <c r="K270" s="461" t="s">
        <v>32</v>
      </c>
    </row>
    <row r="271" spans="3:11" ht="15.75" x14ac:dyDescent="0.2">
      <c r="C271" s="454" t="s">
        <v>1358</v>
      </c>
      <c r="D271" s="456" t="s">
        <v>31</v>
      </c>
      <c r="E271" s="457" t="s">
        <v>272</v>
      </c>
      <c r="F271" s="457" t="s">
        <v>22</v>
      </c>
      <c r="G271" s="457" t="s">
        <v>21</v>
      </c>
      <c r="H271" s="460" t="s">
        <v>24</v>
      </c>
      <c r="I271" s="460" t="s">
        <v>25</v>
      </c>
      <c r="J271" s="460" t="s">
        <v>32</v>
      </c>
      <c r="K271" s="461" t="s">
        <v>33</v>
      </c>
    </row>
    <row r="272" spans="3:11" ht="15.75" x14ac:dyDescent="0.2">
      <c r="C272" s="454" t="s">
        <v>1357</v>
      </c>
      <c r="D272" s="456" t="s">
        <v>31</v>
      </c>
      <c r="E272" s="457" t="s">
        <v>272</v>
      </c>
      <c r="F272" s="457" t="s">
        <v>841</v>
      </c>
      <c r="G272" s="457" t="s">
        <v>21</v>
      </c>
      <c r="H272" s="460" t="s">
        <v>24</v>
      </c>
      <c r="I272" s="460" t="s">
        <v>25</v>
      </c>
      <c r="J272" s="460" t="s">
        <v>22</v>
      </c>
      <c r="K272" s="461" t="s">
        <v>32</v>
      </c>
    </row>
    <row r="273" spans="3:11" ht="15.75" x14ac:dyDescent="0.2">
      <c r="C273" s="454" t="s">
        <v>1356</v>
      </c>
      <c r="D273" s="456" t="s">
        <v>21</v>
      </c>
      <c r="E273" s="457" t="s">
        <v>841</v>
      </c>
      <c r="F273" s="457" t="s">
        <v>22</v>
      </c>
      <c r="G273" s="457" t="s">
        <v>25</v>
      </c>
      <c r="H273" s="460" t="s">
        <v>24</v>
      </c>
      <c r="I273" s="460" t="s">
        <v>23</v>
      </c>
      <c r="J273" s="460" t="s">
        <v>34</v>
      </c>
      <c r="K273" s="461" t="s">
        <v>33</v>
      </c>
    </row>
    <row r="274" spans="3:11" ht="15.75" x14ac:dyDescent="0.2">
      <c r="C274" s="454" t="s">
        <v>1355</v>
      </c>
      <c r="D274" s="456" t="s">
        <v>21</v>
      </c>
      <c r="E274" s="457" t="s">
        <v>22</v>
      </c>
      <c r="F274" s="457" t="s">
        <v>32</v>
      </c>
      <c r="G274" s="457" t="s">
        <v>25</v>
      </c>
      <c r="H274" s="460" t="s">
        <v>24</v>
      </c>
      <c r="I274" s="460" t="s">
        <v>23</v>
      </c>
      <c r="J274" s="460" t="s">
        <v>34</v>
      </c>
      <c r="K274" s="461" t="s">
        <v>33</v>
      </c>
    </row>
    <row r="275" spans="3:11" ht="15.75" x14ac:dyDescent="0.2">
      <c r="C275" s="454" t="s">
        <v>1354</v>
      </c>
      <c r="D275" s="456" t="s">
        <v>21</v>
      </c>
      <c r="E275" s="457" t="s">
        <v>841</v>
      </c>
      <c r="F275" s="457" t="s">
        <v>22</v>
      </c>
      <c r="G275" s="457" t="s">
        <v>25</v>
      </c>
      <c r="H275" s="460" t="s">
        <v>24</v>
      </c>
      <c r="I275" s="460" t="s">
        <v>23</v>
      </c>
      <c r="J275" s="460" t="s">
        <v>34</v>
      </c>
      <c r="K275" s="461" t="s">
        <v>32</v>
      </c>
    </row>
    <row r="276" spans="3:11" ht="15.75" x14ac:dyDescent="0.2">
      <c r="C276" s="454" t="s">
        <v>1353</v>
      </c>
      <c r="D276" s="456" t="s">
        <v>21</v>
      </c>
      <c r="E276" s="457" t="s">
        <v>841</v>
      </c>
      <c r="F276" s="457" t="s">
        <v>22</v>
      </c>
      <c r="G276" s="457" t="s">
        <v>25</v>
      </c>
      <c r="H276" s="460" t="s">
        <v>24</v>
      </c>
      <c r="I276" s="460" t="s">
        <v>23</v>
      </c>
      <c r="J276" s="460" t="s">
        <v>32</v>
      </c>
      <c r="K276" s="461" t="s">
        <v>33</v>
      </c>
    </row>
    <row r="277" spans="3:11" ht="15.75" x14ac:dyDescent="0.2">
      <c r="C277" s="454" t="s">
        <v>1352</v>
      </c>
      <c r="D277" s="456" t="s">
        <v>31</v>
      </c>
      <c r="E277" s="457" t="s">
        <v>22</v>
      </c>
      <c r="F277" s="457" t="s">
        <v>23</v>
      </c>
      <c r="G277" s="457" t="s">
        <v>21</v>
      </c>
      <c r="H277" s="460" t="s">
        <v>24</v>
      </c>
      <c r="I277" s="460" t="s">
        <v>25</v>
      </c>
      <c r="J277" s="460" t="s">
        <v>34</v>
      </c>
      <c r="K277" s="461" t="s">
        <v>33</v>
      </c>
    </row>
    <row r="278" spans="3:11" ht="15.75" x14ac:dyDescent="0.2">
      <c r="C278" s="454" t="s">
        <v>1351</v>
      </c>
      <c r="D278" s="456" t="s">
        <v>31</v>
      </c>
      <c r="E278" s="457" t="s">
        <v>841</v>
      </c>
      <c r="F278" s="457" t="s">
        <v>23</v>
      </c>
      <c r="G278" s="457" t="s">
        <v>21</v>
      </c>
      <c r="H278" s="460" t="s">
        <v>24</v>
      </c>
      <c r="I278" s="460" t="s">
        <v>25</v>
      </c>
      <c r="J278" s="460" t="s">
        <v>34</v>
      </c>
      <c r="K278" s="461" t="s">
        <v>22</v>
      </c>
    </row>
    <row r="279" spans="3:11" ht="15.75" x14ac:dyDescent="0.2">
      <c r="C279" s="454" t="s">
        <v>1350</v>
      </c>
      <c r="D279" s="456" t="s">
        <v>31</v>
      </c>
      <c r="E279" s="457" t="s">
        <v>841</v>
      </c>
      <c r="F279" s="457" t="s">
        <v>22</v>
      </c>
      <c r="G279" s="457" t="s">
        <v>21</v>
      </c>
      <c r="H279" s="460" t="s">
        <v>24</v>
      </c>
      <c r="I279" s="460" t="s">
        <v>23</v>
      </c>
      <c r="J279" s="460" t="s">
        <v>25</v>
      </c>
      <c r="K279" s="461" t="s">
        <v>33</v>
      </c>
    </row>
    <row r="280" spans="3:11" ht="15.75" x14ac:dyDescent="0.2">
      <c r="C280" s="454" t="s">
        <v>1349</v>
      </c>
      <c r="D280" s="456" t="s">
        <v>31</v>
      </c>
      <c r="E280" s="457" t="s">
        <v>22</v>
      </c>
      <c r="F280" s="457" t="s">
        <v>23</v>
      </c>
      <c r="G280" s="457" t="s">
        <v>21</v>
      </c>
      <c r="H280" s="460" t="s">
        <v>24</v>
      </c>
      <c r="I280" s="460" t="s">
        <v>25</v>
      </c>
      <c r="J280" s="460" t="s">
        <v>34</v>
      </c>
      <c r="K280" s="461" t="s">
        <v>32</v>
      </c>
    </row>
    <row r="281" spans="3:11" ht="15.75" x14ac:dyDescent="0.2">
      <c r="C281" s="454" t="s">
        <v>1348</v>
      </c>
      <c r="D281" s="456" t="s">
        <v>31</v>
      </c>
      <c r="E281" s="457" t="s">
        <v>22</v>
      </c>
      <c r="F281" s="457" t="s">
        <v>23</v>
      </c>
      <c r="G281" s="457" t="s">
        <v>21</v>
      </c>
      <c r="H281" s="460" t="s">
        <v>24</v>
      </c>
      <c r="I281" s="460" t="s">
        <v>25</v>
      </c>
      <c r="J281" s="460" t="s">
        <v>32</v>
      </c>
      <c r="K281" s="461" t="s">
        <v>33</v>
      </c>
    </row>
    <row r="282" spans="3:11" ht="15.75" x14ac:dyDescent="0.2">
      <c r="C282" s="454" t="s">
        <v>1347</v>
      </c>
      <c r="D282" s="456" t="s">
        <v>31</v>
      </c>
      <c r="E282" s="457" t="s">
        <v>841</v>
      </c>
      <c r="F282" s="457" t="s">
        <v>22</v>
      </c>
      <c r="G282" s="457" t="s">
        <v>21</v>
      </c>
      <c r="H282" s="460" t="s">
        <v>24</v>
      </c>
      <c r="I282" s="460" t="s">
        <v>23</v>
      </c>
      <c r="J282" s="460" t="s">
        <v>25</v>
      </c>
      <c r="K282" s="461" t="s">
        <v>32</v>
      </c>
    </row>
    <row r="283" spans="3:11" ht="15.75" x14ac:dyDescent="0.2">
      <c r="C283" s="454" t="s">
        <v>1346</v>
      </c>
      <c r="D283" s="456" t="s">
        <v>21</v>
      </c>
      <c r="E283" s="457" t="s">
        <v>272</v>
      </c>
      <c r="F283" s="457" t="s">
        <v>22</v>
      </c>
      <c r="G283" s="457" t="s">
        <v>25</v>
      </c>
      <c r="H283" s="460" t="s">
        <v>24</v>
      </c>
      <c r="I283" s="460" t="s">
        <v>23</v>
      </c>
      <c r="J283" s="460" t="s">
        <v>34</v>
      </c>
      <c r="K283" s="461" t="s">
        <v>33</v>
      </c>
    </row>
    <row r="284" spans="3:11" ht="15.75" x14ac:dyDescent="0.2">
      <c r="C284" s="454" t="s">
        <v>1345</v>
      </c>
      <c r="D284" s="456" t="s">
        <v>21</v>
      </c>
      <c r="E284" s="457" t="s">
        <v>272</v>
      </c>
      <c r="F284" s="457" t="s">
        <v>841</v>
      </c>
      <c r="G284" s="457" t="s">
        <v>25</v>
      </c>
      <c r="H284" s="460" t="s">
        <v>24</v>
      </c>
      <c r="I284" s="460" t="s">
        <v>23</v>
      </c>
      <c r="J284" s="460" t="s">
        <v>34</v>
      </c>
      <c r="K284" s="461" t="s">
        <v>22</v>
      </c>
    </row>
    <row r="285" spans="3:11" ht="15.75" x14ac:dyDescent="0.2">
      <c r="C285" s="454" t="s">
        <v>1344</v>
      </c>
      <c r="D285" s="456" t="s">
        <v>21</v>
      </c>
      <c r="E285" s="457" t="s">
        <v>272</v>
      </c>
      <c r="F285" s="457" t="s">
        <v>841</v>
      </c>
      <c r="G285" s="457" t="s">
        <v>25</v>
      </c>
      <c r="H285" s="460" t="s">
        <v>24</v>
      </c>
      <c r="I285" s="460" t="s">
        <v>23</v>
      </c>
      <c r="J285" s="460" t="s">
        <v>22</v>
      </c>
      <c r="K285" s="461" t="s">
        <v>33</v>
      </c>
    </row>
    <row r="286" spans="3:11" ht="15.75" x14ac:dyDescent="0.2">
      <c r="C286" s="454" t="s">
        <v>1343</v>
      </c>
      <c r="D286" s="456" t="s">
        <v>21</v>
      </c>
      <c r="E286" s="457" t="s">
        <v>272</v>
      </c>
      <c r="F286" s="457" t="s">
        <v>22</v>
      </c>
      <c r="G286" s="457" t="s">
        <v>25</v>
      </c>
      <c r="H286" s="460" t="s">
        <v>24</v>
      </c>
      <c r="I286" s="460" t="s">
        <v>23</v>
      </c>
      <c r="J286" s="460" t="s">
        <v>34</v>
      </c>
      <c r="K286" s="461" t="s">
        <v>32</v>
      </c>
    </row>
    <row r="287" spans="3:11" ht="15.75" x14ac:dyDescent="0.2">
      <c r="C287" s="454" t="s">
        <v>1342</v>
      </c>
      <c r="D287" s="456" t="s">
        <v>21</v>
      </c>
      <c r="E287" s="457" t="s">
        <v>272</v>
      </c>
      <c r="F287" s="457" t="s">
        <v>22</v>
      </c>
      <c r="G287" s="457" t="s">
        <v>25</v>
      </c>
      <c r="H287" s="460" t="s">
        <v>24</v>
      </c>
      <c r="I287" s="460" t="s">
        <v>23</v>
      </c>
      <c r="J287" s="460" t="s">
        <v>32</v>
      </c>
      <c r="K287" s="461" t="s">
        <v>33</v>
      </c>
    </row>
    <row r="288" spans="3:11" ht="15.75" x14ac:dyDescent="0.2">
      <c r="C288" s="454" t="s">
        <v>1341</v>
      </c>
      <c r="D288" s="456" t="s">
        <v>21</v>
      </c>
      <c r="E288" s="457" t="s">
        <v>272</v>
      </c>
      <c r="F288" s="457" t="s">
        <v>841</v>
      </c>
      <c r="G288" s="457" t="s">
        <v>25</v>
      </c>
      <c r="H288" s="460" t="s">
        <v>24</v>
      </c>
      <c r="I288" s="460" t="s">
        <v>23</v>
      </c>
      <c r="J288" s="460" t="s">
        <v>22</v>
      </c>
      <c r="K288" s="461" t="s">
        <v>32</v>
      </c>
    </row>
    <row r="289" spans="3:11" ht="15.75" x14ac:dyDescent="0.2">
      <c r="C289" s="454" t="s">
        <v>1340</v>
      </c>
      <c r="D289" s="456" t="s">
        <v>31</v>
      </c>
      <c r="E289" s="457" t="s">
        <v>272</v>
      </c>
      <c r="F289" s="457" t="s">
        <v>23</v>
      </c>
      <c r="G289" s="457" t="s">
        <v>21</v>
      </c>
      <c r="H289" s="460" t="s">
        <v>24</v>
      </c>
      <c r="I289" s="460" t="s">
        <v>25</v>
      </c>
      <c r="J289" s="460" t="s">
        <v>34</v>
      </c>
      <c r="K289" s="461" t="s">
        <v>22</v>
      </c>
    </row>
    <row r="290" spans="3:11" ht="15.75" x14ac:dyDescent="0.2">
      <c r="C290" s="454" t="s">
        <v>1339</v>
      </c>
      <c r="D290" s="456" t="s">
        <v>31</v>
      </c>
      <c r="E290" s="457" t="s">
        <v>272</v>
      </c>
      <c r="F290" s="457" t="s">
        <v>22</v>
      </c>
      <c r="G290" s="457" t="s">
        <v>21</v>
      </c>
      <c r="H290" s="460" t="s">
        <v>24</v>
      </c>
      <c r="I290" s="460" t="s">
        <v>23</v>
      </c>
      <c r="J290" s="460" t="s">
        <v>25</v>
      </c>
      <c r="K290" s="461" t="s">
        <v>33</v>
      </c>
    </row>
    <row r="291" spans="3:11" ht="15.75" x14ac:dyDescent="0.2">
      <c r="C291" s="454" t="s">
        <v>1338</v>
      </c>
      <c r="D291" s="456" t="s">
        <v>31</v>
      </c>
      <c r="E291" s="457" t="s">
        <v>272</v>
      </c>
      <c r="F291" s="457" t="s">
        <v>841</v>
      </c>
      <c r="G291" s="457" t="s">
        <v>21</v>
      </c>
      <c r="H291" s="460" t="s">
        <v>24</v>
      </c>
      <c r="I291" s="460" t="s">
        <v>23</v>
      </c>
      <c r="J291" s="460" t="s">
        <v>25</v>
      </c>
      <c r="K291" s="461" t="s">
        <v>22</v>
      </c>
    </row>
    <row r="292" spans="3:11" ht="15.75" x14ac:dyDescent="0.2">
      <c r="C292" s="454" t="s">
        <v>1337</v>
      </c>
      <c r="D292" s="456" t="s">
        <v>31</v>
      </c>
      <c r="E292" s="457" t="s">
        <v>272</v>
      </c>
      <c r="F292" s="457" t="s">
        <v>22</v>
      </c>
      <c r="G292" s="457" t="s">
        <v>21</v>
      </c>
      <c r="H292" s="460" t="s">
        <v>24</v>
      </c>
      <c r="I292" s="460" t="s">
        <v>23</v>
      </c>
      <c r="J292" s="460" t="s">
        <v>25</v>
      </c>
      <c r="K292" s="461" t="s">
        <v>32</v>
      </c>
    </row>
    <row r="293" spans="3:11" ht="15.75" x14ac:dyDescent="0.2">
      <c r="C293" s="454" t="s">
        <v>1336</v>
      </c>
      <c r="D293" s="456" t="s">
        <v>31</v>
      </c>
      <c r="E293" s="457" t="s">
        <v>841</v>
      </c>
      <c r="F293" s="457" t="s">
        <v>20</v>
      </c>
      <c r="G293" s="457" t="s">
        <v>24</v>
      </c>
      <c r="H293" s="460" t="s">
        <v>32</v>
      </c>
      <c r="I293" s="460" t="s">
        <v>272</v>
      </c>
      <c r="J293" s="460" t="s">
        <v>34</v>
      </c>
      <c r="K293" s="461" t="s">
        <v>33</v>
      </c>
    </row>
    <row r="294" spans="3:11" ht="15.75" x14ac:dyDescent="0.2">
      <c r="C294" s="454" t="s">
        <v>1335</v>
      </c>
      <c r="D294" s="456" t="s">
        <v>31</v>
      </c>
      <c r="E294" s="457" t="s">
        <v>841</v>
      </c>
      <c r="F294" s="457" t="s">
        <v>20</v>
      </c>
      <c r="G294" s="457" t="s">
        <v>24</v>
      </c>
      <c r="H294" s="460" t="s">
        <v>32</v>
      </c>
      <c r="I294" s="460" t="s">
        <v>23</v>
      </c>
      <c r="J294" s="460" t="s">
        <v>34</v>
      </c>
      <c r="K294" s="461" t="s">
        <v>33</v>
      </c>
    </row>
    <row r="295" spans="3:11" ht="15.75" x14ac:dyDescent="0.2">
      <c r="C295" s="454" t="s">
        <v>1334</v>
      </c>
      <c r="D295" s="456" t="s">
        <v>32</v>
      </c>
      <c r="E295" s="457" t="s">
        <v>841</v>
      </c>
      <c r="F295" s="457" t="s">
        <v>20</v>
      </c>
      <c r="G295" s="457" t="s">
        <v>23</v>
      </c>
      <c r="H295" s="460" t="s">
        <v>24</v>
      </c>
      <c r="I295" s="460" t="s">
        <v>272</v>
      </c>
      <c r="J295" s="460" t="s">
        <v>34</v>
      </c>
      <c r="K295" s="461" t="s">
        <v>33</v>
      </c>
    </row>
    <row r="296" spans="3:11" ht="15.75" x14ac:dyDescent="0.2">
      <c r="C296" s="454" t="s">
        <v>1333</v>
      </c>
      <c r="D296" s="456" t="s">
        <v>31</v>
      </c>
      <c r="E296" s="457" t="s">
        <v>841</v>
      </c>
      <c r="F296" s="457" t="s">
        <v>20</v>
      </c>
      <c r="G296" s="457" t="s">
        <v>23</v>
      </c>
      <c r="H296" s="460" t="s">
        <v>24</v>
      </c>
      <c r="I296" s="460" t="s">
        <v>272</v>
      </c>
      <c r="J296" s="460" t="s">
        <v>34</v>
      </c>
      <c r="K296" s="461" t="s">
        <v>33</v>
      </c>
    </row>
    <row r="297" spans="3:11" ht="15.75" x14ac:dyDescent="0.2">
      <c r="C297" s="454" t="s">
        <v>1332</v>
      </c>
      <c r="D297" s="456" t="s">
        <v>31</v>
      </c>
      <c r="E297" s="457" t="s">
        <v>272</v>
      </c>
      <c r="F297" s="457" t="s">
        <v>20</v>
      </c>
      <c r="G297" s="457" t="s">
        <v>24</v>
      </c>
      <c r="H297" s="460" t="s">
        <v>32</v>
      </c>
      <c r="I297" s="460" t="s">
        <v>23</v>
      </c>
      <c r="J297" s="460" t="s">
        <v>34</v>
      </c>
      <c r="K297" s="461" t="s">
        <v>33</v>
      </c>
    </row>
    <row r="298" spans="3:11" ht="15.75" x14ac:dyDescent="0.2">
      <c r="C298" s="454" t="s">
        <v>1331</v>
      </c>
      <c r="D298" s="456" t="s">
        <v>31</v>
      </c>
      <c r="E298" s="457" t="s">
        <v>841</v>
      </c>
      <c r="F298" s="457" t="s">
        <v>20</v>
      </c>
      <c r="G298" s="457" t="s">
        <v>23</v>
      </c>
      <c r="H298" s="460" t="s">
        <v>24</v>
      </c>
      <c r="I298" s="460" t="s">
        <v>272</v>
      </c>
      <c r="J298" s="460" t="s">
        <v>34</v>
      </c>
      <c r="K298" s="461" t="s">
        <v>32</v>
      </c>
    </row>
    <row r="299" spans="3:11" ht="15.75" x14ac:dyDescent="0.2">
      <c r="C299" s="454" t="s">
        <v>1330</v>
      </c>
      <c r="D299" s="456" t="s">
        <v>31</v>
      </c>
      <c r="E299" s="457" t="s">
        <v>841</v>
      </c>
      <c r="F299" s="457" t="s">
        <v>20</v>
      </c>
      <c r="G299" s="457" t="s">
        <v>23</v>
      </c>
      <c r="H299" s="460" t="s">
        <v>24</v>
      </c>
      <c r="I299" s="460" t="s">
        <v>272</v>
      </c>
      <c r="J299" s="460" t="s">
        <v>32</v>
      </c>
      <c r="K299" s="461" t="s">
        <v>33</v>
      </c>
    </row>
    <row r="300" spans="3:11" ht="15.75" x14ac:dyDescent="0.2">
      <c r="C300" s="454" t="s">
        <v>1329</v>
      </c>
      <c r="D300" s="456" t="s">
        <v>22</v>
      </c>
      <c r="E300" s="457" t="s">
        <v>841</v>
      </c>
      <c r="F300" s="457" t="s">
        <v>20</v>
      </c>
      <c r="G300" s="457" t="s">
        <v>24</v>
      </c>
      <c r="H300" s="460" t="s">
        <v>32</v>
      </c>
      <c r="I300" s="460" t="s">
        <v>31</v>
      </c>
      <c r="J300" s="460" t="s">
        <v>34</v>
      </c>
      <c r="K300" s="461" t="s">
        <v>33</v>
      </c>
    </row>
    <row r="301" spans="3:11" ht="15.75" x14ac:dyDescent="0.2">
      <c r="C301" s="454" t="s">
        <v>1328</v>
      </c>
      <c r="D301" s="456" t="s">
        <v>22</v>
      </c>
      <c r="E301" s="457" t="s">
        <v>841</v>
      </c>
      <c r="F301" s="457" t="s">
        <v>20</v>
      </c>
      <c r="G301" s="457" t="s">
        <v>24</v>
      </c>
      <c r="H301" s="460" t="s">
        <v>32</v>
      </c>
      <c r="I301" s="460" t="s">
        <v>272</v>
      </c>
      <c r="J301" s="460" t="s">
        <v>34</v>
      </c>
      <c r="K301" s="461" t="s">
        <v>33</v>
      </c>
    </row>
    <row r="302" spans="3:11" ht="15.75" x14ac:dyDescent="0.2">
      <c r="C302" s="454" t="s">
        <v>1327</v>
      </c>
      <c r="D302" s="456" t="s">
        <v>22</v>
      </c>
      <c r="E302" s="457" t="s">
        <v>841</v>
      </c>
      <c r="F302" s="457" t="s">
        <v>20</v>
      </c>
      <c r="G302" s="457" t="s">
        <v>24</v>
      </c>
      <c r="H302" s="460" t="s">
        <v>31</v>
      </c>
      <c r="I302" s="460" t="s">
        <v>272</v>
      </c>
      <c r="J302" s="460" t="s">
        <v>34</v>
      </c>
      <c r="K302" s="461" t="s">
        <v>33</v>
      </c>
    </row>
    <row r="303" spans="3:11" ht="15.75" x14ac:dyDescent="0.2">
      <c r="C303" s="454" t="s">
        <v>1326</v>
      </c>
      <c r="D303" s="456" t="s">
        <v>22</v>
      </c>
      <c r="E303" s="457" t="s">
        <v>272</v>
      </c>
      <c r="F303" s="457" t="s">
        <v>20</v>
      </c>
      <c r="G303" s="457" t="s">
        <v>24</v>
      </c>
      <c r="H303" s="460" t="s">
        <v>32</v>
      </c>
      <c r="I303" s="460" t="s">
        <v>31</v>
      </c>
      <c r="J303" s="460" t="s">
        <v>34</v>
      </c>
      <c r="K303" s="461" t="s">
        <v>33</v>
      </c>
    </row>
    <row r="304" spans="3:11" ht="15.75" x14ac:dyDescent="0.2">
      <c r="C304" s="454" t="s">
        <v>1325</v>
      </c>
      <c r="D304" s="456" t="s">
        <v>22</v>
      </c>
      <c r="E304" s="457" t="s">
        <v>841</v>
      </c>
      <c r="F304" s="457" t="s">
        <v>20</v>
      </c>
      <c r="G304" s="457" t="s">
        <v>24</v>
      </c>
      <c r="H304" s="460" t="s">
        <v>31</v>
      </c>
      <c r="I304" s="460" t="s">
        <v>272</v>
      </c>
      <c r="J304" s="460" t="s">
        <v>34</v>
      </c>
      <c r="K304" s="461" t="s">
        <v>32</v>
      </c>
    </row>
    <row r="305" spans="3:11" ht="15.75" x14ac:dyDescent="0.2">
      <c r="C305" s="454" t="s">
        <v>1324</v>
      </c>
      <c r="D305" s="456" t="s">
        <v>22</v>
      </c>
      <c r="E305" s="457" t="s">
        <v>841</v>
      </c>
      <c r="F305" s="457" t="s">
        <v>20</v>
      </c>
      <c r="G305" s="457" t="s">
        <v>24</v>
      </c>
      <c r="H305" s="460" t="s">
        <v>31</v>
      </c>
      <c r="I305" s="460" t="s">
        <v>272</v>
      </c>
      <c r="J305" s="460" t="s">
        <v>32</v>
      </c>
      <c r="K305" s="461" t="s">
        <v>33</v>
      </c>
    </row>
    <row r="306" spans="3:11" ht="15.75" x14ac:dyDescent="0.2">
      <c r="C306" s="454" t="s">
        <v>1323</v>
      </c>
      <c r="D306" s="456" t="s">
        <v>22</v>
      </c>
      <c r="E306" s="457" t="s">
        <v>841</v>
      </c>
      <c r="F306" s="457" t="s">
        <v>20</v>
      </c>
      <c r="G306" s="457" t="s">
        <v>24</v>
      </c>
      <c r="H306" s="460" t="s">
        <v>32</v>
      </c>
      <c r="I306" s="460" t="s">
        <v>23</v>
      </c>
      <c r="J306" s="460" t="s">
        <v>34</v>
      </c>
      <c r="K306" s="461" t="s">
        <v>33</v>
      </c>
    </row>
    <row r="307" spans="3:11" ht="15.75" x14ac:dyDescent="0.2">
      <c r="C307" s="454" t="s">
        <v>1322</v>
      </c>
      <c r="D307" s="456" t="s">
        <v>22</v>
      </c>
      <c r="E307" s="457" t="s">
        <v>841</v>
      </c>
      <c r="F307" s="457" t="s">
        <v>20</v>
      </c>
      <c r="G307" s="457" t="s">
        <v>23</v>
      </c>
      <c r="H307" s="460" t="s">
        <v>24</v>
      </c>
      <c r="I307" s="460" t="s">
        <v>31</v>
      </c>
      <c r="J307" s="460" t="s">
        <v>34</v>
      </c>
      <c r="K307" s="461" t="s">
        <v>33</v>
      </c>
    </row>
    <row r="308" spans="3:11" ht="15.75" x14ac:dyDescent="0.2">
      <c r="C308" s="454" t="s">
        <v>1321</v>
      </c>
      <c r="D308" s="456" t="s">
        <v>22</v>
      </c>
      <c r="E308" s="457" t="s">
        <v>32</v>
      </c>
      <c r="F308" s="457" t="s">
        <v>20</v>
      </c>
      <c r="G308" s="457" t="s">
        <v>23</v>
      </c>
      <c r="H308" s="460" t="s">
        <v>24</v>
      </c>
      <c r="I308" s="460" t="s">
        <v>31</v>
      </c>
      <c r="J308" s="460" t="s">
        <v>34</v>
      </c>
      <c r="K308" s="461" t="s">
        <v>33</v>
      </c>
    </row>
    <row r="309" spans="3:11" ht="15.75" x14ac:dyDescent="0.2">
      <c r="C309" s="454" t="s">
        <v>1320</v>
      </c>
      <c r="D309" s="456" t="s">
        <v>22</v>
      </c>
      <c r="E309" s="457" t="s">
        <v>841</v>
      </c>
      <c r="F309" s="457" t="s">
        <v>20</v>
      </c>
      <c r="G309" s="457" t="s">
        <v>23</v>
      </c>
      <c r="H309" s="460" t="s">
        <v>24</v>
      </c>
      <c r="I309" s="460" t="s">
        <v>31</v>
      </c>
      <c r="J309" s="460" t="s">
        <v>34</v>
      </c>
      <c r="K309" s="461" t="s">
        <v>32</v>
      </c>
    </row>
    <row r="310" spans="3:11" ht="15.75" x14ac:dyDescent="0.2">
      <c r="C310" s="454" t="s">
        <v>1319</v>
      </c>
      <c r="D310" s="456" t="s">
        <v>22</v>
      </c>
      <c r="E310" s="457" t="s">
        <v>841</v>
      </c>
      <c r="F310" s="457" t="s">
        <v>20</v>
      </c>
      <c r="G310" s="457" t="s">
        <v>23</v>
      </c>
      <c r="H310" s="460" t="s">
        <v>24</v>
      </c>
      <c r="I310" s="460" t="s">
        <v>31</v>
      </c>
      <c r="J310" s="460" t="s">
        <v>32</v>
      </c>
      <c r="K310" s="461" t="s">
        <v>33</v>
      </c>
    </row>
    <row r="311" spans="3:11" ht="15.75" x14ac:dyDescent="0.2">
      <c r="C311" s="454" t="s">
        <v>1318</v>
      </c>
      <c r="D311" s="456" t="s">
        <v>22</v>
      </c>
      <c r="E311" s="457" t="s">
        <v>841</v>
      </c>
      <c r="F311" s="457" t="s">
        <v>20</v>
      </c>
      <c r="G311" s="457" t="s">
        <v>23</v>
      </c>
      <c r="H311" s="460" t="s">
        <v>24</v>
      </c>
      <c r="I311" s="460" t="s">
        <v>272</v>
      </c>
      <c r="J311" s="460" t="s">
        <v>34</v>
      </c>
      <c r="K311" s="461" t="s">
        <v>33</v>
      </c>
    </row>
    <row r="312" spans="3:11" ht="15.75" x14ac:dyDescent="0.2">
      <c r="C312" s="454" t="s">
        <v>1317</v>
      </c>
      <c r="D312" s="456" t="s">
        <v>22</v>
      </c>
      <c r="E312" s="457" t="s">
        <v>272</v>
      </c>
      <c r="F312" s="457" t="s">
        <v>20</v>
      </c>
      <c r="G312" s="457" t="s">
        <v>24</v>
      </c>
      <c r="H312" s="460" t="s">
        <v>32</v>
      </c>
      <c r="I312" s="460" t="s">
        <v>23</v>
      </c>
      <c r="J312" s="460" t="s">
        <v>34</v>
      </c>
      <c r="K312" s="461" t="s">
        <v>33</v>
      </c>
    </row>
    <row r="313" spans="3:11" ht="15.75" x14ac:dyDescent="0.2">
      <c r="C313" s="454" t="s">
        <v>1316</v>
      </c>
      <c r="D313" s="456" t="s">
        <v>22</v>
      </c>
      <c r="E313" s="457" t="s">
        <v>841</v>
      </c>
      <c r="F313" s="457" t="s">
        <v>20</v>
      </c>
      <c r="G313" s="457" t="s">
        <v>23</v>
      </c>
      <c r="H313" s="460" t="s">
        <v>24</v>
      </c>
      <c r="I313" s="460" t="s">
        <v>272</v>
      </c>
      <c r="J313" s="460" t="s">
        <v>34</v>
      </c>
      <c r="K313" s="461" t="s">
        <v>32</v>
      </c>
    </row>
    <row r="314" spans="3:11" ht="15.75" x14ac:dyDescent="0.2">
      <c r="C314" s="454" t="s">
        <v>1315</v>
      </c>
      <c r="D314" s="456" t="s">
        <v>22</v>
      </c>
      <c r="E314" s="457" t="s">
        <v>841</v>
      </c>
      <c r="F314" s="457" t="s">
        <v>20</v>
      </c>
      <c r="G314" s="457" t="s">
        <v>23</v>
      </c>
      <c r="H314" s="460" t="s">
        <v>24</v>
      </c>
      <c r="I314" s="460" t="s">
        <v>272</v>
      </c>
      <c r="J314" s="460" t="s">
        <v>32</v>
      </c>
      <c r="K314" s="461" t="s">
        <v>33</v>
      </c>
    </row>
    <row r="315" spans="3:11" ht="15.75" x14ac:dyDescent="0.2">
      <c r="C315" s="454" t="s">
        <v>1314</v>
      </c>
      <c r="D315" s="456" t="s">
        <v>22</v>
      </c>
      <c r="E315" s="457" t="s">
        <v>272</v>
      </c>
      <c r="F315" s="457" t="s">
        <v>20</v>
      </c>
      <c r="G315" s="457" t="s">
        <v>23</v>
      </c>
      <c r="H315" s="460" t="s">
        <v>24</v>
      </c>
      <c r="I315" s="460" t="s">
        <v>31</v>
      </c>
      <c r="J315" s="460" t="s">
        <v>34</v>
      </c>
      <c r="K315" s="461" t="s">
        <v>33</v>
      </c>
    </row>
    <row r="316" spans="3:11" ht="15.75" x14ac:dyDescent="0.2">
      <c r="C316" s="454" t="s">
        <v>1313</v>
      </c>
      <c r="D316" s="456" t="s">
        <v>31</v>
      </c>
      <c r="E316" s="457" t="s">
        <v>841</v>
      </c>
      <c r="F316" s="457" t="s">
        <v>20</v>
      </c>
      <c r="G316" s="457" t="s">
        <v>23</v>
      </c>
      <c r="H316" s="460" t="s">
        <v>24</v>
      </c>
      <c r="I316" s="460" t="s">
        <v>272</v>
      </c>
      <c r="J316" s="460" t="s">
        <v>34</v>
      </c>
      <c r="K316" s="461" t="s">
        <v>22</v>
      </c>
    </row>
    <row r="317" spans="3:11" ht="15.75" x14ac:dyDescent="0.2">
      <c r="C317" s="454" t="s">
        <v>1312</v>
      </c>
      <c r="D317" s="456" t="s">
        <v>31</v>
      </c>
      <c r="E317" s="457" t="s">
        <v>841</v>
      </c>
      <c r="F317" s="457" t="s">
        <v>20</v>
      </c>
      <c r="G317" s="457" t="s">
        <v>23</v>
      </c>
      <c r="H317" s="460" t="s">
        <v>24</v>
      </c>
      <c r="I317" s="460" t="s">
        <v>272</v>
      </c>
      <c r="J317" s="460" t="s">
        <v>22</v>
      </c>
      <c r="K317" s="461" t="s">
        <v>33</v>
      </c>
    </row>
    <row r="318" spans="3:11" ht="15.75" x14ac:dyDescent="0.2">
      <c r="C318" s="454" t="s">
        <v>1311</v>
      </c>
      <c r="D318" s="456" t="s">
        <v>22</v>
      </c>
      <c r="E318" s="457" t="s">
        <v>272</v>
      </c>
      <c r="F318" s="457" t="s">
        <v>20</v>
      </c>
      <c r="G318" s="457" t="s">
        <v>23</v>
      </c>
      <c r="H318" s="460" t="s">
        <v>24</v>
      </c>
      <c r="I318" s="460" t="s">
        <v>31</v>
      </c>
      <c r="J318" s="460" t="s">
        <v>34</v>
      </c>
      <c r="K318" s="461" t="s">
        <v>32</v>
      </c>
    </row>
    <row r="319" spans="3:11" ht="15.75" x14ac:dyDescent="0.2">
      <c r="C319" s="454" t="s">
        <v>1310</v>
      </c>
      <c r="D319" s="456" t="s">
        <v>22</v>
      </c>
      <c r="E319" s="457" t="s">
        <v>272</v>
      </c>
      <c r="F319" s="457" t="s">
        <v>20</v>
      </c>
      <c r="G319" s="457" t="s">
        <v>23</v>
      </c>
      <c r="H319" s="460" t="s">
        <v>24</v>
      </c>
      <c r="I319" s="460" t="s">
        <v>31</v>
      </c>
      <c r="J319" s="460" t="s">
        <v>32</v>
      </c>
      <c r="K319" s="461" t="s">
        <v>33</v>
      </c>
    </row>
    <row r="320" spans="3:11" ht="15.75" x14ac:dyDescent="0.2">
      <c r="C320" s="454" t="s">
        <v>1309</v>
      </c>
      <c r="D320" s="456" t="s">
        <v>31</v>
      </c>
      <c r="E320" s="457" t="s">
        <v>841</v>
      </c>
      <c r="F320" s="457" t="s">
        <v>20</v>
      </c>
      <c r="G320" s="457" t="s">
        <v>23</v>
      </c>
      <c r="H320" s="460" t="s">
        <v>24</v>
      </c>
      <c r="I320" s="460" t="s">
        <v>272</v>
      </c>
      <c r="J320" s="460" t="s">
        <v>22</v>
      </c>
      <c r="K320" s="461" t="s">
        <v>32</v>
      </c>
    </row>
    <row r="321" spans="3:11" ht="15.75" x14ac:dyDescent="0.2">
      <c r="C321" s="454" t="s">
        <v>1308</v>
      </c>
      <c r="D321" s="456" t="s">
        <v>32</v>
      </c>
      <c r="E321" s="457" t="s">
        <v>841</v>
      </c>
      <c r="F321" s="457" t="s">
        <v>20</v>
      </c>
      <c r="G321" s="457" t="s">
        <v>25</v>
      </c>
      <c r="H321" s="460" t="s">
        <v>24</v>
      </c>
      <c r="I321" s="460" t="s">
        <v>31</v>
      </c>
      <c r="J321" s="460" t="s">
        <v>34</v>
      </c>
      <c r="K321" s="461" t="s">
        <v>33</v>
      </c>
    </row>
    <row r="322" spans="3:11" ht="15.75" x14ac:dyDescent="0.2">
      <c r="C322" s="454" t="s">
        <v>1307</v>
      </c>
      <c r="D322" s="456" t="s">
        <v>32</v>
      </c>
      <c r="E322" s="457" t="s">
        <v>841</v>
      </c>
      <c r="F322" s="457" t="s">
        <v>20</v>
      </c>
      <c r="G322" s="457" t="s">
        <v>25</v>
      </c>
      <c r="H322" s="460" t="s">
        <v>24</v>
      </c>
      <c r="I322" s="460" t="s">
        <v>272</v>
      </c>
      <c r="J322" s="460" t="s">
        <v>34</v>
      </c>
      <c r="K322" s="461" t="s">
        <v>33</v>
      </c>
    </row>
    <row r="323" spans="3:11" ht="15.75" x14ac:dyDescent="0.2">
      <c r="C323" s="454" t="s">
        <v>1306</v>
      </c>
      <c r="D323" s="456" t="s">
        <v>31</v>
      </c>
      <c r="E323" s="457" t="s">
        <v>841</v>
      </c>
      <c r="F323" s="457" t="s">
        <v>20</v>
      </c>
      <c r="G323" s="457" t="s">
        <v>25</v>
      </c>
      <c r="H323" s="460" t="s">
        <v>24</v>
      </c>
      <c r="I323" s="460" t="s">
        <v>272</v>
      </c>
      <c r="J323" s="460" t="s">
        <v>34</v>
      </c>
      <c r="K323" s="461" t="s">
        <v>33</v>
      </c>
    </row>
    <row r="324" spans="3:11" ht="15.75" x14ac:dyDescent="0.2">
      <c r="C324" s="454" t="s">
        <v>1305</v>
      </c>
      <c r="D324" s="456" t="s">
        <v>32</v>
      </c>
      <c r="E324" s="457" t="s">
        <v>272</v>
      </c>
      <c r="F324" s="457" t="s">
        <v>20</v>
      </c>
      <c r="G324" s="457" t="s">
        <v>25</v>
      </c>
      <c r="H324" s="460" t="s">
        <v>24</v>
      </c>
      <c r="I324" s="460" t="s">
        <v>31</v>
      </c>
      <c r="J324" s="460" t="s">
        <v>34</v>
      </c>
      <c r="K324" s="461" t="s">
        <v>33</v>
      </c>
    </row>
    <row r="325" spans="3:11" ht="15.75" x14ac:dyDescent="0.2">
      <c r="C325" s="454" t="s">
        <v>1304</v>
      </c>
      <c r="D325" s="456" t="s">
        <v>31</v>
      </c>
      <c r="E325" s="457" t="s">
        <v>841</v>
      </c>
      <c r="F325" s="457" t="s">
        <v>20</v>
      </c>
      <c r="G325" s="457" t="s">
        <v>25</v>
      </c>
      <c r="H325" s="460" t="s">
        <v>24</v>
      </c>
      <c r="I325" s="460" t="s">
        <v>272</v>
      </c>
      <c r="J325" s="460" t="s">
        <v>34</v>
      </c>
      <c r="K325" s="461" t="s">
        <v>32</v>
      </c>
    </row>
    <row r="326" spans="3:11" ht="15.75" x14ac:dyDescent="0.2">
      <c r="C326" s="454" t="s">
        <v>1303</v>
      </c>
      <c r="D326" s="456" t="s">
        <v>31</v>
      </c>
      <c r="E326" s="457" t="s">
        <v>841</v>
      </c>
      <c r="F326" s="457" t="s">
        <v>20</v>
      </c>
      <c r="G326" s="457" t="s">
        <v>25</v>
      </c>
      <c r="H326" s="460" t="s">
        <v>24</v>
      </c>
      <c r="I326" s="460" t="s">
        <v>272</v>
      </c>
      <c r="J326" s="460" t="s">
        <v>32</v>
      </c>
      <c r="K326" s="461" t="s">
        <v>33</v>
      </c>
    </row>
    <row r="327" spans="3:11" ht="15.75" x14ac:dyDescent="0.2">
      <c r="C327" s="454" t="s">
        <v>1302</v>
      </c>
      <c r="D327" s="456" t="s">
        <v>32</v>
      </c>
      <c r="E327" s="457" t="s">
        <v>841</v>
      </c>
      <c r="F327" s="457" t="s">
        <v>20</v>
      </c>
      <c r="G327" s="457" t="s">
        <v>25</v>
      </c>
      <c r="H327" s="460" t="s">
        <v>24</v>
      </c>
      <c r="I327" s="460" t="s">
        <v>23</v>
      </c>
      <c r="J327" s="460" t="s">
        <v>34</v>
      </c>
      <c r="K327" s="461" t="s">
        <v>33</v>
      </c>
    </row>
    <row r="328" spans="3:11" ht="15.75" x14ac:dyDescent="0.2">
      <c r="C328" s="454" t="s">
        <v>1301</v>
      </c>
      <c r="D328" s="456" t="s">
        <v>31</v>
      </c>
      <c r="E328" s="457" t="s">
        <v>841</v>
      </c>
      <c r="F328" s="457" t="s">
        <v>20</v>
      </c>
      <c r="G328" s="457" t="s">
        <v>25</v>
      </c>
      <c r="H328" s="460" t="s">
        <v>24</v>
      </c>
      <c r="I328" s="460" t="s">
        <v>23</v>
      </c>
      <c r="J328" s="460" t="s">
        <v>34</v>
      </c>
      <c r="K328" s="461" t="s">
        <v>33</v>
      </c>
    </row>
    <row r="329" spans="3:11" ht="15.75" x14ac:dyDescent="0.2">
      <c r="C329" s="454" t="s">
        <v>1300</v>
      </c>
      <c r="D329" s="456" t="s">
        <v>31</v>
      </c>
      <c r="E329" s="457" t="s">
        <v>32</v>
      </c>
      <c r="F329" s="457" t="s">
        <v>20</v>
      </c>
      <c r="G329" s="457" t="s">
        <v>25</v>
      </c>
      <c r="H329" s="460" t="s">
        <v>24</v>
      </c>
      <c r="I329" s="460" t="s">
        <v>23</v>
      </c>
      <c r="J329" s="460" t="s">
        <v>34</v>
      </c>
      <c r="K329" s="461" t="s">
        <v>33</v>
      </c>
    </row>
    <row r="330" spans="3:11" ht="15.75" x14ac:dyDescent="0.2">
      <c r="C330" s="454" t="s">
        <v>1299</v>
      </c>
      <c r="D330" s="456" t="s">
        <v>31</v>
      </c>
      <c r="E330" s="457" t="s">
        <v>841</v>
      </c>
      <c r="F330" s="457" t="s">
        <v>20</v>
      </c>
      <c r="G330" s="457" t="s">
        <v>25</v>
      </c>
      <c r="H330" s="460" t="s">
        <v>24</v>
      </c>
      <c r="I330" s="460" t="s">
        <v>23</v>
      </c>
      <c r="J330" s="460" t="s">
        <v>34</v>
      </c>
      <c r="K330" s="461" t="s">
        <v>32</v>
      </c>
    </row>
    <row r="331" spans="3:11" ht="15.75" x14ac:dyDescent="0.2">
      <c r="C331" s="454" t="s">
        <v>1298</v>
      </c>
      <c r="D331" s="456" t="s">
        <v>31</v>
      </c>
      <c r="E331" s="457" t="s">
        <v>841</v>
      </c>
      <c r="F331" s="457" t="s">
        <v>20</v>
      </c>
      <c r="G331" s="457" t="s">
        <v>25</v>
      </c>
      <c r="H331" s="460" t="s">
        <v>24</v>
      </c>
      <c r="I331" s="460" t="s">
        <v>23</v>
      </c>
      <c r="J331" s="460" t="s">
        <v>32</v>
      </c>
      <c r="K331" s="461" t="s">
        <v>33</v>
      </c>
    </row>
    <row r="332" spans="3:11" ht="15.75" x14ac:dyDescent="0.2">
      <c r="C332" s="454" t="s">
        <v>1297</v>
      </c>
      <c r="D332" s="456" t="s">
        <v>23</v>
      </c>
      <c r="E332" s="457" t="s">
        <v>841</v>
      </c>
      <c r="F332" s="457" t="s">
        <v>20</v>
      </c>
      <c r="G332" s="457" t="s">
        <v>25</v>
      </c>
      <c r="H332" s="460" t="s">
        <v>24</v>
      </c>
      <c r="I332" s="460" t="s">
        <v>272</v>
      </c>
      <c r="J332" s="460" t="s">
        <v>34</v>
      </c>
      <c r="K332" s="461" t="s">
        <v>33</v>
      </c>
    </row>
    <row r="333" spans="3:11" ht="15.75" x14ac:dyDescent="0.2">
      <c r="C333" s="454" t="s">
        <v>1296</v>
      </c>
      <c r="D333" s="456" t="s">
        <v>32</v>
      </c>
      <c r="E333" s="457" t="s">
        <v>272</v>
      </c>
      <c r="F333" s="457" t="s">
        <v>20</v>
      </c>
      <c r="G333" s="457" t="s">
        <v>25</v>
      </c>
      <c r="H333" s="460" t="s">
        <v>24</v>
      </c>
      <c r="I333" s="460" t="s">
        <v>23</v>
      </c>
      <c r="J333" s="460" t="s">
        <v>34</v>
      </c>
      <c r="K333" s="461" t="s">
        <v>33</v>
      </c>
    </row>
    <row r="334" spans="3:11" ht="15.75" x14ac:dyDescent="0.2">
      <c r="C334" s="454" t="s">
        <v>1295</v>
      </c>
      <c r="D334" s="456" t="s">
        <v>23</v>
      </c>
      <c r="E334" s="457" t="s">
        <v>841</v>
      </c>
      <c r="F334" s="457" t="s">
        <v>20</v>
      </c>
      <c r="G334" s="457" t="s">
        <v>25</v>
      </c>
      <c r="H334" s="460" t="s">
        <v>24</v>
      </c>
      <c r="I334" s="460" t="s">
        <v>272</v>
      </c>
      <c r="J334" s="460" t="s">
        <v>34</v>
      </c>
      <c r="K334" s="461" t="s">
        <v>32</v>
      </c>
    </row>
    <row r="335" spans="3:11" ht="15.75" x14ac:dyDescent="0.2">
      <c r="C335" s="454" t="s">
        <v>1294</v>
      </c>
      <c r="D335" s="456" t="s">
        <v>23</v>
      </c>
      <c r="E335" s="457" t="s">
        <v>841</v>
      </c>
      <c r="F335" s="457" t="s">
        <v>20</v>
      </c>
      <c r="G335" s="457" t="s">
        <v>25</v>
      </c>
      <c r="H335" s="460" t="s">
        <v>24</v>
      </c>
      <c r="I335" s="460" t="s">
        <v>272</v>
      </c>
      <c r="J335" s="460" t="s">
        <v>32</v>
      </c>
      <c r="K335" s="461" t="s">
        <v>33</v>
      </c>
    </row>
    <row r="336" spans="3:11" ht="15.75" x14ac:dyDescent="0.2">
      <c r="C336" s="454" t="s">
        <v>1293</v>
      </c>
      <c r="D336" s="456" t="s">
        <v>31</v>
      </c>
      <c r="E336" s="457" t="s">
        <v>272</v>
      </c>
      <c r="F336" s="457" t="s">
        <v>20</v>
      </c>
      <c r="G336" s="457" t="s">
        <v>25</v>
      </c>
      <c r="H336" s="460" t="s">
        <v>24</v>
      </c>
      <c r="I336" s="460" t="s">
        <v>23</v>
      </c>
      <c r="J336" s="460" t="s">
        <v>34</v>
      </c>
      <c r="K336" s="461" t="s">
        <v>33</v>
      </c>
    </row>
    <row r="337" spans="3:11" ht="15.75" x14ac:dyDescent="0.2">
      <c r="C337" s="454" t="s">
        <v>1292</v>
      </c>
      <c r="D337" s="456" t="s">
        <v>31</v>
      </c>
      <c r="E337" s="457" t="s">
        <v>272</v>
      </c>
      <c r="F337" s="457" t="s">
        <v>20</v>
      </c>
      <c r="G337" s="457" t="s">
        <v>25</v>
      </c>
      <c r="H337" s="460" t="s">
        <v>24</v>
      </c>
      <c r="I337" s="460" t="s">
        <v>23</v>
      </c>
      <c r="J337" s="460" t="s">
        <v>34</v>
      </c>
      <c r="K337" s="461" t="s">
        <v>841</v>
      </c>
    </row>
    <row r="338" spans="3:11" ht="15.75" x14ac:dyDescent="0.2">
      <c r="C338" s="454" t="s">
        <v>1291</v>
      </c>
      <c r="D338" s="456" t="s">
        <v>31</v>
      </c>
      <c r="E338" s="457" t="s">
        <v>272</v>
      </c>
      <c r="F338" s="457" t="s">
        <v>20</v>
      </c>
      <c r="G338" s="457" t="s">
        <v>25</v>
      </c>
      <c r="H338" s="460" t="s">
        <v>24</v>
      </c>
      <c r="I338" s="460" t="s">
        <v>23</v>
      </c>
      <c r="J338" s="460" t="s">
        <v>841</v>
      </c>
      <c r="K338" s="461" t="s">
        <v>33</v>
      </c>
    </row>
    <row r="339" spans="3:11" ht="15.75" x14ac:dyDescent="0.2">
      <c r="C339" s="454" t="s">
        <v>1290</v>
      </c>
      <c r="D339" s="456" t="s">
        <v>31</v>
      </c>
      <c r="E339" s="457" t="s">
        <v>272</v>
      </c>
      <c r="F339" s="457" t="s">
        <v>20</v>
      </c>
      <c r="G339" s="457" t="s">
        <v>25</v>
      </c>
      <c r="H339" s="460" t="s">
        <v>24</v>
      </c>
      <c r="I339" s="460" t="s">
        <v>23</v>
      </c>
      <c r="J339" s="460" t="s">
        <v>34</v>
      </c>
      <c r="K339" s="461" t="s">
        <v>32</v>
      </c>
    </row>
    <row r="340" spans="3:11" ht="15.75" x14ac:dyDescent="0.2">
      <c r="C340" s="454" t="s">
        <v>1289</v>
      </c>
      <c r="D340" s="456" t="s">
        <v>31</v>
      </c>
      <c r="E340" s="457" t="s">
        <v>272</v>
      </c>
      <c r="F340" s="457" t="s">
        <v>20</v>
      </c>
      <c r="G340" s="457" t="s">
        <v>25</v>
      </c>
      <c r="H340" s="460" t="s">
        <v>24</v>
      </c>
      <c r="I340" s="460" t="s">
        <v>23</v>
      </c>
      <c r="J340" s="460" t="s">
        <v>32</v>
      </c>
      <c r="K340" s="461" t="s">
        <v>33</v>
      </c>
    </row>
    <row r="341" spans="3:11" ht="15.75" x14ac:dyDescent="0.2">
      <c r="C341" s="454" t="s">
        <v>1288</v>
      </c>
      <c r="D341" s="456" t="s">
        <v>31</v>
      </c>
      <c r="E341" s="457" t="s">
        <v>272</v>
      </c>
      <c r="F341" s="457" t="s">
        <v>20</v>
      </c>
      <c r="G341" s="457" t="s">
        <v>25</v>
      </c>
      <c r="H341" s="460" t="s">
        <v>24</v>
      </c>
      <c r="I341" s="460" t="s">
        <v>23</v>
      </c>
      <c r="J341" s="460" t="s">
        <v>32</v>
      </c>
      <c r="K341" s="461" t="s">
        <v>841</v>
      </c>
    </row>
    <row r="342" spans="3:11" ht="15.75" x14ac:dyDescent="0.2">
      <c r="C342" s="454" t="s">
        <v>1287</v>
      </c>
      <c r="D342" s="456" t="s">
        <v>22</v>
      </c>
      <c r="E342" s="457" t="s">
        <v>841</v>
      </c>
      <c r="F342" s="457" t="s">
        <v>20</v>
      </c>
      <c r="G342" s="457" t="s">
        <v>24</v>
      </c>
      <c r="H342" s="460" t="s">
        <v>32</v>
      </c>
      <c r="I342" s="460" t="s">
        <v>25</v>
      </c>
      <c r="J342" s="460" t="s">
        <v>34</v>
      </c>
      <c r="K342" s="461" t="s">
        <v>33</v>
      </c>
    </row>
    <row r="343" spans="3:11" ht="15.75" x14ac:dyDescent="0.2">
      <c r="C343" s="454" t="s">
        <v>1286</v>
      </c>
      <c r="D343" s="456" t="s">
        <v>22</v>
      </c>
      <c r="E343" s="457" t="s">
        <v>841</v>
      </c>
      <c r="F343" s="457" t="s">
        <v>20</v>
      </c>
      <c r="G343" s="457" t="s">
        <v>25</v>
      </c>
      <c r="H343" s="460" t="s">
        <v>24</v>
      </c>
      <c r="I343" s="460" t="s">
        <v>31</v>
      </c>
      <c r="J343" s="460" t="s">
        <v>34</v>
      </c>
      <c r="K343" s="461" t="s">
        <v>33</v>
      </c>
    </row>
    <row r="344" spans="3:11" ht="15.75" x14ac:dyDescent="0.2">
      <c r="C344" s="454" t="s">
        <v>1285</v>
      </c>
      <c r="D344" s="456" t="s">
        <v>22</v>
      </c>
      <c r="E344" s="457" t="s">
        <v>32</v>
      </c>
      <c r="F344" s="457" t="s">
        <v>20</v>
      </c>
      <c r="G344" s="457" t="s">
        <v>25</v>
      </c>
      <c r="H344" s="460" t="s">
        <v>24</v>
      </c>
      <c r="I344" s="460" t="s">
        <v>31</v>
      </c>
      <c r="J344" s="460" t="s">
        <v>34</v>
      </c>
      <c r="K344" s="461" t="s">
        <v>33</v>
      </c>
    </row>
    <row r="345" spans="3:11" ht="15.75" x14ac:dyDescent="0.2">
      <c r="C345" s="454" t="s">
        <v>1284</v>
      </c>
      <c r="D345" s="456" t="s">
        <v>22</v>
      </c>
      <c r="E345" s="457" t="s">
        <v>841</v>
      </c>
      <c r="F345" s="457" t="s">
        <v>20</v>
      </c>
      <c r="G345" s="457" t="s">
        <v>25</v>
      </c>
      <c r="H345" s="460" t="s">
        <v>24</v>
      </c>
      <c r="I345" s="460" t="s">
        <v>31</v>
      </c>
      <c r="J345" s="460" t="s">
        <v>34</v>
      </c>
      <c r="K345" s="461" t="s">
        <v>32</v>
      </c>
    </row>
    <row r="346" spans="3:11" ht="15.75" x14ac:dyDescent="0.2">
      <c r="C346" s="454" t="s">
        <v>1283</v>
      </c>
      <c r="D346" s="456" t="s">
        <v>22</v>
      </c>
      <c r="E346" s="457" t="s">
        <v>841</v>
      </c>
      <c r="F346" s="457" t="s">
        <v>20</v>
      </c>
      <c r="G346" s="457" t="s">
        <v>25</v>
      </c>
      <c r="H346" s="460" t="s">
        <v>24</v>
      </c>
      <c r="I346" s="460" t="s">
        <v>31</v>
      </c>
      <c r="J346" s="460" t="s">
        <v>32</v>
      </c>
      <c r="K346" s="461" t="s">
        <v>33</v>
      </c>
    </row>
    <row r="347" spans="3:11" ht="15.75" x14ac:dyDescent="0.2">
      <c r="C347" s="454" t="s">
        <v>1282</v>
      </c>
      <c r="D347" s="456" t="s">
        <v>22</v>
      </c>
      <c r="E347" s="457" t="s">
        <v>841</v>
      </c>
      <c r="F347" s="457" t="s">
        <v>20</v>
      </c>
      <c r="G347" s="457" t="s">
        <v>25</v>
      </c>
      <c r="H347" s="460" t="s">
        <v>24</v>
      </c>
      <c r="I347" s="460" t="s">
        <v>272</v>
      </c>
      <c r="J347" s="460" t="s">
        <v>34</v>
      </c>
      <c r="K347" s="461" t="s">
        <v>33</v>
      </c>
    </row>
    <row r="348" spans="3:11" ht="15.75" x14ac:dyDescent="0.2">
      <c r="C348" s="454" t="s">
        <v>1281</v>
      </c>
      <c r="D348" s="456" t="s">
        <v>22</v>
      </c>
      <c r="E348" s="457" t="s">
        <v>272</v>
      </c>
      <c r="F348" s="457" t="s">
        <v>20</v>
      </c>
      <c r="G348" s="457" t="s">
        <v>24</v>
      </c>
      <c r="H348" s="460" t="s">
        <v>32</v>
      </c>
      <c r="I348" s="460" t="s">
        <v>25</v>
      </c>
      <c r="J348" s="460" t="s">
        <v>34</v>
      </c>
      <c r="K348" s="461" t="s">
        <v>33</v>
      </c>
    </row>
    <row r="349" spans="3:11" ht="15.75" x14ac:dyDescent="0.2">
      <c r="C349" s="454" t="s">
        <v>1280</v>
      </c>
      <c r="D349" s="456" t="s">
        <v>22</v>
      </c>
      <c r="E349" s="457" t="s">
        <v>841</v>
      </c>
      <c r="F349" s="457" t="s">
        <v>20</v>
      </c>
      <c r="G349" s="457" t="s">
        <v>25</v>
      </c>
      <c r="H349" s="460" t="s">
        <v>24</v>
      </c>
      <c r="I349" s="460" t="s">
        <v>272</v>
      </c>
      <c r="J349" s="460" t="s">
        <v>34</v>
      </c>
      <c r="K349" s="461" t="s">
        <v>32</v>
      </c>
    </row>
    <row r="350" spans="3:11" ht="15.75" x14ac:dyDescent="0.2">
      <c r="C350" s="454" t="s">
        <v>1279</v>
      </c>
      <c r="D350" s="456" t="s">
        <v>22</v>
      </c>
      <c r="E350" s="457" t="s">
        <v>841</v>
      </c>
      <c r="F350" s="457" t="s">
        <v>20</v>
      </c>
      <c r="G350" s="457" t="s">
        <v>25</v>
      </c>
      <c r="H350" s="460" t="s">
        <v>24</v>
      </c>
      <c r="I350" s="460" t="s">
        <v>272</v>
      </c>
      <c r="J350" s="460" t="s">
        <v>32</v>
      </c>
      <c r="K350" s="461" t="s">
        <v>33</v>
      </c>
    </row>
    <row r="351" spans="3:11" ht="15.75" x14ac:dyDescent="0.2">
      <c r="C351" s="454" t="s">
        <v>1278</v>
      </c>
      <c r="D351" s="456" t="s">
        <v>22</v>
      </c>
      <c r="E351" s="457" t="s">
        <v>272</v>
      </c>
      <c r="F351" s="457" t="s">
        <v>20</v>
      </c>
      <c r="G351" s="457" t="s">
        <v>25</v>
      </c>
      <c r="H351" s="460" t="s">
        <v>24</v>
      </c>
      <c r="I351" s="460" t="s">
        <v>31</v>
      </c>
      <c r="J351" s="460" t="s">
        <v>34</v>
      </c>
      <c r="K351" s="461" t="s">
        <v>33</v>
      </c>
    </row>
    <row r="352" spans="3:11" ht="15.75" x14ac:dyDescent="0.2">
      <c r="C352" s="454" t="s">
        <v>1277</v>
      </c>
      <c r="D352" s="456" t="s">
        <v>31</v>
      </c>
      <c r="E352" s="457" t="s">
        <v>841</v>
      </c>
      <c r="F352" s="457" t="s">
        <v>20</v>
      </c>
      <c r="G352" s="457" t="s">
        <v>25</v>
      </c>
      <c r="H352" s="460" t="s">
        <v>24</v>
      </c>
      <c r="I352" s="460" t="s">
        <v>272</v>
      </c>
      <c r="J352" s="460" t="s">
        <v>34</v>
      </c>
      <c r="K352" s="461" t="s">
        <v>22</v>
      </c>
    </row>
    <row r="353" spans="3:11" ht="15.75" x14ac:dyDescent="0.2">
      <c r="C353" s="454" t="s">
        <v>1276</v>
      </c>
      <c r="D353" s="456" t="s">
        <v>31</v>
      </c>
      <c r="E353" s="457" t="s">
        <v>841</v>
      </c>
      <c r="F353" s="457" t="s">
        <v>20</v>
      </c>
      <c r="G353" s="457" t="s">
        <v>25</v>
      </c>
      <c r="H353" s="460" t="s">
        <v>24</v>
      </c>
      <c r="I353" s="460" t="s">
        <v>272</v>
      </c>
      <c r="J353" s="460" t="s">
        <v>22</v>
      </c>
      <c r="K353" s="461" t="s">
        <v>33</v>
      </c>
    </row>
    <row r="354" spans="3:11" ht="15.75" x14ac:dyDescent="0.2">
      <c r="C354" s="454" t="s">
        <v>1275</v>
      </c>
      <c r="D354" s="456" t="s">
        <v>22</v>
      </c>
      <c r="E354" s="457" t="s">
        <v>272</v>
      </c>
      <c r="F354" s="457" t="s">
        <v>20</v>
      </c>
      <c r="G354" s="457" t="s">
        <v>25</v>
      </c>
      <c r="H354" s="460" t="s">
        <v>24</v>
      </c>
      <c r="I354" s="460" t="s">
        <v>31</v>
      </c>
      <c r="J354" s="460" t="s">
        <v>34</v>
      </c>
      <c r="K354" s="461" t="s">
        <v>32</v>
      </c>
    </row>
    <row r="355" spans="3:11" ht="15.75" x14ac:dyDescent="0.2">
      <c r="C355" s="454" t="s">
        <v>1274</v>
      </c>
      <c r="D355" s="456" t="s">
        <v>22</v>
      </c>
      <c r="E355" s="457" t="s">
        <v>272</v>
      </c>
      <c r="F355" s="457" t="s">
        <v>20</v>
      </c>
      <c r="G355" s="457" t="s">
        <v>25</v>
      </c>
      <c r="H355" s="460" t="s">
        <v>24</v>
      </c>
      <c r="I355" s="460" t="s">
        <v>31</v>
      </c>
      <c r="J355" s="460" t="s">
        <v>32</v>
      </c>
      <c r="K355" s="461" t="s">
        <v>33</v>
      </c>
    </row>
    <row r="356" spans="3:11" ht="15.75" x14ac:dyDescent="0.2">
      <c r="C356" s="454" t="s">
        <v>1273</v>
      </c>
      <c r="D356" s="456" t="s">
        <v>31</v>
      </c>
      <c r="E356" s="457" t="s">
        <v>841</v>
      </c>
      <c r="F356" s="457" t="s">
        <v>20</v>
      </c>
      <c r="G356" s="457" t="s">
        <v>25</v>
      </c>
      <c r="H356" s="460" t="s">
        <v>24</v>
      </c>
      <c r="I356" s="460" t="s">
        <v>272</v>
      </c>
      <c r="J356" s="460" t="s">
        <v>22</v>
      </c>
      <c r="K356" s="461" t="s">
        <v>32</v>
      </c>
    </row>
    <row r="357" spans="3:11" ht="15.75" x14ac:dyDescent="0.2">
      <c r="C357" s="454" t="s">
        <v>1272</v>
      </c>
      <c r="D357" s="456" t="s">
        <v>22</v>
      </c>
      <c r="E357" s="457" t="s">
        <v>841</v>
      </c>
      <c r="F357" s="457" t="s">
        <v>20</v>
      </c>
      <c r="G357" s="457" t="s">
        <v>25</v>
      </c>
      <c r="H357" s="460" t="s">
        <v>24</v>
      </c>
      <c r="I357" s="460" t="s">
        <v>23</v>
      </c>
      <c r="J357" s="460" t="s">
        <v>34</v>
      </c>
      <c r="K357" s="461" t="s">
        <v>33</v>
      </c>
    </row>
    <row r="358" spans="3:11" ht="15.75" x14ac:dyDescent="0.2">
      <c r="C358" s="454" t="s">
        <v>1271</v>
      </c>
      <c r="D358" s="456" t="s">
        <v>22</v>
      </c>
      <c r="E358" s="457" t="s">
        <v>32</v>
      </c>
      <c r="F358" s="457" t="s">
        <v>20</v>
      </c>
      <c r="G358" s="457" t="s">
        <v>25</v>
      </c>
      <c r="H358" s="460" t="s">
        <v>24</v>
      </c>
      <c r="I358" s="460" t="s">
        <v>23</v>
      </c>
      <c r="J358" s="460" t="s">
        <v>34</v>
      </c>
      <c r="K358" s="461" t="s">
        <v>33</v>
      </c>
    </row>
    <row r="359" spans="3:11" ht="15.75" x14ac:dyDescent="0.2">
      <c r="C359" s="454" t="s">
        <v>1270</v>
      </c>
      <c r="D359" s="456" t="s">
        <v>22</v>
      </c>
      <c r="E359" s="457" t="s">
        <v>841</v>
      </c>
      <c r="F359" s="457" t="s">
        <v>20</v>
      </c>
      <c r="G359" s="457" t="s">
        <v>25</v>
      </c>
      <c r="H359" s="460" t="s">
        <v>24</v>
      </c>
      <c r="I359" s="460" t="s">
        <v>23</v>
      </c>
      <c r="J359" s="460" t="s">
        <v>34</v>
      </c>
      <c r="K359" s="461" t="s">
        <v>32</v>
      </c>
    </row>
    <row r="360" spans="3:11" ht="15.75" x14ac:dyDescent="0.2">
      <c r="C360" s="454" t="s">
        <v>1269</v>
      </c>
      <c r="D360" s="456" t="s">
        <v>22</v>
      </c>
      <c r="E360" s="457" t="s">
        <v>841</v>
      </c>
      <c r="F360" s="457" t="s">
        <v>20</v>
      </c>
      <c r="G360" s="457" t="s">
        <v>25</v>
      </c>
      <c r="H360" s="460" t="s">
        <v>24</v>
      </c>
      <c r="I360" s="460" t="s">
        <v>23</v>
      </c>
      <c r="J360" s="460" t="s">
        <v>32</v>
      </c>
      <c r="K360" s="461" t="s">
        <v>33</v>
      </c>
    </row>
    <row r="361" spans="3:11" ht="15.75" x14ac:dyDescent="0.2">
      <c r="C361" s="454" t="s">
        <v>1268</v>
      </c>
      <c r="D361" s="456" t="s">
        <v>31</v>
      </c>
      <c r="E361" s="457" t="s">
        <v>22</v>
      </c>
      <c r="F361" s="457" t="s">
        <v>20</v>
      </c>
      <c r="G361" s="457" t="s">
        <v>25</v>
      </c>
      <c r="H361" s="460" t="s">
        <v>24</v>
      </c>
      <c r="I361" s="460" t="s">
        <v>23</v>
      </c>
      <c r="J361" s="460" t="s">
        <v>34</v>
      </c>
      <c r="K361" s="461" t="s">
        <v>33</v>
      </c>
    </row>
    <row r="362" spans="3:11" ht="15.75" x14ac:dyDescent="0.2">
      <c r="C362" s="454" t="s">
        <v>1267</v>
      </c>
      <c r="D362" s="456" t="s">
        <v>31</v>
      </c>
      <c r="E362" s="457" t="s">
        <v>841</v>
      </c>
      <c r="F362" s="457" t="s">
        <v>20</v>
      </c>
      <c r="G362" s="457" t="s">
        <v>25</v>
      </c>
      <c r="H362" s="460" t="s">
        <v>24</v>
      </c>
      <c r="I362" s="460" t="s">
        <v>23</v>
      </c>
      <c r="J362" s="460" t="s">
        <v>34</v>
      </c>
      <c r="K362" s="461" t="s">
        <v>22</v>
      </c>
    </row>
    <row r="363" spans="3:11" ht="15.75" x14ac:dyDescent="0.2">
      <c r="C363" s="454" t="s">
        <v>1266</v>
      </c>
      <c r="D363" s="456" t="s">
        <v>31</v>
      </c>
      <c r="E363" s="457" t="s">
        <v>841</v>
      </c>
      <c r="F363" s="457" t="s">
        <v>20</v>
      </c>
      <c r="G363" s="457" t="s">
        <v>25</v>
      </c>
      <c r="H363" s="460" t="s">
        <v>24</v>
      </c>
      <c r="I363" s="460" t="s">
        <v>23</v>
      </c>
      <c r="J363" s="460" t="s">
        <v>22</v>
      </c>
      <c r="K363" s="461" t="s">
        <v>33</v>
      </c>
    </row>
    <row r="364" spans="3:11" ht="15.75" x14ac:dyDescent="0.2">
      <c r="C364" s="454" t="s">
        <v>1265</v>
      </c>
      <c r="D364" s="456" t="s">
        <v>31</v>
      </c>
      <c r="E364" s="457" t="s">
        <v>22</v>
      </c>
      <c r="F364" s="457" t="s">
        <v>20</v>
      </c>
      <c r="G364" s="457" t="s">
        <v>25</v>
      </c>
      <c r="H364" s="460" t="s">
        <v>24</v>
      </c>
      <c r="I364" s="460" t="s">
        <v>23</v>
      </c>
      <c r="J364" s="460" t="s">
        <v>34</v>
      </c>
      <c r="K364" s="461" t="s">
        <v>32</v>
      </c>
    </row>
    <row r="365" spans="3:11" ht="15.75" x14ac:dyDescent="0.2">
      <c r="C365" s="454" t="s">
        <v>1264</v>
      </c>
      <c r="D365" s="456" t="s">
        <v>31</v>
      </c>
      <c r="E365" s="457" t="s">
        <v>22</v>
      </c>
      <c r="F365" s="457" t="s">
        <v>20</v>
      </c>
      <c r="G365" s="457" t="s">
        <v>25</v>
      </c>
      <c r="H365" s="460" t="s">
        <v>24</v>
      </c>
      <c r="I365" s="460" t="s">
        <v>23</v>
      </c>
      <c r="J365" s="460" t="s">
        <v>32</v>
      </c>
      <c r="K365" s="461" t="s">
        <v>33</v>
      </c>
    </row>
    <row r="366" spans="3:11" ht="15.75" x14ac:dyDescent="0.2">
      <c r="C366" s="454" t="s">
        <v>1263</v>
      </c>
      <c r="D366" s="456" t="s">
        <v>31</v>
      </c>
      <c r="E366" s="457" t="s">
        <v>841</v>
      </c>
      <c r="F366" s="457" t="s">
        <v>20</v>
      </c>
      <c r="G366" s="457" t="s">
        <v>25</v>
      </c>
      <c r="H366" s="460" t="s">
        <v>24</v>
      </c>
      <c r="I366" s="460" t="s">
        <v>23</v>
      </c>
      <c r="J366" s="460" t="s">
        <v>22</v>
      </c>
      <c r="K366" s="461" t="s">
        <v>32</v>
      </c>
    </row>
    <row r="367" spans="3:11" ht="15.75" x14ac:dyDescent="0.2">
      <c r="C367" s="454" t="s">
        <v>1262</v>
      </c>
      <c r="D367" s="456" t="s">
        <v>22</v>
      </c>
      <c r="E367" s="457" t="s">
        <v>272</v>
      </c>
      <c r="F367" s="457" t="s">
        <v>20</v>
      </c>
      <c r="G367" s="457" t="s">
        <v>25</v>
      </c>
      <c r="H367" s="460" t="s">
        <v>24</v>
      </c>
      <c r="I367" s="460" t="s">
        <v>23</v>
      </c>
      <c r="J367" s="460" t="s">
        <v>34</v>
      </c>
      <c r="K367" s="461" t="s">
        <v>33</v>
      </c>
    </row>
    <row r="368" spans="3:11" ht="15.75" x14ac:dyDescent="0.2">
      <c r="C368" s="454" t="s">
        <v>1261</v>
      </c>
      <c r="D368" s="456" t="s">
        <v>22</v>
      </c>
      <c r="E368" s="457" t="s">
        <v>272</v>
      </c>
      <c r="F368" s="457" t="s">
        <v>20</v>
      </c>
      <c r="G368" s="457" t="s">
        <v>25</v>
      </c>
      <c r="H368" s="460" t="s">
        <v>24</v>
      </c>
      <c r="I368" s="460" t="s">
        <v>23</v>
      </c>
      <c r="J368" s="460" t="s">
        <v>34</v>
      </c>
      <c r="K368" s="461" t="s">
        <v>841</v>
      </c>
    </row>
    <row r="369" spans="3:11" ht="15.75" x14ac:dyDescent="0.2">
      <c r="C369" s="454" t="s">
        <v>1260</v>
      </c>
      <c r="D369" s="456" t="s">
        <v>22</v>
      </c>
      <c r="E369" s="457" t="s">
        <v>272</v>
      </c>
      <c r="F369" s="457" t="s">
        <v>20</v>
      </c>
      <c r="G369" s="457" t="s">
        <v>25</v>
      </c>
      <c r="H369" s="460" t="s">
        <v>24</v>
      </c>
      <c r="I369" s="460" t="s">
        <v>23</v>
      </c>
      <c r="J369" s="460" t="s">
        <v>841</v>
      </c>
      <c r="K369" s="461" t="s">
        <v>33</v>
      </c>
    </row>
    <row r="370" spans="3:11" ht="15.75" x14ac:dyDescent="0.2">
      <c r="C370" s="454" t="s">
        <v>1259</v>
      </c>
      <c r="D370" s="456" t="s">
        <v>22</v>
      </c>
      <c r="E370" s="457" t="s">
        <v>272</v>
      </c>
      <c r="F370" s="457" t="s">
        <v>20</v>
      </c>
      <c r="G370" s="457" t="s">
        <v>25</v>
      </c>
      <c r="H370" s="460" t="s">
        <v>24</v>
      </c>
      <c r="I370" s="460" t="s">
        <v>23</v>
      </c>
      <c r="J370" s="460" t="s">
        <v>34</v>
      </c>
      <c r="K370" s="461" t="s">
        <v>32</v>
      </c>
    </row>
    <row r="371" spans="3:11" ht="15.75" x14ac:dyDescent="0.2">
      <c r="C371" s="454" t="s">
        <v>1258</v>
      </c>
      <c r="D371" s="456" t="s">
        <v>22</v>
      </c>
      <c r="E371" s="457" t="s">
        <v>272</v>
      </c>
      <c r="F371" s="457" t="s">
        <v>20</v>
      </c>
      <c r="G371" s="457" t="s">
        <v>25</v>
      </c>
      <c r="H371" s="460" t="s">
        <v>24</v>
      </c>
      <c r="I371" s="460" t="s">
        <v>23</v>
      </c>
      <c r="J371" s="460" t="s">
        <v>32</v>
      </c>
      <c r="K371" s="461" t="s">
        <v>33</v>
      </c>
    </row>
    <row r="372" spans="3:11" ht="15.75" x14ac:dyDescent="0.2">
      <c r="C372" s="454" t="s">
        <v>1257</v>
      </c>
      <c r="D372" s="456" t="s">
        <v>22</v>
      </c>
      <c r="E372" s="457" t="s">
        <v>272</v>
      </c>
      <c r="F372" s="457" t="s">
        <v>20</v>
      </c>
      <c r="G372" s="457" t="s">
        <v>25</v>
      </c>
      <c r="H372" s="460" t="s">
        <v>24</v>
      </c>
      <c r="I372" s="460" t="s">
        <v>23</v>
      </c>
      <c r="J372" s="460" t="s">
        <v>32</v>
      </c>
      <c r="K372" s="461" t="s">
        <v>841</v>
      </c>
    </row>
    <row r="373" spans="3:11" ht="15.75" x14ac:dyDescent="0.2">
      <c r="C373" s="454" t="s">
        <v>1256</v>
      </c>
      <c r="D373" s="456" t="s">
        <v>31</v>
      </c>
      <c r="E373" s="457" t="s">
        <v>272</v>
      </c>
      <c r="F373" s="457" t="s">
        <v>20</v>
      </c>
      <c r="G373" s="457" t="s">
        <v>25</v>
      </c>
      <c r="H373" s="460" t="s">
        <v>24</v>
      </c>
      <c r="I373" s="460" t="s">
        <v>23</v>
      </c>
      <c r="J373" s="460" t="s">
        <v>34</v>
      </c>
      <c r="K373" s="461" t="s">
        <v>22</v>
      </c>
    </row>
    <row r="374" spans="3:11" ht="15.75" x14ac:dyDescent="0.2">
      <c r="C374" s="454" t="s">
        <v>1255</v>
      </c>
      <c r="D374" s="456" t="s">
        <v>31</v>
      </c>
      <c r="E374" s="457" t="s">
        <v>272</v>
      </c>
      <c r="F374" s="457" t="s">
        <v>20</v>
      </c>
      <c r="G374" s="457" t="s">
        <v>25</v>
      </c>
      <c r="H374" s="460" t="s">
        <v>24</v>
      </c>
      <c r="I374" s="460" t="s">
        <v>23</v>
      </c>
      <c r="J374" s="460" t="s">
        <v>22</v>
      </c>
      <c r="K374" s="461" t="s">
        <v>33</v>
      </c>
    </row>
    <row r="375" spans="3:11" ht="15.75" x14ac:dyDescent="0.2">
      <c r="C375" s="454" t="s">
        <v>1254</v>
      </c>
      <c r="D375" s="456" t="s">
        <v>31</v>
      </c>
      <c r="E375" s="457" t="s">
        <v>272</v>
      </c>
      <c r="F375" s="457" t="s">
        <v>20</v>
      </c>
      <c r="G375" s="457" t="s">
        <v>25</v>
      </c>
      <c r="H375" s="460" t="s">
        <v>24</v>
      </c>
      <c r="I375" s="460" t="s">
        <v>23</v>
      </c>
      <c r="J375" s="460" t="s">
        <v>22</v>
      </c>
      <c r="K375" s="461" t="s">
        <v>841</v>
      </c>
    </row>
    <row r="376" spans="3:11" ht="15.75" x14ac:dyDescent="0.2">
      <c r="C376" s="454" t="s">
        <v>1253</v>
      </c>
      <c r="D376" s="456" t="s">
        <v>31</v>
      </c>
      <c r="E376" s="457" t="s">
        <v>272</v>
      </c>
      <c r="F376" s="457" t="s">
        <v>20</v>
      </c>
      <c r="G376" s="457" t="s">
        <v>25</v>
      </c>
      <c r="H376" s="460" t="s">
        <v>24</v>
      </c>
      <c r="I376" s="460" t="s">
        <v>23</v>
      </c>
      <c r="J376" s="460" t="s">
        <v>22</v>
      </c>
      <c r="K376" s="461" t="s">
        <v>32</v>
      </c>
    </row>
    <row r="377" spans="3:11" ht="15.75" x14ac:dyDescent="0.2">
      <c r="C377" s="454" t="s">
        <v>1252</v>
      </c>
      <c r="D377" s="456" t="s">
        <v>32</v>
      </c>
      <c r="E377" s="457" t="s">
        <v>841</v>
      </c>
      <c r="F377" s="457" t="s">
        <v>20</v>
      </c>
      <c r="G377" s="457" t="s">
        <v>21</v>
      </c>
      <c r="H377" s="460" t="s">
        <v>24</v>
      </c>
      <c r="I377" s="460" t="s">
        <v>31</v>
      </c>
      <c r="J377" s="460" t="s">
        <v>34</v>
      </c>
      <c r="K377" s="461" t="s">
        <v>33</v>
      </c>
    </row>
    <row r="378" spans="3:11" ht="15.75" x14ac:dyDescent="0.2">
      <c r="C378" s="454" t="s">
        <v>1251</v>
      </c>
      <c r="D378" s="456" t="s">
        <v>32</v>
      </c>
      <c r="E378" s="457" t="s">
        <v>841</v>
      </c>
      <c r="F378" s="457" t="s">
        <v>20</v>
      </c>
      <c r="G378" s="457" t="s">
        <v>21</v>
      </c>
      <c r="H378" s="460" t="s">
        <v>24</v>
      </c>
      <c r="I378" s="460" t="s">
        <v>272</v>
      </c>
      <c r="J378" s="460" t="s">
        <v>34</v>
      </c>
      <c r="K378" s="461" t="s">
        <v>33</v>
      </c>
    </row>
    <row r="379" spans="3:11" ht="15.75" x14ac:dyDescent="0.2">
      <c r="C379" s="454" t="s">
        <v>1250</v>
      </c>
      <c r="D379" s="456" t="s">
        <v>31</v>
      </c>
      <c r="E379" s="457" t="s">
        <v>841</v>
      </c>
      <c r="F379" s="457" t="s">
        <v>20</v>
      </c>
      <c r="G379" s="457" t="s">
        <v>21</v>
      </c>
      <c r="H379" s="460" t="s">
        <v>24</v>
      </c>
      <c r="I379" s="460" t="s">
        <v>272</v>
      </c>
      <c r="J379" s="460" t="s">
        <v>34</v>
      </c>
      <c r="K379" s="461" t="s">
        <v>33</v>
      </c>
    </row>
    <row r="380" spans="3:11" ht="15.75" x14ac:dyDescent="0.2">
      <c r="C380" s="454" t="s">
        <v>1249</v>
      </c>
      <c r="D380" s="456" t="s">
        <v>32</v>
      </c>
      <c r="E380" s="457" t="s">
        <v>272</v>
      </c>
      <c r="F380" s="457" t="s">
        <v>20</v>
      </c>
      <c r="G380" s="457" t="s">
        <v>21</v>
      </c>
      <c r="H380" s="460" t="s">
        <v>24</v>
      </c>
      <c r="I380" s="460" t="s">
        <v>31</v>
      </c>
      <c r="J380" s="460" t="s">
        <v>34</v>
      </c>
      <c r="K380" s="461" t="s">
        <v>33</v>
      </c>
    </row>
    <row r="381" spans="3:11" ht="15.75" x14ac:dyDescent="0.2">
      <c r="C381" s="454" t="s">
        <v>1248</v>
      </c>
      <c r="D381" s="456" t="s">
        <v>31</v>
      </c>
      <c r="E381" s="457" t="s">
        <v>841</v>
      </c>
      <c r="F381" s="457" t="s">
        <v>20</v>
      </c>
      <c r="G381" s="457" t="s">
        <v>21</v>
      </c>
      <c r="H381" s="460" t="s">
        <v>24</v>
      </c>
      <c r="I381" s="460" t="s">
        <v>272</v>
      </c>
      <c r="J381" s="460" t="s">
        <v>34</v>
      </c>
      <c r="K381" s="461" t="s">
        <v>32</v>
      </c>
    </row>
    <row r="382" spans="3:11" ht="15.75" x14ac:dyDescent="0.2">
      <c r="C382" s="454" t="s">
        <v>1247</v>
      </c>
      <c r="D382" s="456" t="s">
        <v>31</v>
      </c>
      <c r="E382" s="457" t="s">
        <v>841</v>
      </c>
      <c r="F382" s="457" t="s">
        <v>20</v>
      </c>
      <c r="G382" s="457" t="s">
        <v>21</v>
      </c>
      <c r="H382" s="460" t="s">
        <v>24</v>
      </c>
      <c r="I382" s="460" t="s">
        <v>272</v>
      </c>
      <c r="J382" s="460" t="s">
        <v>32</v>
      </c>
      <c r="K382" s="461" t="s">
        <v>33</v>
      </c>
    </row>
    <row r="383" spans="3:11" ht="15.75" x14ac:dyDescent="0.2">
      <c r="C383" s="454" t="s">
        <v>1246</v>
      </c>
      <c r="D383" s="456" t="s">
        <v>32</v>
      </c>
      <c r="E383" s="457" t="s">
        <v>841</v>
      </c>
      <c r="F383" s="457" t="s">
        <v>20</v>
      </c>
      <c r="G383" s="457" t="s">
        <v>21</v>
      </c>
      <c r="H383" s="460" t="s">
        <v>24</v>
      </c>
      <c r="I383" s="460" t="s">
        <v>23</v>
      </c>
      <c r="J383" s="460" t="s">
        <v>34</v>
      </c>
      <c r="K383" s="461" t="s">
        <v>33</v>
      </c>
    </row>
    <row r="384" spans="3:11" ht="15.75" x14ac:dyDescent="0.2">
      <c r="C384" s="454" t="s">
        <v>1245</v>
      </c>
      <c r="D384" s="456" t="s">
        <v>31</v>
      </c>
      <c r="E384" s="457" t="s">
        <v>841</v>
      </c>
      <c r="F384" s="457" t="s">
        <v>20</v>
      </c>
      <c r="G384" s="457" t="s">
        <v>21</v>
      </c>
      <c r="H384" s="460" t="s">
        <v>24</v>
      </c>
      <c r="I384" s="460" t="s">
        <v>23</v>
      </c>
      <c r="J384" s="460" t="s">
        <v>34</v>
      </c>
      <c r="K384" s="461" t="s">
        <v>33</v>
      </c>
    </row>
    <row r="385" spans="3:11" ht="15.75" x14ac:dyDescent="0.2">
      <c r="C385" s="454" t="s">
        <v>1244</v>
      </c>
      <c r="D385" s="456" t="s">
        <v>31</v>
      </c>
      <c r="E385" s="457" t="s">
        <v>32</v>
      </c>
      <c r="F385" s="457" t="s">
        <v>20</v>
      </c>
      <c r="G385" s="457" t="s">
        <v>21</v>
      </c>
      <c r="H385" s="460" t="s">
        <v>24</v>
      </c>
      <c r="I385" s="460" t="s">
        <v>23</v>
      </c>
      <c r="J385" s="460" t="s">
        <v>34</v>
      </c>
      <c r="K385" s="461" t="s">
        <v>33</v>
      </c>
    </row>
    <row r="386" spans="3:11" ht="15.75" x14ac:dyDescent="0.2">
      <c r="C386" s="454" t="s">
        <v>1243</v>
      </c>
      <c r="D386" s="456" t="s">
        <v>31</v>
      </c>
      <c r="E386" s="457" t="s">
        <v>841</v>
      </c>
      <c r="F386" s="457" t="s">
        <v>20</v>
      </c>
      <c r="G386" s="457" t="s">
        <v>21</v>
      </c>
      <c r="H386" s="460" t="s">
        <v>24</v>
      </c>
      <c r="I386" s="460" t="s">
        <v>23</v>
      </c>
      <c r="J386" s="460" t="s">
        <v>34</v>
      </c>
      <c r="K386" s="461" t="s">
        <v>32</v>
      </c>
    </row>
    <row r="387" spans="3:11" ht="15.75" x14ac:dyDescent="0.2">
      <c r="C387" s="454" t="s">
        <v>1242</v>
      </c>
      <c r="D387" s="456" t="s">
        <v>31</v>
      </c>
      <c r="E387" s="457" t="s">
        <v>841</v>
      </c>
      <c r="F387" s="457" t="s">
        <v>20</v>
      </c>
      <c r="G387" s="457" t="s">
        <v>21</v>
      </c>
      <c r="H387" s="460" t="s">
        <v>24</v>
      </c>
      <c r="I387" s="460" t="s">
        <v>23</v>
      </c>
      <c r="J387" s="460" t="s">
        <v>32</v>
      </c>
      <c r="K387" s="461" t="s">
        <v>33</v>
      </c>
    </row>
    <row r="388" spans="3:11" ht="15.75" x14ac:dyDescent="0.2">
      <c r="C388" s="454" t="s">
        <v>1241</v>
      </c>
      <c r="D388" s="456" t="s">
        <v>21</v>
      </c>
      <c r="E388" s="457" t="s">
        <v>841</v>
      </c>
      <c r="F388" s="457" t="s">
        <v>20</v>
      </c>
      <c r="G388" s="457" t="s">
        <v>23</v>
      </c>
      <c r="H388" s="460" t="s">
        <v>24</v>
      </c>
      <c r="I388" s="460" t="s">
        <v>272</v>
      </c>
      <c r="J388" s="460" t="s">
        <v>34</v>
      </c>
      <c r="K388" s="461" t="s">
        <v>33</v>
      </c>
    </row>
    <row r="389" spans="3:11" ht="15.75" x14ac:dyDescent="0.2">
      <c r="C389" s="454" t="s">
        <v>1240</v>
      </c>
      <c r="D389" s="456" t="s">
        <v>32</v>
      </c>
      <c r="E389" s="457" t="s">
        <v>272</v>
      </c>
      <c r="F389" s="457" t="s">
        <v>20</v>
      </c>
      <c r="G389" s="457" t="s">
        <v>21</v>
      </c>
      <c r="H389" s="460" t="s">
        <v>24</v>
      </c>
      <c r="I389" s="460" t="s">
        <v>23</v>
      </c>
      <c r="J389" s="460" t="s">
        <v>34</v>
      </c>
      <c r="K389" s="461" t="s">
        <v>33</v>
      </c>
    </row>
    <row r="390" spans="3:11" ht="15.75" x14ac:dyDescent="0.2">
      <c r="C390" s="454" t="s">
        <v>1239</v>
      </c>
      <c r="D390" s="456" t="s">
        <v>21</v>
      </c>
      <c r="E390" s="457" t="s">
        <v>841</v>
      </c>
      <c r="F390" s="457" t="s">
        <v>20</v>
      </c>
      <c r="G390" s="457" t="s">
        <v>23</v>
      </c>
      <c r="H390" s="460" t="s">
        <v>24</v>
      </c>
      <c r="I390" s="460" t="s">
        <v>272</v>
      </c>
      <c r="J390" s="460" t="s">
        <v>34</v>
      </c>
      <c r="K390" s="461" t="s">
        <v>32</v>
      </c>
    </row>
    <row r="391" spans="3:11" ht="15.75" x14ac:dyDescent="0.2">
      <c r="C391" s="454" t="s">
        <v>1238</v>
      </c>
      <c r="D391" s="456" t="s">
        <v>21</v>
      </c>
      <c r="E391" s="457" t="s">
        <v>841</v>
      </c>
      <c r="F391" s="457" t="s">
        <v>20</v>
      </c>
      <c r="G391" s="457" t="s">
        <v>23</v>
      </c>
      <c r="H391" s="460" t="s">
        <v>24</v>
      </c>
      <c r="I391" s="460" t="s">
        <v>272</v>
      </c>
      <c r="J391" s="460" t="s">
        <v>32</v>
      </c>
      <c r="K391" s="461" t="s">
        <v>33</v>
      </c>
    </row>
    <row r="392" spans="3:11" ht="15.75" x14ac:dyDescent="0.2">
      <c r="C392" s="454" t="s">
        <v>1237</v>
      </c>
      <c r="D392" s="456" t="s">
        <v>31</v>
      </c>
      <c r="E392" s="457" t="s">
        <v>272</v>
      </c>
      <c r="F392" s="457" t="s">
        <v>20</v>
      </c>
      <c r="G392" s="457" t="s">
        <v>21</v>
      </c>
      <c r="H392" s="460" t="s">
        <v>24</v>
      </c>
      <c r="I392" s="460" t="s">
        <v>23</v>
      </c>
      <c r="J392" s="460" t="s">
        <v>34</v>
      </c>
      <c r="K392" s="461" t="s">
        <v>33</v>
      </c>
    </row>
    <row r="393" spans="3:11" ht="15.75" x14ac:dyDescent="0.2">
      <c r="C393" s="454" t="s">
        <v>1236</v>
      </c>
      <c r="D393" s="456" t="s">
        <v>31</v>
      </c>
      <c r="E393" s="457" t="s">
        <v>272</v>
      </c>
      <c r="F393" s="457" t="s">
        <v>20</v>
      </c>
      <c r="G393" s="457" t="s">
        <v>21</v>
      </c>
      <c r="H393" s="460" t="s">
        <v>24</v>
      </c>
      <c r="I393" s="460" t="s">
        <v>23</v>
      </c>
      <c r="J393" s="460" t="s">
        <v>34</v>
      </c>
      <c r="K393" s="461" t="s">
        <v>841</v>
      </c>
    </row>
    <row r="394" spans="3:11" ht="15.75" x14ac:dyDescent="0.2">
      <c r="C394" s="454" t="s">
        <v>1235</v>
      </c>
      <c r="D394" s="456" t="s">
        <v>31</v>
      </c>
      <c r="E394" s="457" t="s">
        <v>272</v>
      </c>
      <c r="F394" s="457" t="s">
        <v>20</v>
      </c>
      <c r="G394" s="457" t="s">
        <v>21</v>
      </c>
      <c r="H394" s="460" t="s">
        <v>24</v>
      </c>
      <c r="I394" s="460" t="s">
        <v>23</v>
      </c>
      <c r="J394" s="460" t="s">
        <v>841</v>
      </c>
      <c r="K394" s="461" t="s">
        <v>33</v>
      </c>
    </row>
    <row r="395" spans="3:11" ht="15.75" x14ac:dyDescent="0.2">
      <c r="C395" s="454" t="s">
        <v>1234</v>
      </c>
      <c r="D395" s="456" t="s">
        <v>31</v>
      </c>
      <c r="E395" s="457" t="s">
        <v>272</v>
      </c>
      <c r="F395" s="457" t="s">
        <v>20</v>
      </c>
      <c r="G395" s="457" t="s">
        <v>21</v>
      </c>
      <c r="H395" s="460" t="s">
        <v>24</v>
      </c>
      <c r="I395" s="460" t="s">
        <v>23</v>
      </c>
      <c r="J395" s="460" t="s">
        <v>34</v>
      </c>
      <c r="K395" s="461" t="s">
        <v>32</v>
      </c>
    </row>
    <row r="396" spans="3:11" ht="15.75" x14ac:dyDescent="0.2">
      <c r="C396" s="454" t="s">
        <v>1233</v>
      </c>
      <c r="D396" s="456" t="s">
        <v>31</v>
      </c>
      <c r="E396" s="457" t="s">
        <v>272</v>
      </c>
      <c r="F396" s="457" t="s">
        <v>20</v>
      </c>
      <c r="G396" s="457" t="s">
        <v>21</v>
      </c>
      <c r="H396" s="460" t="s">
        <v>24</v>
      </c>
      <c r="I396" s="460" t="s">
        <v>23</v>
      </c>
      <c r="J396" s="460" t="s">
        <v>32</v>
      </c>
      <c r="K396" s="461" t="s">
        <v>33</v>
      </c>
    </row>
    <row r="397" spans="3:11" ht="15.75" x14ac:dyDescent="0.2">
      <c r="C397" s="454" t="s">
        <v>1232</v>
      </c>
      <c r="D397" s="456" t="s">
        <v>31</v>
      </c>
      <c r="E397" s="457" t="s">
        <v>272</v>
      </c>
      <c r="F397" s="457" t="s">
        <v>20</v>
      </c>
      <c r="G397" s="457" t="s">
        <v>21</v>
      </c>
      <c r="H397" s="460" t="s">
        <v>24</v>
      </c>
      <c r="I397" s="460" t="s">
        <v>23</v>
      </c>
      <c r="J397" s="460" t="s">
        <v>32</v>
      </c>
      <c r="K397" s="461" t="s">
        <v>841</v>
      </c>
    </row>
    <row r="398" spans="3:11" ht="15.75" x14ac:dyDescent="0.2">
      <c r="C398" s="454" t="s">
        <v>1231</v>
      </c>
      <c r="D398" s="456" t="s">
        <v>22</v>
      </c>
      <c r="E398" s="457" t="s">
        <v>841</v>
      </c>
      <c r="F398" s="457" t="s">
        <v>20</v>
      </c>
      <c r="G398" s="457" t="s">
        <v>24</v>
      </c>
      <c r="H398" s="460" t="s">
        <v>32</v>
      </c>
      <c r="I398" s="460" t="s">
        <v>21</v>
      </c>
      <c r="J398" s="460" t="s">
        <v>34</v>
      </c>
      <c r="K398" s="461" t="s">
        <v>33</v>
      </c>
    </row>
    <row r="399" spans="3:11" ht="15.75" x14ac:dyDescent="0.2">
      <c r="C399" s="454" t="s">
        <v>1230</v>
      </c>
      <c r="D399" s="456" t="s">
        <v>22</v>
      </c>
      <c r="E399" s="457" t="s">
        <v>841</v>
      </c>
      <c r="F399" s="457" t="s">
        <v>20</v>
      </c>
      <c r="G399" s="457" t="s">
        <v>21</v>
      </c>
      <c r="H399" s="460" t="s">
        <v>24</v>
      </c>
      <c r="I399" s="460" t="s">
        <v>31</v>
      </c>
      <c r="J399" s="460" t="s">
        <v>34</v>
      </c>
      <c r="K399" s="461" t="s">
        <v>33</v>
      </c>
    </row>
    <row r="400" spans="3:11" ht="15.75" x14ac:dyDescent="0.2">
      <c r="C400" s="454" t="s">
        <v>1229</v>
      </c>
      <c r="D400" s="456" t="s">
        <v>22</v>
      </c>
      <c r="E400" s="457" t="s">
        <v>32</v>
      </c>
      <c r="F400" s="457" t="s">
        <v>20</v>
      </c>
      <c r="G400" s="457" t="s">
        <v>21</v>
      </c>
      <c r="H400" s="460" t="s">
        <v>24</v>
      </c>
      <c r="I400" s="460" t="s">
        <v>31</v>
      </c>
      <c r="J400" s="460" t="s">
        <v>34</v>
      </c>
      <c r="K400" s="461" t="s">
        <v>33</v>
      </c>
    </row>
    <row r="401" spans="3:11" ht="15.75" x14ac:dyDescent="0.2">
      <c r="C401" s="454" t="s">
        <v>1228</v>
      </c>
      <c r="D401" s="456" t="s">
        <v>22</v>
      </c>
      <c r="E401" s="457" t="s">
        <v>841</v>
      </c>
      <c r="F401" s="457" t="s">
        <v>20</v>
      </c>
      <c r="G401" s="457" t="s">
        <v>21</v>
      </c>
      <c r="H401" s="460" t="s">
        <v>24</v>
      </c>
      <c r="I401" s="460" t="s">
        <v>31</v>
      </c>
      <c r="J401" s="460" t="s">
        <v>34</v>
      </c>
      <c r="K401" s="461" t="s">
        <v>32</v>
      </c>
    </row>
    <row r="402" spans="3:11" ht="15.75" x14ac:dyDescent="0.2">
      <c r="C402" s="454" t="s">
        <v>1227</v>
      </c>
      <c r="D402" s="456" t="s">
        <v>22</v>
      </c>
      <c r="E402" s="457" t="s">
        <v>841</v>
      </c>
      <c r="F402" s="457" t="s">
        <v>20</v>
      </c>
      <c r="G402" s="457" t="s">
        <v>21</v>
      </c>
      <c r="H402" s="460" t="s">
        <v>24</v>
      </c>
      <c r="I402" s="460" t="s">
        <v>31</v>
      </c>
      <c r="J402" s="460" t="s">
        <v>32</v>
      </c>
      <c r="K402" s="461" t="s">
        <v>33</v>
      </c>
    </row>
    <row r="403" spans="3:11" ht="15.75" x14ac:dyDescent="0.2">
      <c r="C403" s="454" t="s">
        <v>1226</v>
      </c>
      <c r="D403" s="456" t="s">
        <v>22</v>
      </c>
      <c r="E403" s="457" t="s">
        <v>841</v>
      </c>
      <c r="F403" s="457" t="s">
        <v>20</v>
      </c>
      <c r="G403" s="457" t="s">
        <v>21</v>
      </c>
      <c r="H403" s="460" t="s">
        <v>24</v>
      </c>
      <c r="I403" s="460" t="s">
        <v>272</v>
      </c>
      <c r="J403" s="460" t="s">
        <v>34</v>
      </c>
      <c r="K403" s="461" t="s">
        <v>33</v>
      </c>
    </row>
    <row r="404" spans="3:11" ht="15.75" x14ac:dyDescent="0.2">
      <c r="C404" s="454" t="s">
        <v>1225</v>
      </c>
      <c r="D404" s="456" t="s">
        <v>22</v>
      </c>
      <c r="E404" s="457" t="s">
        <v>272</v>
      </c>
      <c r="F404" s="457" t="s">
        <v>20</v>
      </c>
      <c r="G404" s="457" t="s">
        <v>24</v>
      </c>
      <c r="H404" s="460" t="s">
        <v>32</v>
      </c>
      <c r="I404" s="460" t="s">
        <v>21</v>
      </c>
      <c r="J404" s="460" t="s">
        <v>34</v>
      </c>
      <c r="K404" s="461" t="s">
        <v>33</v>
      </c>
    </row>
    <row r="405" spans="3:11" ht="15.75" x14ac:dyDescent="0.2">
      <c r="C405" s="454" t="s">
        <v>1224</v>
      </c>
      <c r="D405" s="456" t="s">
        <v>22</v>
      </c>
      <c r="E405" s="457" t="s">
        <v>841</v>
      </c>
      <c r="F405" s="457" t="s">
        <v>20</v>
      </c>
      <c r="G405" s="457" t="s">
        <v>21</v>
      </c>
      <c r="H405" s="460" t="s">
        <v>24</v>
      </c>
      <c r="I405" s="460" t="s">
        <v>272</v>
      </c>
      <c r="J405" s="460" t="s">
        <v>34</v>
      </c>
      <c r="K405" s="461" t="s">
        <v>32</v>
      </c>
    </row>
    <row r="406" spans="3:11" ht="15.75" x14ac:dyDescent="0.2">
      <c r="C406" s="454" t="s">
        <v>1223</v>
      </c>
      <c r="D406" s="456" t="s">
        <v>22</v>
      </c>
      <c r="E406" s="457" t="s">
        <v>841</v>
      </c>
      <c r="F406" s="457" t="s">
        <v>20</v>
      </c>
      <c r="G406" s="457" t="s">
        <v>21</v>
      </c>
      <c r="H406" s="460" t="s">
        <v>24</v>
      </c>
      <c r="I406" s="460" t="s">
        <v>272</v>
      </c>
      <c r="J406" s="460" t="s">
        <v>32</v>
      </c>
      <c r="K406" s="461" t="s">
        <v>33</v>
      </c>
    </row>
    <row r="407" spans="3:11" ht="15.75" x14ac:dyDescent="0.2">
      <c r="C407" s="454" t="s">
        <v>1222</v>
      </c>
      <c r="D407" s="456" t="s">
        <v>22</v>
      </c>
      <c r="E407" s="457" t="s">
        <v>272</v>
      </c>
      <c r="F407" s="457" t="s">
        <v>20</v>
      </c>
      <c r="G407" s="457" t="s">
        <v>21</v>
      </c>
      <c r="H407" s="460" t="s">
        <v>24</v>
      </c>
      <c r="I407" s="460" t="s">
        <v>31</v>
      </c>
      <c r="J407" s="460" t="s">
        <v>34</v>
      </c>
      <c r="K407" s="461" t="s">
        <v>33</v>
      </c>
    </row>
    <row r="408" spans="3:11" ht="15.75" x14ac:dyDescent="0.2">
      <c r="C408" s="454" t="s">
        <v>1221</v>
      </c>
      <c r="D408" s="456" t="s">
        <v>31</v>
      </c>
      <c r="E408" s="457" t="s">
        <v>841</v>
      </c>
      <c r="F408" s="457" t="s">
        <v>20</v>
      </c>
      <c r="G408" s="457" t="s">
        <v>21</v>
      </c>
      <c r="H408" s="460" t="s">
        <v>24</v>
      </c>
      <c r="I408" s="460" t="s">
        <v>272</v>
      </c>
      <c r="J408" s="460" t="s">
        <v>34</v>
      </c>
      <c r="K408" s="461" t="s">
        <v>22</v>
      </c>
    </row>
    <row r="409" spans="3:11" ht="15.75" x14ac:dyDescent="0.2">
      <c r="C409" s="454" t="s">
        <v>1220</v>
      </c>
      <c r="D409" s="456" t="s">
        <v>31</v>
      </c>
      <c r="E409" s="457" t="s">
        <v>841</v>
      </c>
      <c r="F409" s="457" t="s">
        <v>20</v>
      </c>
      <c r="G409" s="457" t="s">
        <v>21</v>
      </c>
      <c r="H409" s="460" t="s">
        <v>24</v>
      </c>
      <c r="I409" s="460" t="s">
        <v>272</v>
      </c>
      <c r="J409" s="460" t="s">
        <v>22</v>
      </c>
      <c r="K409" s="461" t="s">
        <v>33</v>
      </c>
    </row>
    <row r="410" spans="3:11" ht="15.75" x14ac:dyDescent="0.2">
      <c r="C410" s="454" t="s">
        <v>1219</v>
      </c>
      <c r="D410" s="456" t="s">
        <v>22</v>
      </c>
      <c r="E410" s="457" t="s">
        <v>272</v>
      </c>
      <c r="F410" s="457" t="s">
        <v>20</v>
      </c>
      <c r="G410" s="457" t="s">
        <v>21</v>
      </c>
      <c r="H410" s="460" t="s">
        <v>24</v>
      </c>
      <c r="I410" s="460" t="s">
        <v>31</v>
      </c>
      <c r="J410" s="460" t="s">
        <v>34</v>
      </c>
      <c r="K410" s="461" t="s">
        <v>32</v>
      </c>
    </row>
    <row r="411" spans="3:11" ht="15.75" x14ac:dyDescent="0.2">
      <c r="C411" s="454" t="s">
        <v>1218</v>
      </c>
      <c r="D411" s="456" t="s">
        <v>22</v>
      </c>
      <c r="E411" s="457" t="s">
        <v>272</v>
      </c>
      <c r="F411" s="457" t="s">
        <v>20</v>
      </c>
      <c r="G411" s="457" t="s">
        <v>21</v>
      </c>
      <c r="H411" s="460" t="s">
        <v>24</v>
      </c>
      <c r="I411" s="460" t="s">
        <v>31</v>
      </c>
      <c r="J411" s="460" t="s">
        <v>32</v>
      </c>
      <c r="K411" s="461" t="s">
        <v>33</v>
      </c>
    </row>
    <row r="412" spans="3:11" ht="15.75" x14ac:dyDescent="0.2">
      <c r="C412" s="454" t="s">
        <v>1217</v>
      </c>
      <c r="D412" s="456" t="s">
        <v>31</v>
      </c>
      <c r="E412" s="457" t="s">
        <v>841</v>
      </c>
      <c r="F412" s="457" t="s">
        <v>20</v>
      </c>
      <c r="G412" s="457" t="s">
        <v>21</v>
      </c>
      <c r="H412" s="460" t="s">
        <v>24</v>
      </c>
      <c r="I412" s="460" t="s">
        <v>272</v>
      </c>
      <c r="J412" s="460" t="s">
        <v>22</v>
      </c>
      <c r="K412" s="461" t="s">
        <v>32</v>
      </c>
    </row>
    <row r="413" spans="3:11" ht="15.75" x14ac:dyDescent="0.2">
      <c r="C413" s="454" t="s">
        <v>1216</v>
      </c>
      <c r="D413" s="456" t="s">
        <v>22</v>
      </c>
      <c r="E413" s="457" t="s">
        <v>841</v>
      </c>
      <c r="F413" s="457" t="s">
        <v>20</v>
      </c>
      <c r="G413" s="457" t="s">
        <v>21</v>
      </c>
      <c r="H413" s="460" t="s">
        <v>24</v>
      </c>
      <c r="I413" s="460" t="s">
        <v>23</v>
      </c>
      <c r="J413" s="460" t="s">
        <v>34</v>
      </c>
      <c r="K413" s="461" t="s">
        <v>33</v>
      </c>
    </row>
    <row r="414" spans="3:11" ht="15.75" x14ac:dyDescent="0.2">
      <c r="C414" s="454" t="s">
        <v>1215</v>
      </c>
      <c r="D414" s="456" t="s">
        <v>22</v>
      </c>
      <c r="E414" s="457" t="s">
        <v>32</v>
      </c>
      <c r="F414" s="457" t="s">
        <v>20</v>
      </c>
      <c r="G414" s="457" t="s">
        <v>21</v>
      </c>
      <c r="H414" s="460" t="s">
        <v>24</v>
      </c>
      <c r="I414" s="460" t="s">
        <v>23</v>
      </c>
      <c r="J414" s="460" t="s">
        <v>34</v>
      </c>
      <c r="K414" s="461" t="s">
        <v>33</v>
      </c>
    </row>
    <row r="415" spans="3:11" ht="15.75" x14ac:dyDescent="0.2">
      <c r="C415" s="454" t="s">
        <v>1214</v>
      </c>
      <c r="D415" s="456" t="s">
        <v>22</v>
      </c>
      <c r="E415" s="457" t="s">
        <v>841</v>
      </c>
      <c r="F415" s="457" t="s">
        <v>20</v>
      </c>
      <c r="G415" s="457" t="s">
        <v>21</v>
      </c>
      <c r="H415" s="460" t="s">
        <v>24</v>
      </c>
      <c r="I415" s="460" t="s">
        <v>23</v>
      </c>
      <c r="J415" s="460" t="s">
        <v>34</v>
      </c>
      <c r="K415" s="461" t="s">
        <v>32</v>
      </c>
    </row>
    <row r="416" spans="3:11" ht="15.75" x14ac:dyDescent="0.2">
      <c r="C416" s="454" t="s">
        <v>1213</v>
      </c>
      <c r="D416" s="456" t="s">
        <v>22</v>
      </c>
      <c r="E416" s="457" t="s">
        <v>841</v>
      </c>
      <c r="F416" s="457" t="s">
        <v>20</v>
      </c>
      <c r="G416" s="457" t="s">
        <v>21</v>
      </c>
      <c r="H416" s="460" t="s">
        <v>24</v>
      </c>
      <c r="I416" s="460" t="s">
        <v>23</v>
      </c>
      <c r="J416" s="460" t="s">
        <v>32</v>
      </c>
      <c r="K416" s="461" t="s">
        <v>33</v>
      </c>
    </row>
    <row r="417" spans="3:11" ht="15.75" x14ac:dyDescent="0.2">
      <c r="C417" s="454" t="s">
        <v>1212</v>
      </c>
      <c r="D417" s="456" t="s">
        <v>31</v>
      </c>
      <c r="E417" s="457" t="s">
        <v>22</v>
      </c>
      <c r="F417" s="457" t="s">
        <v>20</v>
      </c>
      <c r="G417" s="457" t="s">
        <v>21</v>
      </c>
      <c r="H417" s="460" t="s">
        <v>24</v>
      </c>
      <c r="I417" s="460" t="s">
        <v>23</v>
      </c>
      <c r="J417" s="460" t="s">
        <v>34</v>
      </c>
      <c r="K417" s="461" t="s">
        <v>33</v>
      </c>
    </row>
    <row r="418" spans="3:11" ht="15.75" x14ac:dyDescent="0.2">
      <c r="C418" s="454" t="s">
        <v>1211</v>
      </c>
      <c r="D418" s="456" t="s">
        <v>31</v>
      </c>
      <c r="E418" s="457" t="s">
        <v>841</v>
      </c>
      <c r="F418" s="457" t="s">
        <v>20</v>
      </c>
      <c r="G418" s="457" t="s">
        <v>21</v>
      </c>
      <c r="H418" s="460" t="s">
        <v>24</v>
      </c>
      <c r="I418" s="460" t="s">
        <v>23</v>
      </c>
      <c r="J418" s="460" t="s">
        <v>34</v>
      </c>
      <c r="K418" s="461" t="s">
        <v>22</v>
      </c>
    </row>
    <row r="419" spans="3:11" ht="15.75" x14ac:dyDescent="0.2">
      <c r="C419" s="454" t="s">
        <v>1210</v>
      </c>
      <c r="D419" s="456" t="s">
        <v>31</v>
      </c>
      <c r="E419" s="457" t="s">
        <v>841</v>
      </c>
      <c r="F419" s="457" t="s">
        <v>20</v>
      </c>
      <c r="G419" s="457" t="s">
        <v>21</v>
      </c>
      <c r="H419" s="460" t="s">
        <v>24</v>
      </c>
      <c r="I419" s="460" t="s">
        <v>23</v>
      </c>
      <c r="J419" s="460" t="s">
        <v>22</v>
      </c>
      <c r="K419" s="461" t="s">
        <v>33</v>
      </c>
    </row>
    <row r="420" spans="3:11" ht="15.75" x14ac:dyDescent="0.2">
      <c r="C420" s="454" t="s">
        <v>1209</v>
      </c>
      <c r="D420" s="456" t="s">
        <v>31</v>
      </c>
      <c r="E420" s="457" t="s">
        <v>22</v>
      </c>
      <c r="F420" s="457" t="s">
        <v>20</v>
      </c>
      <c r="G420" s="457" t="s">
        <v>21</v>
      </c>
      <c r="H420" s="460" t="s">
        <v>24</v>
      </c>
      <c r="I420" s="460" t="s">
        <v>23</v>
      </c>
      <c r="J420" s="460" t="s">
        <v>34</v>
      </c>
      <c r="K420" s="461" t="s">
        <v>32</v>
      </c>
    </row>
    <row r="421" spans="3:11" ht="15.75" x14ac:dyDescent="0.2">
      <c r="C421" s="454" t="s">
        <v>1208</v>
      </c>
      <c r="D421" s="456" t="s">
        <v>31</v>
      </c>
      <c r="E421" s="457" t="s">
        <v>22</v>
      </c>
      <c r="F421" s="457" t="s">
        <v>20</v>
      </c>
      <c r="G421" s="457" t="s">
        <v>21</v>
      </c>
      <c r="H421" s="460" t="s">
        <v>24</v>
      </c>
      <c r="I421" s="460" t="s">
        <v>23</v>
      </c>
      <c r="J421" s="460" t="s">
        <v>32</v>
      </c>
      <c r="K421" s="461" t="s">
        <v>33</v>
      </c>
    </row>
    <row r="422" spans="3:11" ht="15.75" x14ac:dyDescent="0.2">
      <c r="C422" s="454" t="s">
        <v>1207</v>
      </c>
      <c r="D422" s="456" t="s">
        <v>31</v>
      </c>
      <c r="E422" s="457" t="s">
        <v>841</v>
      </c>
      <c r="F422" s="457" t="s">
        <v>20</v>
      </c>
      <c r="G422" s="457" t="s">
        <v>21</v>
      </c>
      <c r="H422" s="460" t="s">
        <v>24</v>
      </c>
      <c r="I422" s="460" t="s">
        <v>23</v>
      </c>
      <c r="J422" s="460" t="s">
        <v>22</v>
      </c>
      <c r="K422" s="461" t="s">
        <v>32</v>
      </c>
    </row>
    <row r="423" spans="3:11" ht="15.75" x14ac:dyDescent="0.2">
      <c r="C423" s="454" t="s">
        <v>1206</v>
      </c>
      <c r="D423" s="456" t="s">
        <v>22</v>
      </c>
      <c r="E423" s="457" t="s">
        <v>272</v>
      </c>
      <c r="F423" s="457" t="s">
        <v>20</v>
      </c>
      <c r="G423" s="457" t="s">
        <v>21</v>
      </c>
      <c r="H423" s="460" t="s">
        <v>24</v>
      </c>
      <c r="I423" s="460" t="s">
        <v>23</v>
      </c>
      <c r="J423" s="460" t="s">
        <v>34</v>
      </c>
      <c r="K423" s="461" t="s">
        <v>33</v>
      </c>
    </row>
    <row r="424" spans="3:11" ht="15.75" x14ac:dyDescent="0.2">
      <c r="C424" s="454" t="s">
        <v>1205</v>
      </c>
      <c r="D424" s="456" t="s">
        <v>22</v>
      </c>
      <c r="E424" s="457" t="s">
        <v>272</v>
      </c>
      <c r="F424" s="457" t="s">
        <v>20</v>
      </c>
      <c r="G424" s="457" t="s">
        <v>21</v>
      </c>
      <c r="H424" s="460" t="s">
        <v>24</v>
      </c>
      <c r="I424" s="460" t="s">
        <v>23</v>
      </c>
      <c r="J424" s="460" t="s">
        <v>34</v>
      </c>
      <c r="K424" s="461" t="s">
        <v>841</v>
      </c>
    </row>
    <row r="425" spans="3:11" ht="15.75" x14ac:dyDescent="0.2">
      <c r="C425" s="454" t="s">
        <v>1204</v>
      </c>
      <c r="D425" s="456" t="s">
        <v>22</v>
      </c>
      <c r="E425" s="457" t="s">
        <v>272</v>
      </c>
      <c r="F425" s="457" t="s">
        <v>20</v>
      </c>
      <c r="G425" s="457" t="s">
        <v>21</v>
      </c>
      <c r="H425" s="460" t="s">
        <v>24</v>
      </c>
      <c r="I425" s="460" t="s">
        <v>23</v>
      </c>
      <c r="J425" s="460" t="s">
        <v>841</v>
      </c>
      <c r="K425" s="461" t="s">
        <v>33</v>
      </c>
    </row>
    <row r="426" spans="3:11" ht="15.75" x14ac:dyDescent="0.2">
      <c r="C426" s="454" t="s">
        <v>1203</v>
      </c>
      <c r="D426" s="456" t="s">
        <v>22</v>
      </c>
      <c r="E426" s="457" t="s">
        <v>272</v>
      </c>
      <c r="F426" s="457" t="s">
        <v>20</v>
      </c>
      <c r="G426" s="457" t="s">
        <v>21</v>
      </c>
      <c r="H426" s="460" t="s">
        <v>24</v>
      </c>
      <c r="I426" s="460" t="s">
        <v>23</v>
      </c>
      <c r="J426" s="460" t="s">
        <v>34</v>
      </c>
      <c r="K426" s="461" t="s">
        <v>32</v>
      </c>
    </row>
    <row r="427" spans="3:11" ht="15.75" x14ac:dyDescent="0.2">
      <c r="C427" s="454" t="s">
        <v>1202</v>
      </c>
      <c r="D427" s="456" t="s">
        <v>22</v>
      </c>
      <c r="E427" s="457" t="s">
        <v>272</v>
      </c>
      <c r="F427" s="457" t="s">
        <v>20</v>
      </c>
      <c r="G427" s="457" t="s">
        <v>21</v>
      </c>
      <c r="H427" s="460" t="s">
        <v>24</v>
      </c>
      <c r="I427" s="460" t="s">
        <v>23</v>
      </c>
      <c r="J427" s="460" t="s">
        <v>32</v>
      </c>
      <c r="K427" s="461" t="s">
        <v>33</v>
      </c>
    </row>
    <row r="428" spans="3:11" ht="15.75" x14ac:dyDescent="0.2">
      <c r="C428" s="454" t="s">
        <v>1201</v>
      </c>
      <c r="D428" s="456" t="s">
        <v>22</v>
      </c>
      <c r="E428" s="457" t="s">
        <v>272</v>
      </c>
      <c r="F428" s="457" t="s">
        <v>20</v>
      </c>
      <c r="G428" s="457" t="s">
        <v>21</v>
      </c>
      <c r="H428" s="460" t="s">
        <v>24</v>
      </c>
      <c r="I428" s="460" t="s">
        <v>23</v>
      </c>
      <c r="J428" s="460" t="s">
        <v>32</v>
      </c>
      <c r="K428" s="461" t="s">
        <v>841</v>
      </c>
    </row>
    <row r="429" spans="3:11" ht="15.75" x14ac:dyDescent="0.2">
      <c r="C429" s="454" t="s">
        <v>1200</v>
      </c>
      <c r="D429" s="456" t="s">
        <v>31</v>
      </c>
      <c r="E429" s="457" t="s">
        <v>272</v>
      </c>
      <c r="F429" s="457" t="s">
        <v>20</v>
      </c>
      <c r="G429" s="457" t="s">
        <v>21</v>
      </c>
      <c r="H429" s="460" t="s">
        <v>24</v>
      </c>
      <c r="I429" s="460" t="s">
        <v>23</v>
      </c>
      <c r="J429" s="460" t="s">
        <v>34</v>
      </c>
      <c r="K429" s="461" t="s">
        <v>22</v>
      </c>
    </row>
    <row r="430" spans="3:11" ht="15.75" x14ac:dyDescent="0.2">
      <c r="C430" s="454" t="s">
        <v>1199</v>
      </c>
      <c r="D430" s="456" t="s">
        <v>31</v>
      </c>
      <c r="E430" s="457" t="s">
        <v>272</v>
      </c>
      <c r="F430" s="457" t="s">
        <v>20</v>
      </c>
      <c r="G430" s="457" t="s">
        <v>21</v>
      </c>
      <c r="H430" s="460" t="s">
        <v>24</v>
      </c>
      <c r="I430" s="460" t="s">
        <v>23</v>
      </c>
      <c r="J430" s="460" t="s">
        <v>22</v>
      </c>
      <c r="K430" s="461" t="s">
        <v>33</v>
      </c>
    </row>
    <row r="431" spans="3:11" ht="15.75" x14ac:dyDescent="0.2">
      <c r="C431" s="454" t="s">
        <v>1198</v>
      </c>
      <c r="D431" s="456" t="s">
        <v>31</v>
      </c>
      <c r="E431" s="457" t="s">
        <v>272</v>
      </c>
      <c r="F431" s="457" t="s">
        <v>20</v>
      </c>
      <c r="G431" s="457" t="s">
        <v>21</v>
      </c>
      <c r="H431" s="460" t="s">
        <v>24</v>
      </c>
      <c r="I431" s="460" t="s">
        <v>23</v>
      </c>
      <c r="J431" s="460" t="s">
        <v>22</v>
      </c>
      <c r="K431" s="461" t="s">
        <v>841</v>
      </c>
    </row>
    <row r="432" spans="3:11" ht="15.75" x14ac:dyDescent="0.2">
      <c r="C432" s="454" t="s">
        <v>1197</v>
      </c>
      <c r="D432" s="456" t="s">
        <v>31</v>
      </c>
      <c r="E432" s="457" t="s">
        <v>272</v>
      </c>
      <c r="F432" s="457" t="s">
        <v>20</v>
      </c>
      <c r="G432" s="457" t="s">
        <v>21</v>
      </c>
      <c r="H432" s="460" t="s">
        <v>24</v>
      </c>
      <c r="I432" s="460" t="s">
        <v>23</v>
      </c>
      <c r="J432" s="460" t="s">
        <v>22</v>
      </c>
      <c r="K432" s="461" t="s">
        <v>32</v>
      </c>
    </row>
    <row r="433" spans="3:11" ht="15.75" x14ac:dyDescent="0.2">
      <c r="C433" s="454" t="s">
        <v>1196</v>
      </c>
      <c r="D433" s="456" t="s">
        <v>32</v>
      </c>
      <c r="E433" s="457" t="s">
        <v>841</v>
      </c>
      <c r="F433" s="457" t="s">
        <v>20</v>
      </c>
      <c r="G433" s="457" t="s">
        <v>21</v>
      </c>
      <c r="H433" s="460" t="s">
        <v>24</v>
      </c>
      <c r="I433" s="460" t="s">
        <v>25</v>
      </c>
      <c r="J433" s="460" t="s">
        <v>34</v>
      </c>
      <c r="K433" s="461" t="s">
        <v>33</v>
      </c>
    </row>
    <row r="434" spans="3:11" ht="15.75" x14ac:dyDescent="0.2">
      <c r="C434" s="454" t="s">
        <v>1195</v>
      </c>
      <c r="D434" s="456" t="s">
        <v>31</v>
      </c>
      <c r="E434" s="457" t="s">
        <v>841</v>
      </c>
      <c r="F434" s="457" t="s">
        <v>20</v>
      </c>
      <c r="G434" s="457" t="s">
        <v>21</v>
      </c>
      <c r="H434" s="460" t="s">
        <v>24</v>
      </c>
      <c r="I434" s="460" t="s">
        <v>25</v>
      </c>
      <c r="J434" s="460" t="s">
        <v>34</v>
      </c>
      <c r="K434" s="461" t="s">
        <v>33</v>
      </c>
    </row>
    <row r="435" spans="3:11" ht="15.75" x14ac:dyDescent="0.2">
      <c r="C435" s="454" t="s">
        <v>1194</v>
      </c>
      <c r="D435" s="456" t="s">
        <v>31</v>
      </c>
      <c r="E435" s="457" t="s">
        <v>32</v>
      </c>
      <c r="F435" s="457" t="s">
        <v>20</v>
      </c>
      <c r="G435" s="457" t="s">
        <v>21</v>
      </c>
      <c r="H435" s="460" t="s">
        <v>24</v>
      </c>
      <c r="I435" s="460" t="s">
        <v>25</v>
      </c>
      <c r="J435" s="460" t="s">
        <v>34</v>
      </c>
      <c r="K435" s="461" t="s">
        <v>33</v>
      </c>
    </row>
    <row r="436" spans="3:11" ht="15.75" x14ac:dyDescent="0.2">
      <c r="C436" s="454" t="s">
        <v>1193</v>
      </c>
      <c r="D436" s="456" t="s">
        <v>31</v>
      </c>
      <c r="E436" s="457" t="s">
        <v>841</v>
      </c>
      <c r="F436" s="457" t="s">
        <v>20</v>
      </c>
      <c r="G436" s="457" t="s">
        <v>21</v>
      </c>
      <c r="H436" s="460" t="s">
        <v>24</v>
      </c>
      <c r="I436" s="460" t="s">
        <v>25</v>
      </c>
      <c r="J436" s="460" t="s">
        <v>34</v>
      </c>
      <c r="K436" s="461" t="s">
        <v>32</v>
      </c>
    </row>
    <row r="437" spans="3:11" ht="15.75" x14ac:dyDescent="0.2">
      <c r="C437" s="454" t="s">
        <v>1192</v>
      </c>
      <c r="D437" s="456" t="s">
        <v>31</v>
      </c>
      <c r="E437" s="457" t="s">
        <v>841</v>
      </c>
      <c r="F437" s="457" t="s">
        <v>20</v>
      </c>
      <c r="G437" s="457" t="s">
        <v>21</v>
      </c>
      <c r="H437" s="460" t="s">
        <v>24</v>
      </c>
      <c r="I437" s="460" t="s">
        <v>25</v>
      </c>
      <c r="J437" s="460" t="s">
        <v>32</v>
      </c>
      <c r="K437" s="461" t="s">
        <v>33</v>
      </c>
    </row>
    <row r="438" spans="3:11" ht="15.75" x14ac:dyDescent="0.2">
      <c r="C438" s="454" t="s">
        <v>1191</v>
      </c>
      <c r="D438" s="456" t="s">
        <v>21</v>
      </c>
      <c r="E438" s="457" t="s">
        <v>841</v>
      </c>
      <c r="F438" s="457" t="s">
        <v>20</v>
      </c>
      <c r="G438" s="457" t="s">
        <v>25</v>
      </c>
      <c r="H438" s="460" t="s">
        <v>24</v>
      </c>
      <c r="I438" s="460" t="s">
        <v>272</v>
      </c>
      <c r="J438" s="460" t="s">
        <v>34</v>
      </c>
      <c r="K438" s="461" t="s">
        <v>33</v>
      </c>
    </row>
    <row r="439" spans="3:11" ht="15.75" x14ac:dyDescent="0.2">
      <c r="C439" s="454" t="s">
        <v>1190</v>
      </c>
      <c r="D439" s="456" t="s">
        <v>32</v>
      </c>
      <c r="E439" s="457" t="s">
        <v>272</v>
      </c>
      <c r="F439" s="457" t="s">
        <v>20</v>
      </c>
      <c r="G439" s="457" t="s">
        <v>21</v>
      </c>
      <c r="H439" s="460" t="s">
        <v>24</v>
      </c>
      <c r="I439" s="460" t="s">
        <v>25</v>
      </c>
      <c r="J439" s="460" t="s">
        <v>34</v>
      </c>
      <c r="K439" s="461" t="s">
        <v>33</v>
      </c>
    </row>
    <row r="440" spans="3:11" ht="15.75" x14ac:dyDescent="0.2">
      <c r="C440" s="454" t="s">
        <v>1189</v>
      </c>
      <c r="D440" s="456" t="s">
        <v>21</v>
      </c>
      <c r="E440" s="457" t="s">
        <v>841</v>
      </c>
      <c r="F440" s="457" t="s">
        <v>20</v>
      </c>
      <c r="G440" s="457" t="s">
        <v>25</v>
      </c>
      <c r="H440" s="460" t="s">
        <v>24</v>
      </c>
      <c r="I440" s="460" t="s">
        <v>272</v>
      </c>
      <c r="J440" s="460" t="s">
        <v>34</v>
      </c>
      <c r="K440" s="461" t="s">
        <v>32</v>
      </c>
    </row>
    <row r="441" spans="3:11" ht="15.75" x14ac:dyDescent="0.2">
      <c r="C441" s="454" t="s">
        <v>1188</v>
      </c>
      <c r="D441" s="456" t="s">
        <v>21</v>
      </c>
      <c r="E441" s="457" t="s">
        <v>841</v>
      </c>
      <c r="F441" s="457" t="s">
        <v>20</v>
      </c>
      <c r="G441" s="457" t="s">
        <v>25</v>
      </c>
      <c r="H441" s="460" t="s">
        <v>24</v>
      </c>
      <c r="I441" s="460" t="s">
        <v>272</v>
      </c>
      <c r="J441" s="460" t="s">
        <v>32</v>
      </c>
      <c r="K441" s="461" t="s">
        <v>33</v>
      </c>
    </row>
    <row r="442" spans="3:11" ht="15.75" x14ac:dyDescent="0.2">
      <c r="C442" s="454" t="s">
        <v>1187</v>
      </c>
      <c r="D442" s="456" t="s">
        <v>31</v>
      </c>
      <c r="E442" s="457" t="s">
        <v>272</v>
      </c>
      <c r="F442" s="457" t="s">
        <v>20</v>
      </c>
      <c r="G442" s="457" t="s">
        <v>21</v>
      </c>
      <c r="H442" s="460" t="s">
        <v>24</v>
      </c>
      <c r="I442" s="460" t="s">
        <v>25</v>
      </c>
      <c r="J442" s="460" t="s">
        <v>34</v>
      </c>
      <c r="K442" s="461" t="s">
        <v>33</v>
      </c>
    </row>
    <row r="443" spans="3:11" ht="15.75" x14ac:dyDescent="0.2">
      <c r="C443" s="454" t="s">
        <v>1186</v>
      </c>
      <c r="D443" s="456" t="s">
        <v>31</v>
      </c>
      <c r="E443" s="457" t="s">
        <v>272</v>
      </c>
      <c r="F443" s="457" t="s">
        <v>20</v>
      </c>
      <c r="G443" s="457" t="s">
        <v>21</v>
      </c>
      <c r="H443" s="460" t="s">
        <v>24</v>
      </c>
      <c r="I443" s="460" t="s">
        <v>25</v>
      </c>
      <c r="J443" s="460" t="s">
        <v>34</v>
      </c>
      <c r="K443" s="461" t="s">
        <v>841</v>
      </c>
    </row>
    <row r="444" spans="3:11" ht="15.75" x14ac:dyDescent="0.2">
      <c r="C444" s="454" t="s">
        <v>1185</v>
      </c>
      <c r="D444" s="456" t="s">
        <v>31</v>
      </c>
      <c r="E444" s="457" t="s">
        <v>272</v>
      </c>
      <c r="F444" s="457" t="s">
        <v>20</v>
      </c>
      <c r="G444" s="457" t="s">
        <v>21</v>
      </c>
      <c r="H444" s="460" t="s">
        <v>24</v>
      </c>
      <c r="I444" s="460" t="s">
        <v>25</v>
      </c>
      <c r="J444" s="460" t="s">
        <v>841</v>
      </c>
      <c r="K444" s="461" t="s">
        <v>33</v>
      </c>
    </row>
    <row r="445" spans="3:11" ht="15.75" x14ac:dyDescent="0.2">
      <c r="C445" s="454" t="s">
        <v>1184</v>
      </c>
      <c r="D445" s="456" t="s">
        <v>31</v>
      </c>
      <c r="E445" s="457" t="s">
        <v>272</v>
      </c>
      <c r="F445" s="457" t="s">
        <v>20</v>
      </c>
      <c r="G445" s="457" t="s">
        <v>21</v>
      </c>
      <c r="H445" s="460" t="s">
        <v>24</v>
      </c>
      <c r="I445" s="460" t="s">
        <v>25</v>
      </c>
      <c r="J445" s="460" t="s">
        <v>34</v>
      </c>
      <c r="K445" s="461" t="s">
        <v>32</v>
      </c>
    </row>
    <row r="446" spans="3:11" ht="15.75" x14ac:dyDescent="0.2">
      <c r="C446" s="454" t="s">
        <v>1183</v>
      </c>
      <c r="D446" s="456" t="s">
        <v>31</v>
      </c>
      <c r="E446" s="457" t="s">
        <v>272</v>
      </c>
      <c r="F446" s="457" t="s">
        <v>20</v>
      </c>
      <c r="G446" s="457" t="s">
        <v>21</v>
      </c>
      <c r="H446" s="460" t="s">
        <v>24</v>
      </c>
      <c r="I446" s="460" t="s">
        <v>25</v>
      </c>
      <c r="J446" s="460" t="s">
        <v>32</v>
      </c>
      <c r="K446" s="461" t="s">
        <v>33</v>
      </c>
    </row>
    <row r="447" spans="3:11" ht="15.75" x14ac:dyDescent="0.2">
      <c r="C447" s="454" t="s">
        <v>1182</v>
      </c>
      <c r="D447" s="456" t="s">
        <v>31</v>
      </c>
      <c r="E447" s="457" t="s">
        <v>272</v>
      </c>
      <c r="F447" s="457" t="s">
        <v>20</v>
      </c>
      <c r="G447" s="457" t="s">
        <v>21</v>
      </c>
      <c r="H447" s="460" t="s">
        <v>24</v>
      </c>
      <c r="I447" s="460" t="s">
        <v>25</v>
      </c>
      <c r="J447" s="460" t="s">
        <v>32</v>
      </c>
      <c r="K447" s="461" t="s">
        <v>841</v>
      </c>
    </row>
    <row r="448" spans="3:11" ht="15.75" x14ac:dyDescent="0.2">
      <c r="C448" s="454" t="s">
        <v>1181</v>
      </c>
      <c r="D448" s="456" t="s">
        <v>21</v>
      </c>
      <c r="E448" s="457" t="s">
        <v>841</v>
      </c>
      <c r="F448" s="457" t="s">
        <v>20</v>
      </c>
      <c r="G448" s="457" t="s">
        <v>25</v>
      </c>
      <c r="H448" s="460" t="s">
        <v>24</v>
      </c>
      <c r="I448" s="460" t="s">
        <v>23</v>
      </c>
      <c r="J448" s="460" t="s">
        <v>34</v>
      </c>
      <c r="K448" s="461" t="s">
        <v>33</v>
      </c>
    </row>
    <row r="449" spans="3:11" ht="15.75" x14ac:dyDescent="0.2">
      <c r="C449" s="454" t="s">
        <v>1180</v>
      </c>
      <c r="D449" s="456" t="s">
        <v>21</v>
      </c>
      <c r="E449" s="457" t="s">
        <v>32</v>
      </c>
      <c r="F449" s="457" t="s">
        <v>20</v>
      </c>
      <c r="G449" s="457" t="s">
        <v>25</v>
      </c>
      <c r="H449" s="460" t="s">
        <v>24</v>
      </c>
      <c r="I449" s="460" t="s">
        <v>23</v>
      </c>
      <c r="J449" s="460" t="s">
        <v>34</v>
      </c>
      <c r="K449" s="461" t="s">
        <v>33</v>
      </c>
    </row>
    <row r="450" spans="3:11" ht="15.75" x14ac:dyDescent="0.2">
      <c r="C450" s="454" t="s">
        <v>1179</v>
      </c>
      <c r="D450" s="456" t="s">
        <v>21</v>
      </c>
      <c r="E450" s="457" t="s">
        <v>841</v>
      </c>
      <c r="F450" s="457" t="s">
        <v>20</v>
      </c>
      <c r="G450" s="457" t="s">
        <v>25</v>
      </c>
      <c r="H450" s="460" t="s">
        <v>24</v>
      </c>
      <c r="I450" s="460" t="s">
        <v>23</v>
      </c>
      <c r="J450" s="460" t="s">
        <v>34</v>
      </c>
      <c r="K450" s="461" t="s">
        <v>32</v>
      </c>
    </row>
    <row r="451" spans="3:11" ht="15.75" x14ac:dyDescent="0.2">
      <c r="C451" s="454" t="s">
        <v>1178</v>
      </c>
      <c r="D451" s="456" t="s">
        <v>21</v>
      </c>
      <c r="E451" s="457" t="s">
        <v>841</v>
      </c>
      <c r="F451" s="457" t="s">
        <v>20</v>
      </c>
      <c r="G451" s="457" t="s">
        <v>25</v>
      </c>
      <c r="H451" s="460" t="s">
        <v>24</v>
      </c>
      <c r="I451" s="460" t="s">
        <v>23</v>
      </c>
      <c r="J451" s="460" t="s">
        <v>32</v>
      </c>
      <c r="K451" s="461" t="s">
        <v>33</v>
      </c>
    </row>
    <row r="452" spans="3:11" ht="15.75" x14ac:dyDescent="0.2">
      <c r="C452" s="454" t="s">
        <v>1177</v>
      </c>
      <c r="D452" s="456" t="s">
        <v>31</v>
      </c>
      <c r="E452" s="457" t="s">
        <v>23</v>
      </c>
      <c r="F452" s="457" t="s">
        <v>20</v>
      </c>
      <c r="G452" s="457" t="s">
        <v>21</v>
      </c>
      <c r="H452" s="460" t="s">
        <v>24</v>
      </c>
      <c r="I452" s="460" t="s">
        <v>25</v>
      </c>
      <c r="J452" s="460" t="s">
        <v>34</v>
      </c>
      <c r="K452" s="461" t="s">
        <v>33</v>
      </c>
    </row>
    <row r="453" spans="3:11" ht="15.75" x14ac:dyDescent="0.2">
      <c r="C453" s="454" t="s">
        <v>1176</v>
      </c>
      <c r="D453" s="456" t="s">
        <v>21</v>
      </c>
      <c r="E453" s="457" t="s">
        <v>841</v>
      </c>
      <c r="F453" s="457" t="s">
        <v>20</v>
      </c>
      <c r="G453" s="457" t="s">
        <v>25</v>
      </c>
      <c r="H453" s="460" t="s">
        <v>24</v>
      </c>
      <c r="I453" s="460" t="s">
        <v>23</v>
      </c>
      <c r="J453" s="460" t="s">
        <v>34</v>
      </c>
      <c r="K453" s="461" t="s">
        <v>31</v>
      </c>
    </row>
    <row r="454" spans="3:11" ht="15.75" x14ac:dyDescent="0.2">
      <c r="C454" s="454" t="s">
        <v>1175</v>
      </c>
      <c r="D454" s="456" t="s">
        <v>31</v>
      </c>
      <c r="E454" s="457" t="s">
        <v>841</v>
      </c>
      <c r="F454" s="457" t="s">
        <v>20</v>
      </c>
      <c r="G454" s="457" t="s">
        <v>21</v>
      </c>
      <c r="H454" s="460" t="s">
        <v>24</v>
      </c>
      <c r="I454" s="460" t="s">
        <v>23</v>
      </c>
      <c r="J454" s="460" t="s">
        <v>25</v>
      </c>
      <c r="K454" s="461" t="s">
        <v>33</v>
      </c>
    </row>
    <row r="455" spans="3:11" ht="15.75" x14ac:dyDescent="0.2">
      <c r="C455" s="454" t="s">
        <v>1174</v>
      </c>
      <c r="D455" s="456" t="s">
        <v>31</v>
      </c>
      <c r="E455" s="457" t="s">
        <v>23</v>
      </c>
      <c r="F455" s="457" t="s">
        <v>20</v>
      </c>
      <c r="G455" s="457" t="s">
        <v>21</v>
      </c>
      <c r="H455" s="460" t="s">
        <v>24</v>
      </c>
      <c r="I455" s="460" t="s">
        <v>25</v>
      </c>
      <c r="J455" s="460" t="s">
        <v>34</v>
      </c>
      <c r="K455" s="461" t="s">
        <v>32</v>
      </c>
    </row>
    <row r="456" spans="3:11" ht="15.75" x14ac:dyDescent="0.2">
      <c r="C456" s="454" t="s">
        <v>1173</v>
      </c>
      <c r="D456" s="456" t="s">
        <v>31</v>
      </c>
      <c r="E456" s="457" t="s">
        <v>23</v>
      </c>
      <c r="F456" s="457" t="s">
        <v>20</v>
      </c>
      <c r="G456" s="457" t="s">
        <v>21</v>
      </c>
      <c r="H456" s="460" t="s">
        <v>24</v>
      </c>
      <c r="I456" s="460" t="s">
        <v>25</v>
      </c>
      <c r="J456" s="460" t="s">
        <v>32</v>
      </c>
      <c r="K456" s="461" t="s">
        <v>33</v>
      </c>
    </row>
    <row r="457" spans="3:11" ht="15.75" x14ac:dyDescent="0.2">
      <c r="C457" s="454" t="s">
        <v>1172</v>
      </c>
      <c r="D457" s="456" t="s">
        <v>31</v>
      </c>
      <c r="E457" s="457" t="s">
        <v>841</v>
      </c>
      <c r="F457" s="457" t="s">
        <v>20</v>
      </c>
      <c r="G457" s="457" t="s">
        <v>21</v>
      </c>
      <c r="H457" s="460" t="s">
        <v>24</v>
      </c>
      <c r="I457" s="460" t="s">
        <v>23</v>
      </c>
      <c r="J457" s="460" t="s">
        <v>25</v>
      </c>
      <c r="K457" s="461" t="s">
        <v>32</v>
      </c>
    </row>
    <row r="458" spans="3:11" ht="15.75" x14ac:dyDescent="0.2">
      <c r="C458" s="454" t="s">
        <v>1171</v>
      </c>
      <c r="D458" s="456" t="s">
        <v>21</v>
      </c>
      <c r="E458" s="457" t="s">
        <v>272</v>
      </c>
      <c r="F458" s="457" t="s">
        <v>20</v>
      </c>
      <c r="G458" s="457" t="s">
        <v>25</v>
      </c>
      <c r="H458" s="460" t="s">
        <v>24</v>
      </c>
      <c r="I458" s="460" t="s">
        <v>23</v>
      </c>
      <c r="J458" s="460" t="s">
        <v>34</v>
      </c>
      <c r="K458" s="461" t="s">
        <v>33</v>
      </c>
    </row>
    <row r="459" spans="3:11" ht="15.75" x14ac:dyDescent="0.2">
      <c r="C459" s="454" t="s">
        <v>1170</v>
      </c>
      <c r="D459" s="456" t="s">
        <v>21</v>
      </c>
      <c r="E459" s="457" t="s">
        <v>272</v>
      </c>
      <c r="F459" s="457" t="s">
        <v>20</v>
      </c>
      <c r="G459" s="457" t="s">
        <v>25</v>
      </c>
      <c r="H459" s="460" t="s">
        <v>24</v>
      </c>
      <c r="I459" s="460" t="s">
        <v>23</v>
      </c>
      <c r="J459" s="460" t="s">
        <v>34</v>
      </c>
      <c r="K459" s="461" t="s">
        <v>841</v>
      </c>
    </row>
    <row r="460" spans="3:11" ht="15.75" x14ac:dyDescent="0.2">
      <c r="C460" s="454" t="s">
        <v>1169</v>
      </c>
      <c r="D460" s="456" t="s">
        <v>21</v>
      </c>
      <c r="E460" s="457" t="s">
        <v>272</v>
      </c>
      <c r="F460" s="457" t="s">
        <v>20</v>
      </c>
      <c r="G460" s="457" t="s">
        <v>25</v>
      </c>
      <c r="H460" s="460" t="s">
        <v>24</v>
      </c>
      <c r="I460" s="460" t="s">
        <v>23</v>
      </c>
      <c r="J460" s="460" t="s">
        <v>841</v>
      </c>
      <c r="K460" s="461" t="s">
        <v>33</v>
      </c>
    </row>
    <row r="461" spans="3:11" ht="15.75" x14ac:dyDescent="0.2">
      <c r="C461" s="454" t="s">
        <v>1168</v>
      </c>
      <c r="D461" s="456" t="s">
        <v>21</v>
      </c>
      <c r="E461" s="457" t="s">
        <v>272</v>
      </c>
      <c r="F461" s="457" t="s">
        <v>20</v>
      </c>
      <c r="G461" s="457" t="s">
        <v>25</v>
      </c>
      <c r="H461" s="460" t="s">
        <v>24</v>
      </c>
      <c r="I461" s="460" t="s">
        <v>23</v>
      </c>
      <c r="J461" s="460" t="s">
        <v>34</v>
      </c>
      <c r="K461" s="461" t="s">
        <v>32</v>
      </c>
    </row>
    <row r="462" spans="3:11" ht="15.75" x14ac:dyDescent="0.2">
      <c r="C462" s="454" t="s">
        <v>1167</v>
      </c>
      <c r="D462" s="456" t="s">
        <v>21</v>
      </c>
      <c r="E462" s="457" t="s">
        <v>272</v>
      </c>
      <c r="F462" s="457" t="s">
        <v>20</v>
      </c>
      <c r="G462" s="457" t="s">
        <v>25</v>
      </c>
      <c r="H462" s="460" t="s">
        <v>24</v>
      </c>
      <c r="I462" s="460" t="s">
        <v>23</v>
      </c>
      <c r="J462" s="460" t="s">
        <v>32</v>
      </c>
      <c r="K462" s="461" t="s">
        <v>33</v>
      </c>
    </row>
    <row r="463" spans="3:11" ht="15.75" x14ac:dyDescent="0.2">
      <c r="C463" s="454" t="s">
        <v>1166</v>
      </c>
      <c r="D463" s="456" t="s">
        <v>21</v>
      </c>
      <c r="E463" s="457" t="s">
        <v>272</v>
      </c>
      <c r="F463" s="457" t="s">
        <v>20</v>
      </c>
      <c r="G463" s="457" t="s">
        <v>25</v>
      </c>
      <c r="H463" s="460" t="s">
        <v>24</v>
      </c>
      <c r="I463" s="460" t="s">
        <v>23</v>
      </c>
      <c r="J463" s="460" t="s">
        <v>32</v>
      </c>
      <c r="K463" s="461" t="s">
        <v>841</v>
      </c>
    </row>
    <row r="464" spans="3:11" ht="15.75" x14ac:dyDescent="0.2">
      <c r="C464" s="454" t="s">
        <v>1165</v>
      </c>
      <c r="D464" s="456" t="s">
        <v>21</v>
      </c>
      <c r="E464" s="457" t="s">
        <v>272</v>
      </c>
      <c r="F464" s="457" t="s">
        <v>20</v>
      </c>
      <c r="G464" s="457" t="s">
        <v>25</v>
      </c>
      <c r="H464" s="460" t="s">
        <v>24</v>
      </c>
      <c r="I464" s="460" t="s">
        <v>23</v>
      </c>
      <c r="J464" s="460" t="s">
        <v>34</v>
      </c>
      <c r="K464" s="461" t="s">
        <v>31</v>
      </c>
    </row>
    <row r="465" spans="3:11" ht="15.75" x14ac:dyDescent="0.2">
      <c r="C465" s="454" t="s">
        <v>1164</v>
      </c>
      <c r="D465" s="456" t="s">
        <v>31</v>
      </c>
      <c r="E465" s="457" t="s">
        <v>272</v>
      </c>
      <c r="F465" s="457" t="s">
        <v>20</v>
      </c>
      <c r="G465" s="457" t="s">
        <v>21</v>
      </c>
      <c r="H465" s="460" t="s">
        <v>24</v>
      </c>
      <c r="I465" s="460" t="s">
        <v>23</v>
      </c>
      <c r="J465" s="460" t="s">
        <v>25</v>
      </c>
      <c r="K465" s="461" t="s">
        <v>33</v>
      </c>
    </row>
    <row r="466" spans="3:11" ht="15.75" x14ac:dyDescent="0.2">
      <c r="C466" s="454" t="s">
        <v>1163</v>
      </c>
      <c r="D466" s="456" t="s">
        <v>31</v>
      </c>
      <c r="E466" s="457" t="s">
        <v>272</v>
      </c>
      <c r="F466" s="457" t="s">
        <v>20</v>
      </c>
      <c r="G466" s="457" t="s">
        <v>21</v>
      </c>
      <c r="H466" s="460" t="s">
        <v>24</v>
      </c>
      <c r="I466" s="460" t="s">
        <v>23</v>
      </c>
      <c r="J466" s="460" t="s">
        <v>25</v>
      </c>
      <c r="K466" s="461" t="s">
        <v>841</v>
      </c>
    </row>
    <row r="467" spans="3:11" ht="15.75" x14ac:dyDescent="0.2">
      <c r="C467" s="454" t="s">
        <v>1162</v>
      </c>
      <c r="D467" s="456" t="s">
        <v>31</v>
      </c>
      <c r="E467" s="457" t="s">
        <v>272</v>
      </c>
      <c r="F467" s="457" t="s">
        <v>20</v>
      </c>
      <c r="G467" s="457" t="s">
        <v>21</v>
      </c>
      <c r="H467" s="460" t="s">
        <v>24</v>
      </c>
      <c r="I467" s="460" t="s">
        <v>23</v>
      </c>
      <c r="J467" s="460" t="s">
        <v>25</v>
      </c>
      <c r="K467" s="461" t="s">
        <v>32</v>
      </c>
    </row>
    <row r="468" spans="3:11" ht="15.75" x14ac:dyDescent="0.2">
      <c r="C468" s="454" t="s">
        <v>1161</v>
      </c>
      <c r="D468" s="456" t="s">
        <v>22</v>
      </c>
      <c r="E468" s="457" t="s">
        <v>841</v>
      </c>
      <c r="F468" s="457" t="s">
        <v>20</v>
      </c>
      <c r="G468" s="457" t="s">
        <v>21</v>
      </c>
      <c r="H468" s="460" t="s">
        <v>24</v>
      </c>
      <c r="I468" s="460" t="s">
        <v>25</v>
      </c>
      <c r="J468" s="460" t="s">
        <v>34</v>
      </c>
      <c r="K468" s="461" t="s">
        <v>33</v>
      </c>
    </row>
    <row r="469" spans="3:11" ht="15.75" x14ac:dyDescent="0.2">
      <c r="C469" s="454" t="s">
        <v>1160</v>
      </c>
      <c r="D469" s="456" t="s">
        <v>22</v>
      </c>
      <c r="E469" s="457" t="s">
        <v>32</v>
      </c>
      <c r="F469" s="457" t="s">
        <v>20</v>
      </c>
      <c r="G469" s="457" t="s">
        <v>21</v>
      </c>
      <c r="H469" s="460" t="s">
        <v>24</v>
      </c>
      <c r="I469" s="460" t="s">
        <v>25</v>
      </c>
      <c r="J469" s="460" t="s">
        <v>34</v>
      </c>
      <c r="K469" s="461" t="s">
        <v>33</v>
      </c>
    </row>
    <row r="470" spans="3:11" ht="15.75" x14ac:dyDescent="0.2">
      <c r="C470" s="454" t="s">
        <v>1159</v>
      </c>
      <c r="D470" s="456" t="s">
        <v>22</v>
      </c>
      <c r="E470" s="457" t="s">
        <v>841</v>
      </c>
      <c r="F470" s="457" t="s">
        <v>20</v>
      </c>
      <c r="G470" s="457" t="s">
        <v>21</v>
      </c>
      <c r="H470" s="460" t="s">
        <v>24</v>
      </c>
      <c r="I470" s="460" t="s">
        <v>25</v>
      </c>
      <c r="J470" s="460" t="s">
        <v>34</v>
      </c>
      <c r="K470" s="461" t="s">
        <v>32</v>
      </c>
    </row>
    <row r="471" spans="3:11" ht="15.75" x14ac:dyDescent="0.2">
      <c r="C471" s="454" t="s">
        <v>1158</v>
      </c>
      <c r="D471" s="456" t="s">
        <v>22</v>
      </c>
      <c r="E471" s="457" t="s">
        <v>841</v>
      </c>
      <c r="F471" s="457" t="s">
        <v>20</v>
      </c>
      <c r="G471" s="457" t="s">
        <v>21</v>
      </c>
      <c r="H471" s="460" t="s">
        <v>24</v>
      </c>
      <c r="I471" s="460" t="s">
        <v>25</v>
      </c>
      <c r="J471" s="460" t="s">
        <v>32</v>
      </c>
      <c r="K471" s="461" t="s">
        <v>33</v>
      </c>
    </row>
    <row r="472" spans="3:11" ht="15.75" x14ac:dyDescent="0.2">
      <c r="C472" s="454" t="s">
        <v>1157</v>
      </c>
      <c r="D472" s="456" t="s">
        <v>31</v>
      </c>
      <c r="E472" s="457" t="s">
        <v>22</v>
      </c>
      <c r="F472" s="457" t="s">
        <v>20</v>
      </c>
      <c r="G472" s="457" t="s">
        <v>21</v>
      </c>
      <c r="H472" s="460" t="s">
        <v>24</v>
      </c>
      <c r="I472" s="460" t="s">
        <v>25</v>
      </c>
      <c r="J472" s="460" t="s">
        <v>34</v>
      </c>
      <c r="K472" s="461" t="s">
        <v>33</v>
      </c>
    </row>
    <row r="473" spans="3:11" ht="15.75" x14ac:dyDescent="0.2">
      <c r="C473" s="454" t="s">
        <v>1156</v>
      </c>
      <c r="D473" s="456" t="s">
        <v>31</v>
      </c>
      <c r="E473" s="457" t="s">
        <v>841</v>
      </c>
      <c r="F473" s="457" t="s">
        <v>20</v>
      </c>
      <c r="G473" s="457" t="s">
        <v>21</v>
      </c>
      <c r="H473" s="460" t="s">
        <v>24</v>
      </c>
      <c r="I473" s="460" t="s">
        <v>25</v>
      </c>
      <c r="J473" s="460" t="s">
        <v>34</v>
      </c>
      <c r="K473" s="461" t="s">
        <v>22</v>
      </c>
    </row>
    <row r="474" spans="3:11" ht="15.75" x14ac:dyDescent="0.2">
      <c r="C474" s="454" t="s">
        <v>1155</v>
      </c>
      <c r="D474" s="456" t="s">
        <v>31</v>
      </c>
      <c r="E474" s="457" t="s">
        <v>841</v>
      </c>
      <c r="F474" s="457" t="s">
        <v>20</v>
      </c>
      <c r="G474" s="457" t="s">
        <v>21</v>
      </c>
      <c r="H474" s="460" t="s">
        <v>24</v>
      </c>
      <c r="I474" s="460" t="s">
        <v>25</v>
      </c>
      <c r="J474" s="460" t="s">
        <v>22</v>
      </c>
      <c r="K474" s="461" t="s">
        <v>33</v>
      </c>
    </row>
    <row r="475" spans="3:11" ht="15.75" x14ac:dyDescent="0.2">
      <c r="C475" s="454" t="s">
        <v>1154</v>
      </c>
      <c r="D475" s="456" t="s">
        <v>31</v>
      </c>
      <c r="E475" s="457" t="s">
        <v>22</v>
      </c>
      <c r="F475" s="457" t="s">
        <v>20</v>
      </c>
      <c r="G475" s="457" t="s">
        <v>21</v>
      </c>
      <c r="H475" s="460" t="s">
        <v>24</v>
      </c>
      <c r="I475" s="460" t="s">
        <v>25</v>
      </c>
      <c r="J475" s="460" t="s">
        <v>34</v>
      </c>
      <c r="K475" s="461" t="s">
        <v>32</v>
      </c>
    </row>
    <row r="476" spans="3:11" ht="15.75" x14ac:dyDescent="0.2">
      <c r="C476" s="454" t="s">
        <v>1153</v>
      </c>
      <c r="D476" s="456" t="s">
        <v>31</v>
      </c>
      <c r="E476" s="457" t="s">
        <v>22</v>
      </c>
      <c r="F476" s="457" t="s">
        <v>20</v>
      </c>
      <c r="G476" s="457" t="s">
        <v>21</v>
      </c>
      <c r="H476" s="460" t="s">
        <v>24</v>
      </c>
      <c r="I476" s="460" t="s">
        <v>25</v>
      </c>
      <c r="J476" s="460" t="s">
        <v>32</v>
      </c>
      <c r="K476" s="461" t="s">
        <v>33</v>
      </c>
    </row>
    <row r="477" spans="3:11" ht="15.75" x14ac:dyDescent="0.2">
      <c r="C477" s="454" t="s">
        <v>1152</v>
      </c>
      <c r="D477" s="456" t="s">
        <v>31</v>
      </c>
      <c r="E477" s="457" t="s">
        <v>841</v>
      </c>
      <c r="F477" s="457" t="s">
        <v>20</v>
      </c>
      <c r="G477" s="457" t="s">
        <v>21</v>
      </c>
      <c r="H477" s="460" t="s">
        <v>24</v>
      </c>
      <c r="I477" s="460" t="s">
        <v>25</v>
      </c>
      <c r="J477" s="460" t="s">
        <v>22</v>
      </c>
      <c r="K477" s="461" t="s">
        <v>32</v>
      </c>
    </row>
    <row r="478" spans="3:11" ht="15.75" x14ac:dyDescent="0.2">
      <c r="C478" s="454" t="s">
        <v>1151</v>
      </c>
      <c r="D478" s="456" t="s">
        <v>22</v>
      </c>
      <c r="E478" s="457" t="s">
        <v>272</v>
      </c>
      <c r="F478" s="457" t="s">
        <v>20</v>
      </c>
      <c r="G478" s="457" t="s">
        <v>21</v>
      </c>
      <c r="H478" s="460" t="s">
        <v>24</v>
      </c>
      <c r="I478" s="460" t="s">
        <v>25</v>
      </c>
      <c r="J478" s="460" t="s">
        <v>34</v>
      </c>
      <c r="K478" s="461" t="s">
        <v>33</v>
      </c>
    </row>
    <row r="479" spans="3:11" ht="15.75" x14ac:dyDescent="0.2">
      <c r="C479" s="454" t="s">
        <v>1150</v>
      </c>
      <c r="D479" s="456" t="s">
        <v>22</v>
      </c>
      <c r="E479" s="457" t="s">
        <v>272</v>
      </c>
      <c r="F479" s="457" t="s">
        <v>20</v>
      </c>
      <c r="G479" s="457" t="s">
        <v>21</v>
      </c>
      <c r="H479" s="460" t="s">
        <v>24</v>
      </c>
      <c r="I479" s="460" t="s">
        <v>25</v>
      </c>
      <c r="J479" s="460" t="s">
        <v>34</v>
      </c>
      <c r="K479" s="461" t="s">
        <v>841</v>
      </c>
    </row>
    <row r="480" spans="3:11" ht="15.75" x14ac:dyDescent="0.2">
      <c r="C480" s="454" t="s">
        <v>1149</v>
      </c>
      <c r="D480" s="456" t="s">
        <v>22</v>
      </c>
      <c r="E480" s="457" t="s">
        <v>272</v>
      </c>
      <c r="F480" s="457" t="s">
        <v>20</v>
      </c>
      <c r="G480" s="457" t="s">
        <v>21</v>
      </c>
      <c r="H480" s="460" t="s">
        <v>24</v>
      </c>
      <c r="I480" s="460" t="s">
        <v>25</v>
      </c>
      <c r="J480" s="460" t="s">
        <v>841</v>
      </c>
      <c r="K480" s="461" t="s">
        <v>33</v>
      </c>
    </row>
    <row r="481" spans="3:11" ht="15.75" x14ac:dyDescent="0.2">
      <c r="C481" s="454" t="s">
        <v>1148</v>
      </c>
      <c r="D481" s="456" t="s">
        <v>22</v>
      </c>
      <c r="E481" s="457" t="s">
        <v>272</v>
      </c>
      <c r="F481" s="457" t="s">
        <v>20</v>
      </c>
      <c r="G481" s="457" t="s">
        <v>21</v>
      </c>
      <c r="H481" s="460" t="s">
        <v>24</v>
      </c>
      <c r="I481" s="460" t="s">
        <v>25</v>
      </c>
      <c r="J481" s="460" t="s">
        <v>34</v>
      </c>
      <c r="K481" s="461" t="s">
        <v>32</v>
      </c>
    </row>
    <row r="482" spans="3:11" ht="15.75" x14ac:dyDescent="0.2">
      <c r="C482" s="454" t="s">
        <v>1147</v>
      </c>
      <c r="D482" s="456" t="s">
        <v>22</v>
      </c>
      <c r="E482" s="457" t="s">
        <v>272</v>
      </c>
      <c r="F482" s="457" t="s">
        <v>20</v>
      </c>
      <c r="G482" s="457" t="s">
        <v>21</v>
      </c>
      <c r="H482" s="460" t="s">
        <v>24</v>
      </c>
      <c r="I482" s="460" t="s">
        <v>25</v>
      </c>
      <c r="J482" s="460" t="s">
        <v>32</v>
      </c>
      <c r="K482" s="461" t="s">
        <v>33</v>
      </c>
    </row>
    <row r="483" spans="3:11" ht="15.75" x14ac:dyDescent="0.2">
      <c r="C483" s="454" t="s">
        <v>1146</v>
      </c>
      <c r="D483" s="456" t="s">
        <v>22</v>
      </c>
      <c r="E483" s="457" t="s">
        <v>272</v>
      </c>
      <c r="F483" s="457" t="s">
        <v>20</v>
      </c>
      <c r="G483" s="457" t="s">
        <v>21</v>
      </c>
      <c r="H483" s="460" t="s">
        <v>24</v>
      </c>
      <c r="I483" s="460" t="s">
        <v>25</v>
      </c>
      <c r="J483" s="460" t="s">
        <v>32</v>
      </c>
      <c r="K483" s="461" t="s">
        <v>841</v>
      </c>
    </row>
    <row r="484" spans="3:11" ht="15.75" x14ac:dyDescent="0.2">
      <c r="C484" s="454" t="s">
        <v>1145</v>
      </c>
      <c r="D484" s="456" t="s">
        <v>31</v>
      </c>
      <c r="E484" s="457" t="s">
        <v>272</v>
      </c>
      <c r="F484" s="457" t="s">
        <v>20</v>
      </c>
      <c r="G484" s="457" t="s">
        <v>21</v>
      </c>
      <c r="H484" s="460" t="s">
        <v>24</v>
      </c>
      <c r="I484" s="460" t="s">
        <v>25</v>
      </c>
      <c r="J484" s="460" t="s">
        <v>34</v>
      </c>
      <c r="K484" s="461" t="s">
        <v>22</v>
      </c>
    </row>
    <row r="485" spans="3:11" ht="15.75" x14ac:dyDescent="0.2">
      <c r="C485" s="454" t="s">
        <v>1144</v>
      </c>
      <c r="D485" s="456" t="s">
        <v>31</v>
      </c>
      <c r="E485" s="457" t="s">
        <v>272</v>
      </c>
      <c r="F485" s="457" t="s">
        <v>20</v>
      </c>
      <c r="G485" s="457" t="s">
        <v>21</v>
      </c>
      <c r="H485" s="460" t="s">
        <v>24</v>
      </c>
      <c r="I485" s="460" t="s">
        <v>25</v>
      </c>
      <c r="J485" s="460" t="s">
        <v>22</v>
      </c>
      <c r="K485" s="461" t="s">
        <v>33</v>
      </c>
    </row>
    <row r="486" spans="3:11" ht="15.75" x14ac:dyDescent="0.2">
      <c r="C486" s="454" t="s">
        <v>1143</v>
      </c>
      <c r="D486" s="456" t="s">
        <v>31</v>
      </c>
      <c r="E486" s="457" t="s">
        <v>272</v>
      </c>
      <c r="F486" s="457" t="s">
        <v>20</v>
      </c>
      <c r="G486" s="457" t="s">
        <v>21</v>
      </c>
      <c r="H486" s="460" t="s">
        <v>24</v>
      </c>
      <c r="I486" s="460" t="s">
        <v>25</v>
      </c>
      <c r="J486" s="460" t="s">
        <v>22</v>
      </c>
      <c r="K486" s="461" t="s">
        <v>841</v>
      </c>
    </row>
    <row r="487" spans="3:11" ht="15.75" x14ac:dyDescent="0.2">
      <c r="C487" s="454" t="s">
        <v>1142</v>
      </c>
      <c r="D487" s="456" t="s">
        <v>31</v>
      </c>
      <c r="E487" s="457" t="s">
        <v>272</v>
      </c>
      <c r="F487" s="457" t="s">
        <v>20</v>
      </c>
      <c r="G487" s="457" t="s">
        <v>21</v>
      </c>
      <c r="H487" s="460" t="s">
        <v>24</v>
      </c>
      <c r="I487" s="460" t="s">
        <v>25</v>
      </c>
      <c r="J487" s="460" t="s">
        <v>22</v>
      </c>
      <c r="K487" s="461" t="s">
        <v>32</v>
      </c>
    </row>
    <row r="488" spans="3:11" ht="15.75" x14ac:dyDescent="0.2">
      <c r="C488" s="454" t="s">
        <v>1141</v>
      </c>
      <c r="D488" s="456" t="s">
        <v>21</v>
      </c>
      <c r="E488" s="457" t="s">
        <v>22</v>
      </c>
      <c r="F488" s="457" t="s">
        <v>20</v>
      </c>
      <c r="G488" s="457" t="s">
        <v>25</v>
      </c>
      <c r="H488" s="460" t="s">
        <v>24</v>
      </c>
      <c r="I488" s="460" t="s">
        <v>23</v>
      </c>
      <c r="J488" s="460" t="s">
        <v>34</v>
      </c>
      <c r="K488" s="461" t="s">
        <v>33</v>
      </c>
    </row>
    <row r="489" spans="3:11" ht="15.75" x14ac:dyDescent="0.2">
      <c r="C489" s="454" t="s">
        <v>1140</v>
      </c>
      <c r="D489" s="456" t="s">
        <v>21</v>
      </c>
      <c r="E489" s="457" t="s">
        <v>841</v>
      </c>
      <c r="F489" s="457" t="s">
        <v>20</v>
      </c>
      <c r="G489" s="457" t="s">
        <v>25</v>
      </c>
      <c r="H489" s="460" t="s">
        <v>24</v>
      </c>
      <c r="I489" s="460" t="s">
        <v>23</v>
      </c>
      <c r="J489" s="460" t="s">
        <v>34</v>
      </c>
      <c r="K489" s="461" t="s">
        <v>22</v>
      </c>
    </row>
    <row r="490" spans="3:11" ht="15.75" x14ac:dyDescent="0.2">
      <c r="C490" s="454" t="s">
        <v>1139</v>
      </c>
      <c r="D490" s="456" t="s">
        <v>21</v>
      </c>
      <c r="E490" s="457" t="s">
        <v>841</v>
      </c>
      <c r="F490" s="457" t="s">
        <v>20</v>
      </c>
      <c r="G490" s="457" t="s">
        <v>25</v>
      </c>
      <c r="H490" s="460" t="s">
        <v>24</v>
      </c>
      <c r="I490" s="460" t="s">
        <v>23</v>
      </c>
      <c r="J490" s="460" t="s">
        <v>22</v>
      </c>
      <c r="K490" s="461" t="s">
        <v>33</v>
      </c>
    </row>
    <row r="491" spans="3:11" ht="15.75" x14ac:dyDescent="0.2">
      <c r="C491" s="454" t="s">
        <v>1138</v>
      </c>
      <c r="D491" s="456" t="s">
        <v>21</v>
      </c>
      <c r="E491" s="457" t="s">
        <v>22</v>
      </c>
      <c r="F491" s="457" t="s">
        <v>20</v>
      </c>
      <c r="G491" s="457" t="s">
        <v>25</v>
      </c>
      <c r="H491" s="460" t="s">
        <v>24</v>
      </c>
      <c r="I491" s="460" t="s">
        <v>23</v>
      </c>
      <c r="J491" s="460" t="s">
        <v>34</v>
      </c>
      <c r="K491" s="461" t="s">
        <v>32</v>
      </c>
    </row>
    <row r="492" spans="3:11" ht="15.75" x14ac:dyDescent="0.2">
      <c r="C492" s="454" t="s">
        <v>1137</v>
      </c>
      <c r="D492" s="456" t="s">
        <v>21</v>
      </c>
      <c r="E492" s="457" t="s">
        <v>22</v>
      </c>
      <c r="F492" s="457" t="s">
        <v>20</v>
      </c>
      <c r="G492" s="457" t="s">
        <v>25</v>
      </c>
      <c r="H492" s="460" t="s">
        <v>24</v>
      </c>
      <c r="I492" s="460" t="s">
        <v>23</v>
      </c>
      <c r="J492" s="460" t="s">
        <v>32</v>
      </c>
      <c r="K492" s="461" t="s">
        <v>33</v>
      </c>
    </row>
    <row r="493" spans="3:11" ht="15.75" x14ac:dyDescent="0.2">
      <c r="C493" s="454" t="s">
        <v>1136</v>
      </c>
      <c r="D493" s="456" t="s">
        <v>21</v>
      </c>
      <c r="E493" s="457" t="s">
        <v>841</v>
      </c>
      <c r="F493" s="457" t="s">
        <v>20</v>
      </c>
      <c r="G493" s="457" t="s">
        <v>25</v>
      </c>
      <c r="H493" s="460" t="s">
        <v>24</v>
      </c>
      <c r="I493" s="460" t="s">
        <v>23</v>
      </c>
      <c r="J493" s="460" t="s">
        <v>22</v>
      </c>
      <c r="K493" s="461" t="s">
        <v>32</v>
      </c>
    </row>
    <row r="494" spans="3:11" ht="15.75" x14ac:dyDescent="0.2">
      <c r="C494" s="454" t="s">
        <v>1135</v>
      </c>
      <c r="D494" s="456" t="s">
        <v>31</v>
      </c>
      <c r="E494" s="457" t="s">
        <v>23</v>
      </c>
      <c r="F494" s="457" t="s">
        <v>20</v>
      </c>
      <c r="G494" s="457" t="s">
        <v>21</v>
      </c>
      <c r="H494" s="460" t="s">
        <v>24</v>
      </c>
      <c r="I494" s="460" t="s">
        <v>25</v>
      </c>
      <c r="J494" s="460" t="s">
        <v>34</v>
      </c>
      <c r="K494" s="461" t="s">
        <v>22</v>
      </c>
    </row>
    <row r="495" spans="3:11" ht="15.75" x14ac:dyDescent="0.2">
      <c r="C495" s="454" t="s">
        <v>1134</v>
      </c>
      <c r="D495" s="456" t="s">
        <v>31</v>
      </c>
      <c r="E495" s="457" t="s">
        <v>22</v>
      </c>
      <c r="F495" s="457" t="s">
        <v>20</v>
      </c>
      <c r="G495" s="457" t="s">
        <v>21</v>
      </c>
      <c r="H495" s="460" t="s">
        <v>24</v>
      </c>
      <c r="I495" s="460" t="s">
        <v>23</v>
      </c>
      <c r="J495" s="460" t="s">
        <v>25</v>
      </c>
      <c r="K495" s="461" t="s">
        <v>33</v>
      </c>
    </row>
    <row r="496" spans="3:11" ht="15.75" x14ac:dyDescent="0.2">
      <c r="C496" s="454" t="s">
        <v>1133</v>
      </c>
      <c r="D496" s="456" t="s">
        <v>31</v>
      </c>
      <c r="E496" s="457" t="s">
        <v>841</v>
      </c>
      <c r="F496" s="457" t="s">
        <v>20</v>
      </c>
      <c r="G496" s="457" t="s">
        <v>21</v>
      </c>
      <c r="H496" s="460" t="s">
        <v>24</v>
      </c>
      <c r="I496" s="460" t="s">
        <v>23</v>
      </c>
      <c r="J496" s="460" t="s">
        <v>25</v>
      </c>
      <c r="K496" s="461" t="s">
        <v>22</v>
      </c>
    </row>
    <row r="497" spans="3:11" ht="15.75" x14ac:dyDescent="0.2">
      <c r="C497" s="454" t="s">
        <v>1132</v>
      </c>
      <c r="D497" s="456" t="s">
        <v>31</v>
      </c>
      <c r="E497" s="457" t="s">
        <v>22</v>
      </c>
      <c r="F497" s="457" t="s">
        <v>20</v>
      </c>
      <c r="G497" s="457" t="s">
        <v>21</v>
      </c>
      <c r="H497" s="460" t="s">
        <v>24</v>
      </c>
      <c r="I497" s="460" t="s">
        <v>23</v>
      </c>
      <c r="J497" s="460" t="s">
        <v>25</v>
      </c>
      <c r="K497" s="461" t="s">
        <v>32</v>
      </c>
    </row>
    <row r="498" spans="3:11" ht="15.75" x14ac:dyDescent="0.2">
      <c r="C498" s="454" t="s">
        <v>1131</v>
      </c>
      <c r="D498" s="456" t="s">
        <v>21</v>
      </c>
      <c r="E498" s="457" t="s">
        <v>272</v>
      </c>
      <c r="F498" s="457" t="s">
        <v>20</v>
      </c>
      <c r="G498" s="457" t="s">
        <v>25</v>
      </c>
      <c r="H498" s="460" t="s">
        <v>24</v>
      </c>
      <c r="I498" s="460" t="s">
        <v>23</v>
      </c>
      <c r="J498" s="460" t="s">
        <v>34</v>
      </c>
      <c r="K498" s="461" t="s">
        <v>22</v>
      </c>
    </row>
    <row r="499" spans="3:11" ht="15.75" x14ac:dyDescent="0.2">
      <c r="C499" s="454" t="s">
        <v>1130</v>
      </c>
      <c r="D499" s="456" t="s">
        <v>21</v>
      </c>
      <c r="E499" s="457" t="s">
        <v>272</v>
      </c>
      <c r="F499" s="457" t="s">
        <v>20</v>
      </c>
      <c r="G499" s="457" t="s">
        <v>25</v>
      </c>
      <c r="H499" s="460" t="s">
        <v>24</v>
      </c>
      <c r="I499" s="460" t="s">
        <v>23</v>
      </c>
      <c r="J499" s="460" t="s">
        <v>22</v>
      </c>
      <c r="K499" s="461" t="s">
        <v>33</v>
      </c>
    </row>
    <row r="500" spans="3:11" ht="15.75" x14ac:dyDescent="0.2">
      <c r="C500" s="454" t="s">
        <v>1129</v>
      </c>
      <c r="D500" s="456" t="s">
        <v>21</v>
      </c>
      <c r="E500" s="457" t="s">
        <v>272</v>
      </c>
      <c r="F500" s="457" t="s">
        <v>20</v>
      </c>
      <c r="G500" s="457" t="s">
        <v>25</v>
      </c>
      <c r="H500" s="460" t="s">
        <v>24</v>
      </c>
      <c r="I500" s="460" t="s">
        <v>23</v>
      </c>
      <c r="J500" s="460" t="s">
        <v>22</v>
      </c>
      <c r="K500" s="461" t="s">
        <v>841</v>
      </c>
    </row>
    <row r="501" spans="3:11" ht="15.75" x14ac:dyDescent="0.2">
      <c r="C501" s="454" t="s">
        <v>1128</v>
      </c>
      <c r="D501" s="456" t="s">
        <v>21</v>
      </c>
      <c r="E501" s="457" t="s">
        <v>272</v>
      </c>
      <c r="F501" s="457" t="s">
        <v>20</v>
      </c>
      <c r="G501" s="457" t="s">
        <v>25</v>
      </c>
      <c r="H501" s="460" t="s">
        <v>24</v>
      </c>
      <c r="I501" s="460" t="s">
        <v>23</v>
      </c>
      <c r="J501" s="460" t="s">
        <v>22</v>
      </c>
      <c r="K501" s="461" t="s">
        <v>32</v>
      </c>
    </row>
    <row r="502" spans="3:11" ht="16.5" thickBot="1" x14ac:dyDescent="0.25">
      <c r="C502" s="455" t="s">
        <v>1127</v>
      </c>
      <c r="D502" s="462" t="s">
        <v>31</v>
      </c>
      <c r="E502" s="463" t="s">
        <v>272</v>
      </c>
      <c r="F502" s="463" t="s">
        <v>20</v>
      </c>
      <c r="G502" s="463" t="s">
        <v>21</v>
      </c>
      <c r="H502" s="464" t="s">
        <v>24</v>
      </c>
      <c r="I502" s="464" t="s">
        <v>23</v>
      </c>
      <c r="J502" s="464" t="s">
        <v>25</v>
      </c>
      <c r="K502" s="465" t="s">
        <v>22</v>
      </c>
    </row>
    <row r="503" spans="3:11" ht="15.75" thickTop="1" x14ac:dyDescent="0.2">
      <c r="H503" s="382"/>
      <c r="I503" s="382"/>
      <c r="J503" s="382"/>
      <c r="K503" s="382"/>
    </row>
    <row r="504" spans="3:11" x14ac:dyDescent="0.2"/>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76171875" defaultRowHeight="15" x14ac:dyDescent="0.2"/>
  <cols>
    <col min="1" max="1" width="7.80078125" customWidth="1"/>
    <col min="2" max="2" width="4.4375" style="382" customWidth="1"/>
    <col min="3" max="3" width="13.98828125" customWidth="1"/>
    <col min="4" max="4" width="7.80078125" customWidth="1"/>
    <col min="5" max="5" width="7.6640625" customWidth="1"/>
    <col min="6" max="6" width="4.9765625" customWidth="1"/>
    <col min="7" max="7" width="5.37890625" customWidth="1"/>
    <col min="8" max="8" width="19.1015625" customWidth="1"/>
    <col min="10" max="10" width="7.80078125" customWidth="1"/>
    <col min="13" max="13" width="4.3046875" customWidth="1"/>
    <col min="14" max="14" width="4.5703125" customWidth="1"/>
    <col min="15" max="15" width="0.8046875" customWidth="1"/>
    <col min="16" max="16" width="3.62890625" customWidth="1"/>
    <col min="18" max="18" width="13.046875" customWidth="1"/>
  </cols>
  <sheetData>
    <row r="1" spans="1:19" ht="23.25" x14ac:dyDescent="0.3">
      <c r="C1" s="469" t="str">
        <f>Language!$E$180</f>
        <v>Third in the group</v>
      </c>
    </row>
    <row r="2" spans="1:19" ht="38.25" customHeight="1" x14ac:dyDescent="0.2"/>
    <row r="3" spans="1:19" x14ac:dyDescent="0.2">
      <c r="A3" s="470"/>
      <c r="B3" s="35"/>
      <c r="C3" s="34"/>
      <c r="D3" s="468" t="s">
        <v>1107</v>
      </c>
      <c r="E3" s="468" t="s">
        <v>190</v>
      </c>
      <c r="F3" s="468" t="s">
        <v>1108</v>
      </c>
      <c r="G3" s="468" t="s">
        <v>1109</v>
      </c>
      <c r="H3" s="468" t="s">
        <v>191</v>
      </c>
      <c r="I3" s="468" t="s">
        <v>198</v>
      </c>
      <c r="J3" s="468"/>
      <c r="K3" s="468" t="s">
        <v>30</v>
      </c>
      <c r="L3" s="651" t="s">
        <v>1725</v>
      </c>
    </row>
    <row r="4" spans="1:19" x14ac:dyDescent="0.2">
      <c r="A4" s="382"/>
      <c r="B4" s="522" t="s">
        <v>26</v>
      </c>
      <c r="C4" s="523" t="str">
        <f>CalcA!$D$24</f>
        <v>Rep. of Korea</v>
      </c>
      <c r="D4" s="522">
        <f>CalcA!$E$24</f>
        <v>3</v>
      </c>
      <c r="E4" s="522">
        <f>F4-G4</f>
        <v>-3</v>
      </c>
      <c r="F4" s="522">
        <f>CalcA!$F$24</f>
        <v>2</v>
      </c>
      <c r="G4" s="522">
        <f>CalcA!$G$24</f>
        <v>5</v>
      </c>
      <c r="H4" s="524">
        <f t="shared" ref="H4:H15" si="0">$D4*$S$4+($E4+$S$5/2)*$S$5+$F4*$S$6+$K4*$S$7+$L4*$S$8</f>
        <v>3497002.0000749999</v>
      </c>
      <c r="I4" s="522" t="s">
        <v>24</v>
      </c>
      <c r="J4" s="522"/>
      <c r="K4" s="522">
        <f>SUMIFS(FairPlay!$C$6:$C$27,FairPlay!$B$6:$B$27,$C4)+SUMIFS(FairPlay!$F$6:$F$27,FairPlay!$E$6:$E$27,$C4)+SUMIFS(FairPlay!$I$6:$I$27,FairPlay!$H$6:$H$27,$C4)</f>
        <v>0</v>
      </c>
      <c r="L4" s="522">
        <f>100-INDEX(Language!$D$5:$D$100,MATCH($C4,Language!$E$5:$E$100,0),1)</f>
        <v>75</v>
      </c>
      <c r="R4" s="815" t="s">
        <v>1798</v>
      </c>
      <c r="S4" s="816">
        <v>1000000</v>
      </c>
    </row>
    <row r="5" spans="1:19" x14ac:dyDescent="0.2">
      <c r="A5" s="382"/>
      <c r="B5" s="467" t="s">
        <v>27</v>
      </c>
      <c r="C5" s="27" t="str">
        <f>CalcB!$D$24</f>
        <v>Canada</v>
      </c>
      <c r="D5" s="467">
        <f>CalcB!$E$24</f>
        <v>3</v>
      </c>
      <c r="E5" s="467">
        <f t="shared" ref="E5:E15" si="1">F5-G5</f>
        <v>-1</v>
      </c>
      <c r="F5" s="467">
        <f>CalcB!$F$24</f>
        <v>4</v>
      </c>
      <c r="G5" s="467">
        <f>CalcB!$G$24</f>
        <v>5</v>
      </c>
      <c r="H5" s="525">
        <f t="shared" si="0"/>
        <v>3499004.0000700001</v>
      </c>
      <c r="I5" s="467" t="s">
        <v>20</v>
      </c>
      <c r="J5" s="467"/>
      <c r="K5" s="467">
        <f>SUMIFS(FairPlay!$C$6:$C$27,FairPlay!$B$6:$B$27,$C5)+SUMIFS(FairPlay!$F$6:$F$27,FairPlay!$E$6:$E$27,$C5)+SUMIFS(FairPlay!$I$6:$I$27,FairPlay!$H$6:$H$27,$C5)</f>
        <v>0</v>
      </c>
      <c r="L5" s="467">
        <f>100-INDEX(Language!$D$5:$D$100,MATCH($C5,Language!$E$5:$E$100,0),1)</f>
        <v>70</v>
      </c>
      <c r="R5" s="817" t="s">
        <v>1797</v>
      </c>
      <c r="S5" s="818">
        <v>1000</v>
      </c>
    </row>
    <row r="6" spans="1:19" x14ac:dyDescent="0.2">
      <c r="A6" s="382"/>
      <c r="B6" s="467" t="s">
        <v>28</v>
      </c>
      <c r="C6" s="27" t="str">
        <f>CalcC!$D$24</f>
        <v>Scotland</v>
      </c>
      <c r="D6" s="467">
        <f>CalcC!$E$24</f>
        <v>3</v>
      </c>
      <c r="E6" s="467">
        <f t="shared" si="1"/>
        <v>-3</v>
      </c>
      <c r="F6" s="467">
        <f>CalcC!$F$24</f>
        <v>3</v>
      </c>
      <c r="G6" s="467">
        <f>CalcC!$G$24</f>
        <v>6</v>
      </c>
      <c r="H6" s="525">
        <f t="shared" si="0"/>
        <v>3497003.0000570002</v>
      </c>
      <c r="I6" s="467" t="s">
        <v>21</v>
      </c>
      <c r="J6" s="467"/>
      <c r="K6" s="467">
        <f>SUMIFS(FairPlay!$C$6:$C$27,FairPlay!$B$6:$B$27,$C6)+SUMIFS(FairPlay!$F$6:$F$27,FairPlay!$E$6:$E$27,$C6)+SUMIFS(FairPlay!$I$6:$I$27,FairPlay!$H$6:$H$27,$C6)</f>
        <v>0</v>
      </c>
      <c r="L6" s="467">
        <f>100-INDEX(Language!$D$5:$D$100,MATCH($C6,Language!$E$5:$E$100,0),1)</f>
        <v>57</v>
      </c>
      <c r="R6" s="817" t="s">
        <v>1796</v>
      </c>
      <c r="S6" s="818">
        <v>1</v>
      </c>
    </row>
    <row r="7" spans="1:19" x14ac:dyDescent="0.2">
      <c r="A7" s="382"/>
      <c r="B7" s="467" t="s">
        <v>29</v>
      </c>
      <c r="C7" s="27" t="str">
        <f>CalcD!$D$24</f>
        <v>Paraguay</v>
      </c>
      <c r="D7" s="467">
        <f>CalcD!$E$24</f>
        <v>4</v>
      </c>
      <c r="E7" s="467">
        <f t="shared" si="1"/>
        <v>-1</v>
      </c>
      <c r="F7" s="467">
        <f>CalcD!$F$24</f>
        <v>5</v>
      </c>
      <c r="G7" s="467">
        <f>CalcD!$G$24</f>
        <v>6</v>
      </c>
      <c r="H7" s="525">
        <f t="shared" si="0"/>
        <v>4499005.0000600005</v>
      </c>
      <c r="I7" s="467" t="s">
        <v>25</v>
      </c>
      <c r="J7" s="467"/>
      <c r="K7" s="467">
        <f>SUMIFS(FairPlay!$C$6:$C$27,FairPlay!$B$6:$B$27,$C7)+SUMIFS(FairPlay!$F$6:$F$27,FairPlay!$E$6:$E$27,$C7)+SUMIFS(FairPlay!$I$6:$I$27,FairPlay!$H$6:$H$27,$C7)</f>
        <v>0</v>
      </c>
      <c r="L7" s="467">
        <f>100-INDEX(Language!$D$5:$D$100,MATCH($C7,Language!$E$5:$E$100,0),1)</f>
        <v>60</v>
      </c>
      <c r="R7" s="817" t="s">
        <v>1799</v>
      </c>
      <c r="S7" s="818">
        <v>1E-3</v>
      </c>
    </row>
    <row r="8" spans="1:19" x14ac:dyDescent="0.2">
      <c r="A8" s="382"/>
      <c r="B8" s="467" t="s">
        <v>1111</v>
      </c>
      <c r="C8" s="27" t="str">
        <f>CalcE!$D$24</f>
        <v>Ivory Coast</v>
      </c>
      <c r="D8" s="467">
        <f>CalcE!$E$24</f>
        <v>3</v>
      </c>
      <c r="E8" s="467">
        <f t="shared" si="1"/>
        <v>-3</v>
      </c>
      <c r="F8" s="467">
        <f>CalcE!$F$24</f>
        <v>3</v>
      </c>
      <c r="G8" s="467">
        <f>CalcE!$G$24</f>
        <v>6</v>
      </c>
      <c r="H8" s="525">
        <f t="shared" si="0"/>
        <v>3497003.000066</v>
      </c>
      <c r="I8" s="467" t="s">
        <v>22</v>
      </c>
      <c r="J8" s="467"/>
      <c r="K8" s="467">
        <f>SUMIFS(FairPlay!$C$6:$C$27,FairPlay!$B$6:$B$27,$C8)+SUMIFS(FairPlay!$F$6:$F$27,FairPlay!$E$6:$E$27,$C8)+SUMIFS(FairPlay!$I$6:$I$27,FairPlay!$H$6:$H$27,$C8)</f>
        <v>0</v>
      </c>
      <c r="L8" s="467">
        <f>100-INDEX(Language!$D$5:$D$100,MATCH($C8,Language!$E$5:$E$100,0),1)</f>
        <v>66</v>
      </c>
      <c r="R8" s="819" t="s">
        <v>1800</v>
      </c>
      <c r="S8" s="820">
        <v>9.9999999999999995E-7</v>
      </c>
    </row>
    <row r="9" spans="1:19" x14ac:dyDescent="0.2">
      <c r="A9" s="382"/>
      <c r="B9" s="467" t="s">
        <v>1112</v>
      </c>
      <c r="C9" s="27" t="str">
        <f>CalcF!$D$24</f>
        <v>Japan</v>
      </c>
      <c r="D9" s="467">
        <f>CalcF!$E$24</f>
        <v>3</v>
      </c>
      <c r="E9" s="467">
        <f t="shared" si="1"/>
        <v>-3</v>
      </c>
      <c r="F9" s="467">
        <f>CalcF!$F$24</f>
        <v>3</v>
      </c>
      <c r="G9" s="467">
        <f>CalcF!$G$24</f>
        <v>6</v>
      </c>
      <c r="H9" s="525">
        <f t="shared" si="0"/>
        <v>3497003.0000820002</v>
      </c>
      <c r="I9" s="467" t="s">
        <v>23</v>
      </c>
      <c r="J9" s="467"/>
      <c r="K9" s="467">
        <f>SUMIFS(FairPlay!$C$6:$C$27,FairPlay!$B$6:$B$27,$C9)+SUMIFS(FairPlay!$F$6:$F$27,FairPlay!$E$6:$E$27,$C9)+SUMIFS(FairPlay!$I$6:$I$27,FairPlay!$H$6:$H$27,$C9)</f>
        <v>0</v>
      </c>
      <c r="L9" s="467">
        <f>100-INDEX(Language!$D$5:$D$100,MATCH($C9,Language!$E$5:$E$100,0),1)</f>
        <v>82</v>
      </c>
    </row>
    <row r="10" spans="1:19" x14ac:dyDescent="0.2">
      <c r="A10" s="382"/>
      <c r="B10" s="467" t="s">
        <v>1115</v>
      </c>
      <c r="C10" s="27" t="str">
        <f>CalcG!$D$24</f>
        <v>IR Iran</v>
      </c>
      <c r="D10" s="467">
        <f>CalcG!$E$24</f>
        <v>3</v>
      </c>
      <c r="E10" s="467">
        <f t="shared" si="1"/>
        <v>-2</v>
      </c>
      <c r="F10" s="467">
        <f>CalcG!$F$24</f>
        <v>2</v>
      </c>
      <c r="G10" s="467">
        <f>CalcG!$G$24</f>
        <v>4</v>
      </c>
      <c r="H10" s="525">
        <f t="shared" si="0"/>
        <v>3498002.0000789999</v>
      </c>
      <c r="I10" s="467" t="s">
        <v>272</v>
      </c>
      <c r="J10" s="467"/>
      <c r="K10" s="467">
        <f>SUMIFS(FairPlay!$C$6:$C$27,FairPlay!$B$6:$B$27,$C10)+SUMIFS(FairPlay!$F$6:$F$27,FairPlay!$E$6:$E$27,$C10)+SUMIFS(FairPlay!$I$6:$I$27,FairPlay!$H$6:$H$27,$C10)</f>
        <v>0</v>
      </c>
      <c r="L10" s="467">
        <f>100-INDEX(Language!$D$5:$D$100,MATCH($C10,Language!$E$5:$E$100,0),1)</f>
        <v>79</v>
      </c>
    </row>
    <row r="11" spans="1:19" x14ac:dyDescent="0.2">
      <c r="A11" s="382"/>
      <c r="B11" s="467" t="s">
        <v>1116</v>
      </c>
      <c r="C11" s="27" t="str">
        <f>CalcH!$D$24</f>
        <v>Saudi Arabia</v>
      </c>
      <c r="D11" s="467">
        <f>CalcH!$E$24</f>
        <v>3</v>
      </c>
      <c r="E11" s="467">
        <f t="shared" si="1"/>
        <v>-2</v>
      </c>
      <c r="F11" s="467">
        <f>CalcH!$F$24</f>
        <v>3</v>
      </c>
      <c r="G11" s="467">
        <f>CalcH!$G$24</f>
        <v>5</v>
      </c>
      <c r="H11" s="525">
        <f t="shared" si="0"/>
        <v>3498003.0000390001</v>
      </c>
      <c r="I11" s="467" t="s">
        <v>31</v>
      </c>
      <c r="J11" s="467"/>
      <c r="K11" s="467">
        <f>SUMIFS(FairPlay!$C$6:$C$27,FairPlay!$B$6:$B$27,$C11)+SUMIFS(FairPlay!$F$6:$F$27,FairPlay!$E$6:$E$27,$C11)+SUMIFS(FairPlay!$I$6:$I$27,FairPlay!$H$6:$H$27,$C11)</f>
        <v>0</v>
      </c>
      <c r="L11" s="467">
        <f>100-INDEX(Language!$D$5:$D$100,MATCH($C11,Language!$E$5:$E$100,0),1)</f>
        <v>39</v>
      </c>
    </row>
    <row r="12" spans="1:19" x14ac:dyDescent="0.2">
      <c r="A12" s="382"/>
      <c r="B12" s="467" t="s">
        <v>1117</v>
      </c>
      <c r="C12" s="27" t="str">
        <f>CalcI!$D$24</f>
        <v>Senegal</v>
      </c>
      <c r="D12" s="467">
        <f>CalcI!$E$24</f>
        <v>0</v>
      </c>
      <c r="E12" s="467">
        <f t="shared" si="1"/>
        <v>-3</v>
      </c>
      <c r="F12" s="467">
        <f>CalcI!$F$24</f>
        <v>1</v>
      </c>
      <c r="G12" s="467">
        <f>CalcI!$G$24</f>
        <v>4</v>
      </c>
      <c r="H12" s="525">
        <f t="shared" si="0"/>
        <v>497001.00008600001</v>
      </c>
      <c r="I12" s="467" t="s">
        <v>32</v>
      </c>
      <c r="J12" s="467"/>
      <c r="K12" s="467">
        <f>SUMIFS(FairPlay!$C$6:$C$27,FairPlay!$B$6:$B$27,$C12)+SUMIFS(FairPlay!$F$6:$F$27,FairPlay!$E$6:$E$27,$C12)+SUMIFS(FairPlay!$I$6:$I$27,FairPlay!$H$6:$H$27,$C12)</f>
        <v>0</v>
      </c>
      <c r="L12" s="467">
        <f>100-INDEX(Language!$D$5:$D$100,MATCH($C12,Language!$E$5:$E$100,0),1)</f>
        <v>86</v>
      </c>
    </row>
    <row r="13" spans="1:19" x14ac:dyDescent="0.2">
      <c r="A13" s="382"/>
      <c r="B13" s="467" t="s">
        <v>1118</v>
      </c>
      <c r="C13" s="27" t="str">
        <f>CalcJ!$D$24</f>
        <v>Algeria</v>
      </c>
      <c r="D13" s="467">
        <f>CalcJ!$E$24</f>
        <v>3</v>
      </c>
      <c r="E13" s="467">
        <f t="shared" si="1"/>
        <v>-3</v>
      </c>
      <c r="F13" s="467">
        <f>CalcJ!$F$24</f>
        <v>1</v>
      </c>
      <c r="G13" s="467">
        <f>CalcJ!$G$24</f>
        <v>4</v>
      </c>
      <c r="H13" s="525">
        <f t="shared" si="0"/>
        <v>3497001.0000720001</v>
      </c>
      <c r="I13" s="467" t="s">
        <v>841</v>
      </c>
      <c r="J13" s="467"/>
      <c r="K13" s="467">
        <f>SUMIFS(FairPlay!$C$6:$C$27,FairPlay!$B$6:$B$27,$C13)+SUMIFS(FairPlay!$F$6:$F$27,FairPlay!$E$6:$E$27,$C13)+SUMIFS(FairPlay!$I$6:$I$27,FairPlay!$H$6:$H$27,$C13)</f>
        <v>0</v>
      </c>
      <c r="L13" s="467">
        <f>100-INDEX(Language!$D$5:$D$100,MATCH($C13,Language!$E$5:$E$100,0),1)</f>
        <v>72</v>
      </c>
    </row>
    <row r="14" spans="1:19" x14ac:dyDescent="0.2">
      <c r="A14" s="382"/>
      <c r="B14" s="467" t="s">
        <v>1119</v>
      </c>
      <c r="C14" s="27" t="str">
        <f>CalcK!$D$24</f>
        <v>Uzbekistan</v>
      </c>
      <c r="D14" s="467">
        <f>CalcK!$E$24</f>
        <v>0</v>
      </c>
      <c r="E14" s="467">
        <f t="shared" si="1"/>
        <v>-4</v>
      </c>
      <c r="F14" s="467">
        <f>CalcK!$F$24</f>
        <v>0</v>
      </c>
      <c r="G14" s="467">
        <f>CalcK!$G$24</f>
        <v>4</v>
      </c>
      <c r="H14" s="525">
        <f t="shared" si="0"/>
        <v>496000.00004999997</v>
      </c>
      <c r="I14" s="467" t="s">
        <v>33</v>
      </c>
      <c r="J14" s="467"/>
      <c r="K14" s="467">
        <f>SUMIFS(FairPlay!$C$6:$C$27,FairPlay!$B$6:$B$27,$C14)+SUMIFS(FairPlay!$F$6:$F$27,FairPlay!$E$6:$E$27,$C14)+SUMIFS(FairPlay!$I$6:$I$27,FairPlay!$H$6:$H$27,$C14)</f>
        <v>0</v>
      </c>
      <c r="L14" s="467">
        <f>100-INDEX(Language!$D$5:$D$100,MATCH($C14,Language!$E$5:$E$100,0),1)</f>
        <v>50</v>
      </c>
    </row>
    <row r="15" spans="1:19" x14ac:dyDescent="0.2">
      <c r="A15" s="382"/>
      <c r="B15" s="35" t="s">
        <v>1120</v>
      </c>
      <c r="C15" s="34" t="str">
        <f>CalcL!$D$24</f>
        <v>Ghana</v>
      </c>
      <c r="D15" s="35">
        <f>CalcL!$E$24</f>
        <v>3</v>
      </c>
      <c r="E15" s="35">
        <f t="shared" si="1"/>
        <v>0</v>
      </c>
      <c r="F15" s="35">
        <f>CalcL!$F$24</f>
        <v>3</v>
      </c>
      <c r="G15" s="35">
        <f>CalcL!$G$24</f>
        <v>3</v>
      </c>
      <c r="H15" s="526">
        <f t="shared" si="0"/>
        <v>3500003.0000260002</v>
      </c>
      <c r="I15" s="35" t="s">
        <v>34</v>
      </c>
      <c r="J15" s="35"/>
      <c r="K15" s="35">
        <f>SUMIFS(FairPlay!$C$6:$C$27,FairPlay!$B$6:$B$27,$C15)+SUMIFS(FairPlay!$F$6:$F$27,FairPlay!$E$6:$E$27,$C15)+SUMIFS(FairPlay!$I$6:$I$27,FairPlay!$H$6:$H$27,$C15)</f>
        <v>0</v>
      </c>
      <c r="L15" s="35">
        <f>100-INDEX(Language!$D$5:$D$100,MATCH($C15,Language!$E$5:$E$100,0),1)</f>
        <v>26</v>
      </c>
    </row>
    <row r="16" spans="1:19" ht="15.75" thickBot="1" x14ac:dyDescent="0.25">
      <c r="D16" s="58" t="s">
        <v>1107</v>
      </c>
      <c r="E16" s="58" t="s">
        <v>190</v>
      </c>
      <c r="F16" s="468" t="s">
        <v>1108</v>
      </c>
      <c r="G16" s="468" t="s">
        <v>1109</v>
      </c>
      <c r="H16" s="468" t="s">
        <v>191</v>
      </c>
      <c r="I16" s="58" t="s">
        <v>198</v>
      </c>
      <c r="J16" s="382"/>
    </row>
    <row r="17" spans="2:16" ht="15.75" thickTop="1" x14ac:dyDescent="0.2">
      <c r="B17" s="471" t="s">
        <v>26</v>
      </c>
      <c r="C17" s="472" t="str">
        <f t="shared" ref="C17:G22" si="2">INDEX(C$4:C$15,MATCH($H17,$H$4:$H$15,0))</f>
        <v>Paraguay</v>
      </c>
      <c r="D17" s="473">
        <f t="shared" si="2"/>
        <v>4</v>
      </c>
      <c r="E17" s="474">
        <f t="shared" si="2"/>
        <v>-1</v>
      </c>
      <c r="F17" s="475">
        <f t="shared" si="2"/>
        <v>5</v>
      </c>
      <c r="G17" s="476">
        <f t="shared" si="2"/>
        <v>6</v>
      </c>
      <c r="H17" s="477">
        <f t="shared" ref="H17:H22" si="3">LARGE($H$4:$H$15,ROW(A1))</f>
        <v>4499005.0000600005</v>
      </c>
      <c r="I17" s="478" t="str">
        <f t="shared" ref="I17:I22" si="4">INDEX(I$4:I$15,MATCH($H17,$H$4:$H$15,0))</f>
        <v>D</v>
      </c>
      <c r="J17" s="519"/>
      <c r="K17" s="479">
        <f t="array" ref="K17">SUM(IF($I$17:$I$24 &lt; $I17,1))</f>
        <v>2</v>
      </c>
      <c r="L17" s="474" t="str">
        <f>INDEX($I$17:$I$24,MATCH(ROW(A1)-1,$K$17:$K$24,0))</f>
        <v>B</v>
      </c>
      <c r="M17" s="473">
        <f>D17</f>
        <v>4</v>
      </c>
      <c r="N17" s="480">
        <f>F17</f>
        <v>5</v>
      </c>
      <c r="O17" s="481" t="s">
        <v>1113</v>
      </c>
      <c r="P17" s="482">
        <f>G17</f>
        <v>6</v>
      </c>
    </row>
    <row r="18" spans="2:16" x14ac:dyDescent="0.2">
      <c r="B18" s="483" t="s">
        <v>27</v>
      </c>
      <c r="C18" s="484" t="str">
        <f t="shared" si="2"/>
        <v>Ghana</v>
      </c>
      <c r="D18" s="485">
        <f t="shared" si="2"/>
        <v>3</v>
      </c>
      <c r="E18" s="486">
        <f t="shared" si="2"/>
        <v>0</v>
      </c>
      <c r="F18" s="487">
        <f t="shared" si="2"/>
        <v>3</v>
      </c>
      <c r="G18" s="488">
        <f t="shared" si="2"/>
        <v>3</v>
      </c>
      <c r="H18" s="489">
        <f t="shared" si="3"/>
        <v>3500003.0000260002</v>
      </c>
      <c r="I18" s="490" t="str">
        <f t="shared" si="4"/>
        <v>L</v>
      </c>
      <c r="J18" s="520"/>
      <c r="K18" s="491">
        <f t="array" ref="K18">SUM(IF($I$17:$I$24 &lt; $I18,1))</f>
        <v>7</v>
      </c>
      <c r="L18" s="486" t="str">
        <f>INDEX($I$17:$I$24,MATCH(ROW(A2)-1,$K$17:$K$24,0))</f>
        <v>C</v>
      </c>
      <c r="M18" s="485">
        <f t="shared" ref="M18:M22" si="5">D18</f>
        <v>3</v>
      </c>
      <c r="N18" s="492">
        <f t="shared" ref="N18:N22" si="6">F18</f>
        <v>3</v>
      </c>
      <c r="O18" s="493" t="s">
        <v>1113</v>
      </c>
      <c r="P18" s="494">
        <f t="shared" ref="P18:P22" si="7">G18</f>
        <v>3</v>
      </c>
    </row>
    <row r="19" spans="2:16" x14ac:dyDescent="0.2">
      <c r="B19" s="483" t="s">
        <v>28</v>
      </c>
      <c r="C19" s="484" t="str">
        <f t="shared" si="2"/>
        <v>Canada</v>
      </c>
      <c r="D19" s="485">
        <f t="shared" si="2"/>
        <v>3</v>
      </c>
      <c r="E19" s="486">
        <f t="shared" si="2"/>
        <v>-1</v>
      </c>
      <c r="F19" s="487">
        <f t="shared" si="2"/>
        <v>4</v>
      </c>
      <c r="G19" s="488">
        <f t="shared" si="2"/>
        <v>5</v>
      </c>
      <c r="H19" s="489">
        <f t="shared" si="3"/>
        <v>3499004.0000700001</v>
      </c>
      <c r="I19" s="490" t="str">
        <f t="shared" si="4"/>
        <v>B</v>
      </c>
      <c r="J19" s="520"/>
      <c r="K19" s="491">
        <f t="array" ref="K19">SUM(IF($I$17:$I$24 &lt; $I19,1))</f>
        <v>0</v>
      </c>
      <c r="L19" s="486" t="str">
        <f t="shared" ref="L19:L24" si="8">INDEX($I$17:$I$24,MATCH(ROW(A3)-1,$K$17:$K$24,0))</f>
        <v>D</v>
      </c>
      <c r="M19" s="485">
        <f t="shared" si="5"/>
        <v>3</v>
      </c>
      <c r="N19" s="492">
        <f t="shared" si="6"/>
        <v>4</v>
      </c>
      <c r="O19" s="493" t="s">
        <v>1113</v>
      </c>
      <c r="P19" s="494">
        <f t="shared" si="7"/>
        <v>5</v>
      </c>
    </row>
    <row r="20" spans="2:16" x14ac:dyDescent="0.2">
      <c r="B20" s="483" t="s">
        <v>29</v>
      </c>
      <c r="C20" s="484" t="str">
        <f t="shared" si="2"/>
        <v>Saudi Arabia</v>
      </c>
      <c r="D20" s="485">
        <f t="shared" si="2"/>
        <v>3</v>
      </c>
      <c r="E20" s="486">
        <f t="shared" si="2"/>
        <v>-2</v>
      </c>
      <c r="F20" s="487">
        <f t="shared" si="2"/>
        <v>3</v>
      </c>
      <c r="G20" s="488">
        <f t="shared" si="2"/>
        <v>5</v>
      </c>
      <c r="H20" s="489">
        <f t="shared" si="3"/>
        <v>3498003.0000390001</v>
      </c>
      <c r="I20" s="490" t="str">
        <f t="shared" si="4"/>
        <v>H</v>
      </c>
      <c r="J20" s="520"/>
      <c r="K20" s="491">
        <f t="array" ref="K20">SUM(IF($I$17:$I$24 &lt; $I20,1))</f>
        <v>6</v>
      </c>
      <c r="L20" s="486" t="str">
        <f t="shared" si="8"/>
        <v>E</v>
      </c>
      <c r="M20" s="485">
        <f t="shared" si="5"/>
        <v>3</v>
      </c>
      <c r="N20" s="492">
        <f t="shared" si="6"/>
        <v>3</v>
      </c>
      <c r="O20" s="493" t="s">
        <v>1113</v>
      </c>
      <c r="P20" s="494">
        <f t="shared" si="7"/>
        <v>5</v>
      </c>
    </row>
    <row r="21" spans="2:16" x14ac:dyDescent="0.2">
      <c r="B21" s="483" t="s">
        <v>1111</v>
      </c>
      <c r="C21" s="484" t="str">
        <f t="shared" si="2"/>
        <v>IR Iran</v>
      </c>
      <c r="D21" s="485">
        <f t="shared" si="2"/>
        <v>3</v>
      </c>
      <c r="E21" s="486">
        <f t="shared" si="2"/>
        <v>-2</v>
      </c>
      <c r="F21" s="487">
        <f t="shared" si="2"/>
        <v>2</v>
      </c>
      <c r="G21" s="488">
        <f t="shared" si="2"/>
        <v>4</v>
      </c>
      <c r="H21" s="489">
        <f t="shared" si="3"/>
        <v>3498002.0000789999</v>
      </c>
      <c r="I21" s="490" t="str">
        <f t="shared" si="4"/>
        <v>G</v>
      </c>
      <c r="J21" s="520"/>
      <c r="K21" s="491">
        <f t="array" ref="K21">SUM(IF($I$17:$I$24 &lt; $I21,1))</f>
        <v>5</v>
      </c>
      <c r="L21" s="486" t="str">
        <f t="shared" si="8"/>
        <v>F</v>
      </c>
      <c r="M21" s="485">
        <f t="shared" si="5"/>
        <v>3</v>
      </c>
      <c r="N21" s="492">
        <f t="shared" si="6"/>
        <v>2</v>
      </c>
      <c r="O21" s="493" t="s">
        <v>1113</v>
      </c>
      <c r="P21" s="494">
        <f t="shared" si="7"/>
        <v>4</v>
      </c>
    </row>
    <row r="22" spans="2:16" x14ac:dyDescent="0.2">
      <c r="B22" s="508" t="s">
        <v>1112</v>
      </c>
      <c r="C22" s="509" t="str">
        <f t="shared" si="2"/>
        <v>Japan</v>
      </c>
      <c r="D22" s="510">
        <f t="shared" si="2"/>
        <v>3</v>
      </c>
      <c r="E22" s="511">
        <f t="shared" si="2"/>
        <v>-3</v>
      </c>
      <c r="F22" s="512">
        <f t="shared" si="2"/>
        <v>3</v>
      </c>
      <c r="G22" s="513">
        <f t="shared" si="2"/>
        <v>6</v>
      </c>
      <c r="H22" s="514">
        <f t="shared" si="3"/>
        <v>3497003.0000820002</v>
      </c>
      <c r="I22" s="515" t="str">
        <f t="shared" si="4"/>
        <v>F</v>
      </c>
      <c r="J22" s="520"/>
      <c r="K22" s="491">
        <f t="array" ref="K22">SUM(IF($I$17:$I$24 &lt; $I22,1))</f>
        <v>4</v>
      </c>
      <c r="L22" s="486" t="str">
        <f t="shared" si="8"/>
        <v>G</v>
      </c>
      <c r="M22" s="510">
        <f t="shared" si="5"/>
        <v>3</v>
      </c>
      <c r="N22" s="516">
        <f t="shared" si="6"/>
        <v>3</v>
      </c>
      <c r="O22" s="517" t="s">
        <v>1113</v>
      </c>
      <c r="P22" s="518">
        <f t="shared" si="7"/>
        <v>6</v>
      </c>
    </row>
    <row r="23" spans="2:16" x14ac:dyDescent="0.2">
      <c r="B23" s="508" t="s">
        <v>1115</v>
      </c>
      <c r="C23" s="509" t="str">
        <f t="shared" ref="C23:G28" si="9">INDEX(C$4:C$15,MATCH($H23,$H$4:$H$15,0))</f>
        <v>Ivory Coast</v>
      </c>
      <c r="D23" s="510">
        <f t="shared" si="9"/>
        <v>3</v>
      </c>
      <c r="E23" s="511">
        <f t="shared" si="9"/>
        <v>-3</v>
      </c>
      <c r="F23" s="512">
        <f t="shared" si="9"/>
        <v>3</v>
      </c>
      <c r="G23" s="513">
        <f t="shared" si="9"/>
        <v>6</v>
      </c>
      <c r="H23" s="514">
        <f t="shared" ref="H23:H28" si="10">LARGE($H$4:$H$15,ROW(A7))</f>
        <v>3497003.000066</v>
      </c>
      <c r="I23" s="515" t="str">
        <f t="shared" ref="I23:I28" si="11">INDEX(I$4:I$15,MATCH($H23,$H$4:$H$15,0))</f>
        <v>E</v>
      </c>
      <c r="J23" s="27"/>
      <c r="K23" s="491">
        <f t="array" ref="K23">SUM(IF($I$17:$I$24 &lt; $I23,1))</f>
        <v>3</v>
      </c>
      <c r="L23" s="486" t="str">
        <f t="shared" si="8"/>
        <v>H</v>
      </c>
      <c r="M23" s="510">
        <f t="shared" ref="M23:M28" si="12">D23</f>
        <v>3</v>
      </c>
      <c r="N23" s="516">
        <f t="shared" ref="N23:N28" si="13">F23</f>
        <v>3</v>
      </c>
      <c r="O23" s="517" t="s">
        <v>1113</v>
      </c>
      <c r="P23" s="518">
        <f t="shared" ref="P23:P28" si="14">G23</f>
        <v>6</v>
      </c>
    </row>
    <row r="24" spans="2:16" x14ac:dyDescent="0.2">
      <c r="B24" s="508" t="s">
        <v>1116</v>
      </c>
      <c r="C24" s="509" t="str">
        <f t="shared" si="9"/>
        <v>Scotland</v>
      </c>
      <c r="D24" s="510">
        <f t="shared" si="9"/>
        <v>3</v>
      </c>
      <c r="E24" s="511">
        <f t="shared" si="9"/>
        <v>-3</v>
      </c>
      <c r="F24" s="512">
        <f t="shared" si="9"/>
        <v>3</v>
      </c>
      <c r="G24" s="513">
        <f t="shared" si="9"/>
        <v>6</v>
      </c>
      <c r="H24" s="514">
        <f t="shared" si="10"/>
        <v>3497003.0000570002</v>
      </c>
      <c r="I24" s="515" t="str">
        <f t="shared" si="11"/>
        <v>C</v>
      </c>
      <c r="J24" s="27"/>
      <c r="K24" s="491">
        <f t="array" ref="K24">SUM(IF($I$17:$I$24 &lt; $I24,1))</f>
        <v>1</v>
      </c>
      <c r="L24" s="486" t="str">
        <f t="shared" si="8"/>
        <v>L</v>
      </c>
      <c r="M24" s="510">
        <f t="shared" si="12"/>
        <v>3</v>
      </c>
      <c r="N24" s="516">
        <f t="shared" si="13"/>
        <v>3</v>
      </c>
      <c r="O24" s="517" t="s">
        <v>1113</v>
      </c>
      <c r="P24" s="518">
        <f t="shared" si="14"/>
        <v>6</v>
      </c>
    </row>
    <row r="25" spans="2:16" x14ac:dyDescent="0.2">
      <c r="B25" s="508" t="s">
        <v>1117</v>
      </c>
      <c r="C25" s="509" t="str">
        <f t="shared" si="9"/>
        <v>Rep. of Korea</v>
      </c>
      <c r="D25" s="510">
        <f t="shared" si="9"/>
        <v>3</v>
      </c>
      <c r="E25" s="511">
        <f t="shared" si="9"/>
        <v>-3</v>
      </c>
      <c r="F25" s="512">
        <f t="shared" si="9"/>
        <v>2</v>
      </c>
      <c r="G25" s="513">
        <f t="shared" si="9"/>
        <v>5</v>
      </c>
      <c r="H25" s="514">
        <f t="shared" si="10"/>
        <v>3497002.0000749999</v>
      </c>
      <c r="I25" s="515" t="str">
        <f t="shared" si="11"/>
        <v>A</v>
      </c>
      <c r="J25" s="27"/>
      <c r="K25" s="27"/>
      <c r="L25" s="55"/>
      <c r="M25" s="510">
        <f t="shared" si="12"/>
        <v>3</v>
      </c>
      <c r="N25" s="516">
        <f t="shared" si="13"/>
        <v>2</v>
      </c>
      <c r="O25" s="517" t="s">
        <v>1113</v>
      </c>
      <c r="P25" s="518">
        <f t="shared" si="14"/>
        <v>5</v>
      </c>
    </row>
    <row r="26" spans="2:16" x14ac:dyDescent="0.2">
      <c r="B26" s="508" t="s">
        <v>1118</v>
      </c>
      <c r="C26" s="509" t="str">
        <f t="shared" si="9"/>
        <v>Algeria</v>
      </c>
      <c r="D26" s="510">
        <f t="shared" si="9"/>
        <v>3</v>
      </c>
      <c r="E26" s="511">
        <f t="shared" si="9"/>
        <v>-3</v>
      </c>
      <c r="F26" s="512">
        <f t="shared" si="9"/>
        <v>1</v>
      </c>
      <c r="G26" s="513">
        <f t="shared" si="9"/>
        <v>4</v>
      </c>
      <c r="H26" s="514">
        <f t="shared" si="10"/>
        <v>3497001.0000720001</v>
      </c>
      <c r="I26" s="515" t="str">
        <f t="shared" si="11"/>
        <v>J</v>
      </c>
      <c r="J26" s="27"/>
      <c r="K26" s="27"/>
      <c r="L26" s="55"/>
      <c r="M26" s="510">
        <f t="shared" si="12"/>
        <v>3</v>
      </c>
      <c r="N26" s="516">
        <f t="shared" si="13"/>
        <v>1</v>
      </c>
      <c r="O26" s="517" t="s">
        <v>1113</v>
      </c>
      <c r="P26" s="518">
        <f t="shared" si="14"/>
        <v>4</v>
      </c>
    </row>
    <row r="27" spans="2:16" x14ac:dyDescent="0.2">
      <c r="B27" s="508" t="s">
        <v>1119</v>
      </c>
      <c r="C27" s="509" t="str">
        <f t="shared" si="9"/>
        <v>Senegal</v>
      </c>
      <c r="D27" s="510">
        <f t="shared" si="9"/>
        <v>0</v>
      </c>
      <c r="E27" s="511">
        <f t="shared" si="9"/>
        <v>-3</v>
      </c>
      <c r="F27" s="512">
        <f t="shared" si="9"/>
        <v>1</v>
      </c>
      <c r="G27" s="513">
        <f t="shared" si="9"/>
        <v>4</v>
      </c>
      <c r="H27" s="514">
        <f t="shared" si="10"/>
        <v>497001.00008600001</v>
      </c>
      <c r="I27" s="515" t="str">
        <f t="shared" si="11"/>
        <v>I</v>
      </c>
      <c r="J27" s="27"/>
      <c r="K27" s="27"/>
      <c r="L27" s="55"/>
      <c r="M27" s="510">
        <f t="shared" si="12"/>
        <v>0</v>
      </c>
      <c r="N27" s="516">
        <f t="shared" si="13"/>
        <v>1</v>
      </c>
      <c r="O27" s="517" t="s">
        <v>1113</v>
      </c>
      <c r="P27" s="518">
        <f t="shared" si="14"/>
        <v>4</v>
      </c>
    </row>
    <row r="28" spans="2:16" ht="15.75" thickBot="1" x14ac:dyDescent="0.25">
      <c r="B28" s="495" t="s">
        <v>1120</v>
      </c>
      <c r="C28" s="496" t="str">
        <f t="shared" si="9"/>
        <v>Uzbekistan</v>
      </c>
      <c r="D28" s="497">
        <f t="shared" si="9"/>
        <v>0</v>
      </c>
      <c r="E28" s="498">
        <f t="shared" si="9"/>
        <v>-4</v>
      </c>
      <c r="F28" s="499">
        <f t="shared" si="9"/>
        <v>0</v>
      </c>
      <c r="G28" s="500">
        <f t="shared" si="9"/>
        <v>4</v>
      </c>
      <c r="H28" s="501">
        <f t="shared" si="10"/>
        <v>496000.00004999997</v>
      </c>
      <c r="I28" s="502" t="str">
        <f t="shared" si="11"/>
        <v>K</v>
      </c>
      <c r="J28" s="466"/>
      <c r="K28" s="466"/>
      <c r="L28" s="521"/>
      <c r="M28" s="497">
        <f t="shared" si="12"/>
        <v>0</v>
      </c>
      <c r="N28" s="503">
        <f t="shared" si="13"/>
        <v>0</v>
      </c>
      <c r="O28" s="504" t="s">
        <v>1113</v>
      </c>
      <c r="P28" s="505">
        <f t="shared" si="14"/>
        <v>4</v>
      </c>
    </row>
    <row r="29" spans="2:16" ht="15.75" thickTop="1" x14ac:dyDescent="0.2">
      <c r="L29" s="32"/>
    </row>
    <row r="30" spans="2:16" x14ac:dyDescent="0.2">
      <c r="B30" s="467"/>
      <c r="C30" s="27"/>
      <c r="D30" s="467"/>
      <c r="E30" s="467"/>
      <c r="F30" s="467"/>
      <c r="G30" s="1064" t="s">
        <v>1083</v>
      </c>
      <c r="H30" s="1064"/>
      <c r="I30" s="486" t="str">
        <f>IF(Distinctness!$G$17&gt;0,L17&amp;L18&amp;L19&amp;L20&amp;L21&amp;L22&amp;L23&amp;L24,"")</f>
        <v>BCDEFGHL</v>
      </c>
      <c r="J30" s="467"/>
      <c r="K30" s="467"/>
      <c r="L30" s="467"/>
    </row>
    <row r="31" spans="2:16" x14ac:dyDescent="0.2">
      <c r="B31" s="467"/>
      <c r="C31" s="27"/>
      <c r="D31" s="467"/>
      <c r="E31" s="467"/>
      <c r="F31" s="467"/>
      <c r="G31" s="467"/>
      <c r="H31" s="27"/>
      <c r="I31" s="467"/>
      <c r="J31" s="467"/>
      <c r="K31" s="467"/>
      <c r="L31" s="467"/>
    </row>
    <row r="33" spans="8:9" x14ac:dyDescent="0.2">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76171875" defaultRowHeight="15" x14ac:dyDescent="0.2"/>
  <sheetData>
    <row r="1" spans="2:14" ht="23.25" x14ac:dyDescent="0.3">
      <c r="B1" s="62" t="s">
        <v>308</v>
      </c>
      <c r="C1" s="62"/>
      <c r="D1" s="62"/>
      <c r="E1" s="62"/>
      <c r="F1" s="62"/>
    </row>
    <row r="3" spans="2:14" x14ac:dyDescent="0.2">
      <c r="B3" s="39" t="s">
        <v>198</v>
      </c>
      <c r="C3" s="39" t="s">
        <v>197</v>
      </c>
      <c r="D3" s="39" t="s">
        <v>196</v>
      </c>
      <c r="E3" s="39" t="s">
        <v>199</v>
      </c>
      <c r="F3" s="39" t="s">
        <v>314</v>
      </c>
      <c r="G3" s="39" t="s">
        <v>35</v>
      </c>
      <c r="H3" s="39" t="s">
        <v>195</v>
      </c>
      <c r="J3" s="59"/>
      <c r="K3" s="60"/>
      <c r="L3" s="60"/>
      <c r="M3" s="60"/>
      <c r="N3" s="60"/>
    </row>
    <row r="4" spans="2:14" x14ac:dyDescent="0.2">
      <c r="B4" s="26" t="s">
        <v>24</v>
      </c>
      <c r="C4" s="26" t="b">
        <f>CalcA!$AU$14</f>
        <v>0</v>
      </c>
      <c r="D4" s="40">
        <f>COUNTIF($C$4:$C$15,TRUE)</f>
        <v>0</v>
      </c>
      <c r="E4" s="26" t="str">
        <f>IF($C4,$B4,"")</f>
        <v/>
      </c>
      <c r="F4" s="104">
        <f>LEN($E4)</f>
        <v>0</v>
      </c>
      <c r="G4" s="104">
        <f>SUM($F$4:$F4)</f>
        <v>0</v>
      </c>
      <c r="H4" t="str">
        <f>IF($E4&lt;&gt;"",$E4&amp;IF($G4=$G$15,"",IF($G4&lt;$G$15-1,", ",Language!$E$191)),"")</f>
        <v/>
      </c>
      <c r="J4" s="1065" t="str">
        <f>Language!$E$189&amp;"  "&amp;$K$13&amp;"."</f>
        <v>Groups with fair play valuation:  .</v>
      </c>
      <c r="K4" s="1066"/>
      <c r="L4" s="1066"/>
      <c r="M4" s="1066"/>
      <c r="N4" s="1066"/>
    </row>
    <row r="5" spans="2:14" x14ac:dyDescent="0.2">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x14ac:dyDescent="0.2">
      <c r="B6" s="26" t="s">
        <v>21</v>
      </c>
      <c r="C6" s="801" t="b">
        <f>CalcC!$AU$14</f>
        <v>0</v>
      </c>
      <c r="E6" s="801" t="str">
        <f t="shared" si="0"/>
        <v/>
      </c>
      <c r="F6" s="104">
        <f t="shared" si="1"/>
        <v>0</v>
      </c>
      <c r="G6" s="104">
        <f>SUM($F$4:$F6)</f>
        <v>0</v>
      </c>
      <c r="H6" t="str">
        <f>IF($E6&lt;&gt;"",$E6&amp;IF($G6=$G$15,"",IF($G6&lt;$G$15-1,", ",Language!$E$191)),"")</f>
        <v/>
      </c>
    </row>
    <row r="7" spans="2:14" x14ac:dyDescent="0.2">
      <c r="B7" s="26" t="s">
        <v>25</v>
      </c>
      <c r="C7" s="801" t="b">
        <f>CalcD!$AU$14</f>
        <v>0</v>
      </c>
      <c r="E7" s="801" t="str">
        <f t="shared" si="0"/>
        <v/>
      </c>
      <c r="F7" s="104">
        <f t="shared" si="1"/>
        <v>0</v>
      </c>
      <c r="G7" s="104">
        <f>SUM($F$4:$F7)</f>
        <v>0</v>
      </c>
      <c r="H7" t="str">
        <f>IF($E7&lt;&gt;"",$E7&amp;IF($G7=$G$15,"",IF($G7&lt;$G$15-1,", ",Language!$E$191)),"")</f>
        <v/>
      </c>
      <c r="J7" s="59"/>
      <c r="K7" s="59"/>
      <c r="L7" s="59"/>
      <c r="M7" s="59"/>
      <c r="N7" s="59"/>
    </row>
    <row r="8" spans="2:14" x14ac:dyDescent="0.2">
      <c r="B8" s="26" t="s">
        <v>22</v>
      </c>
      <c r="C8" s="801" t="b">
        <f>CalcE!$AU$14</f>
        <v>0</v>
      </c>
      <c r="E8" s="801" t="str">
        <f t="shared" si="0"/>
        <v/>
      </c>
      <c r="F8" s="104">
        <f t="shared" si="1"/>
        <v>0</v>
      </c>
      <c r="G8" s="104">
        <f>SUM($F$4:$F8)</f>
        <v>0</v>
      </c>
      <c r="H8" t="str">
        <f>IF($E8&lt;&gt;"",$E8&amp;IF($G8=$G$15,"",IF($G8&lt;$G$15-1,", ",Language!$E$191)),"")</f>
        <v/>
      </c>
      <c r="J8" s="59"/>
      <c r="K8" s="59"/>
      <c r="L8" s="59"/>
      <c r="M8" s="59"/>
      <c r="N8" s="59"/>
    </row>
    <row r="9" spans="2:14" x14ac:dyDescent="0.2">
      <c r="B9" s="26" t="s">
        <v>23</v>
      </c>
      <c r="C9" s="801" t="b">
        <f>CalcF!$AU$14</f>
        <v>0</v>
      </c>
      <c r="E9" s="801" t="str">
        <f t="shared" si="0"/>
        <v/>
      </c>
      <c r="F9" s="104">
        <f t="shared" si="1"/>
        <v>0</v>
      </c>
      <c r="G9" s="104">
        <f>SUM($F$4:$F9)</f>
        <v>0</v>
      </c>
      <c r="H9" t="str">
        <f>IF($E9&lt;&gt;"",$E9&amp;IF($G9=$G$15,"",IF($G9&lt;$G$15-1,", ",Language!$E$191)),"")</f>
        <v/>
      </c>
    </row>
    <row r="10" spans="2:14" x14ac:dyDescent="0.2">
      <c r="B10" s="26" t="s">
        <v>272</v>
      </c>
      <c r="C10" s="801" t="b">
        <f>CalcG!$AU$14</f>
        <v>0</v>
      </c>
      <c r="E10" s="801" t="str">
        <f t="shared" si="0"/>
        <v/>
      </c>
      <c r="F10" s="104">
        <f t="shared" si="1"/>
        <v>0</v>
      </c>
      <c r="G10" s="104">
        <f>SUM($F$4:$F10)</f>
        <v>0</v>
      </c>
      <c r="H10" t="str">
        <f>IF($E10&lt;&gt;"",$E10&amp;IF($G10=$G$15,"",IF($G10&lt;$G$15-1,", ",Language!$E$191)),"")</f>
        <v/>
      </c>
    </row>
    <row r="11" spans="2:14" x14ac:dyDescent="0.2">
      <c r="B11" s="26" t="s">
        <v>31</v>
      </c>
      <c r="C11" s="801" t="b">
        <f>CalcH!$AU$14</f>
        <v>0</v>
      </c>
      <c r="E11" s="801" t="str">
        <f t="shared" si="0"/>
        <v/>
      </c>
      <c r="F11" s="104">
        <f t="shared" si="1"/>
        <v>0</v>
      </c>
      <c r="G11" s="104">
        <f>SUM($F$4:$F11)</f>
        <v>0</v>
      </c>
      <c r="H11" t="str">
        <f>IF($E11&lt;&gt;"",$E11&amp;IF($G11=$G$15,"",IF($G11&lt;$G$15-1,", ",Language!$E$191)),"")</f>
        <v/>
      </c>
    </row>
    <row r="12" spans="2:14" x14ac:dyDescent="0.2">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x14ac:dyDescent="0.2">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
      </c>
      <c r="L13" s="1069"/>
      <c r="M13" s="1069"/>
      <c r="N13" s="1069"/>
    </row>
    <row r="14" spans="2:14" x14ac:dyDescent="0.2">
      <c r="B14" s="374" t="s">
        <v>33</v>
      </c>
      <c r="C14" s="801" t="b">
        <f>CalcK!$AU$14</f>
        <v>0</v>
      </c>
      <c r="E14" s="801" t="str">
        <f t="shared" si="0"/>
        <v/>
      </c>
      <c r="F14" s="374">
        <f t="shared" si="1"/>
        <v>0</v>
      </c>
      <c r="G14" s="374">
        <f>SUM($F$4:$F14)</f>
        <v>0</v>
      </c>
      <c r="H14" t="str">
        <f>IF($E14&lt;&gt;"",$E14&amp;IF($G14=$G$15,"",IF($G14&lt;$G$15-1,", ",Language!$E$191)),"")</f>
        <v/>
      </c>
    </row>
    <row r="15" spans="2:14" x14ac:dyDescent="0.2">
      <c r="B15" s="374" t="s">
        <v>34</v>
      </c>
      <c r="C15" s="801" t="b">
        <f>CalcL!$AU$14</f>
        <v>0</v>
      </c>
      <c r="E15" s="801" t="str">
        <f t="shared" si="0"/>
        <v/>
      </c>
      <c r="F15" s="374">
        <f t="shared" si="1"/>
        <v>0</v>
      </c>
      <c r="G15" s="374">
        <f>SUM($F$4:$F15)</f>
        <v>0</v>
      </c>
      <c r="H15" t="str">
        <f>IF($E15&lt;&gt;"",$E15&amp;IF($G15=$G$15,"",IF($G15&lt;$G$15-1,", ",Language!$E$191)),"")</f>
        <v/>
      </c>
      <c r="J15" s="65"/>
      <c r="K15" s="65"/>
    </row>
    <row r="16" spans="2:14" ht="15.75" thickBot="1" x14ac:dyDescent="0.25">
      <c r="B16" s="374"/>
      <c r="C16" s="374"/>
      <c r="E16" s="374"/>
      <c r="F16" s="374"/>
      <c r="G16" s="374"/>
      <c r="J16" s="66"/>
      <c r="K16" s="66"/>
    </row>
    <row r="17" spans="2:7" ht="15.75" thickBot="1" x14ac:dyDescent="0.25">
      <c r="B17" s="374"/>
      <c r="C17" s="374"/>
      <c r="E17" s="374"/>
      <c r="F17" s="41" t="s">
        <v>1630</v>
      </c>
      <c r="G17" s="532">
        <f>CalcA!$L$9+CalcB!$L$9+CalcC!$L$9+CalcD!$L$9+CalcE!$L$9+CalcF!$L$9+CalcG!$L$9+CalcH!$L$9+CalcI!$L$9+CalcJ!$L$9+CalcK!$L$9+CalcL!$L$9</f>
        <v>66</v>
      </c>
    </row>
    <row r="18" spans="2:7" x14ac:dyDescent="0.2">
      <c r="B18" s="374"/>
      <c r="C18" s="374"/>
      <c r="E18" s="374"/>
      <c r="F18" s="374"/>
      <c r="G18" s="374"/>
    </row>
    <row r="19" spans="2:7" x14ac:dyDescent="0.2">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6.1875" style="765" customWidth="1"/>
    <col min="42" max="42" width="5.91796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3" width="2.6875" style="765"/>
    <col min="54" max="54" width="2.95703125" style="765" bestFit="1" customWidth="1"/>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Mexico</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South Africa</v>
      </c>
      <c r="E6" s="875"/>
      <c r="F6" s="675"/>
      <c r="G6" s="686"/>
      <c r="H6" s="665">
        <f>SUMIFS($R$22:$R$27,$P$22:$P$27,$D6)+SUMIFS($S$22:$S$27,$Q$22:$Q$27,$D6)</f>
        <v>1</v>
      </c>
      <c r="I6" s="665">
        <f>SUMIFS($S$22:$S$27,$P$22:$P$27,$D6)+SUMIFS($R$22:$R$27,$Q$22:$Q$27,$D6)</f>
        <v>7</v>
      </c>
      <c r="J6" s="664">
        <f t="shared" si="0"/>
        <v>-6</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Rep. of Korea</v>
      </c>
      <c r="E7" s="875"/>
      <c r="F7" s="675"/>
      <c r="G7" s="686"/>
      <c r="H7" s="665">
        <f>SUMIFS($R$22:$R$27,$P$22:$P$27,$D7)+SUMIFS($S$22:$S$27,$Q$22:$Q$27,$D7)</f>
        <v>2</v>
      </c>
      <c r="I7" s="665">
        <f>SUMIFS($S$22:$S$27,$P$22:$P$27,$D7)+SUMIFS($R$22:$R$27,$Q$22:$Q$27,$D7)</f>
        <v>5</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Czech Rep.</v>
      </c>
      <c r="E8" s="875"/>
      <c r="F8" s="675"/>
      <c r="G8" s="686"/>
      <c r="H8" s="665">
        <f>SUMIFS($R$22:$R$27,$P$22:$P$27,$D8)+SUMIFS($S$22:$S$27,$Q$22:$Q$27,$D8)</f>
        <v>6</v>
      </c>
      <c r="I8" s="665">
        <f>SUMIFS($S$22:$S$27,$P$22:$P$27,$D8)+SUMIFS($R$22:$R$27,$Q$22:$Q$27,$D8)</f>
        <v>3</v>
      </c>
      <c r="J8" s="664">
        <f t="shared" si="0"/>
        <v>3</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South Africa</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Rep. of Korea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Czech Rep.</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Mexico</v>
      </c>
      <c r="I21" s="722" t="str">
        <v>Czech Rep.</v>
      </c>
      <c r="J21" s="722" t="str">
        <v>Rep. of Korea</v>
      </c>
      <c r="K21" s="723" t="str">
        <v>South Africa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Mexico</v>
      </c>
      <c r="E22" s="796">
        <f>VLOOKUP($D22,$D$5:$K$8,8,0)</f>
        <v>9</v>
      </c>
      <c r="F22" s="727">
        <f>VLOOKUP($D22,$D$5:$K$8,5,0)</f>
        <v>8</v>
      </c>
      <c r="G22" s="797">
        <f>VLOOKUP($D22,$D$5:$K$8,6,0)</f>
        <v>2</v>
      </c>
      <c r="H22" s="726" t="str">
        <f t="array" ref="H22:K25">IFERROR(VLOOKUP($D$22:$D$25&amp;$H$21:$K$21,$Z$22:$AA$33,2,0),"")</f>
        <v/>
      </c>
      <c r="I22" s="727" t="str">
        <v>3 - 2</v>
      </c>
      <c r="J22" s="727" t="str">
        <v>2 - 0</v>
      </c>
      <c r="K22" s="793" t="str">
        <v>3 - 0</v>
      </c>
      <c r="L22" s="781" t="b">
        <f>OR($E22&gt;0,$G22&gt;0)</f>
        <v>1</v>
      </c>
      <c r="M22" s="781" t="b">
        <f t="array" ref="M22:M25">VLOOKUP($D$22:$D$25,$D$14:$AV$17,45,0)</f>
        <v>0</v>
      </c>
      <c r="N22" s="665">
        <f>VLOOKUP($D22,$D$5:$Q$8,14,0)</f>
        <v>15</v>
      </c>
      <c r="O22" s="732" t="s">
        <v>26</v>
      </c>
      <c r="P22" s="768" t="str">
        <f>INDEX('World Cup'!$B$13:$AJ$38,1,1+(CODE($B$1)-65)*3)</f>
        <v>Mexico</v>
      </c>
      <c r="Q22" s="769" t="str">
        <f>INDEX('World Cup'!$B$13:$AJ$38,1,2+(CODE($B$1)-65)*3)</f>
        <v>South Africa</v>
      </c>
      <c r="R22" s="769">
        <f>IF(OR(INDEX('World Cup'!$B$14:$AJ$39,1,1+(CODE($B$1)-65)*3)="",INDEX('World Cup'!$B$14:$AJ$39,1,2+(CODE($B$1)-65)*3)=""),"",INDEX('World Cup'!$B$14:$AJ$39,1,1+(CODE($B$1)-65)*3))</f>
        <v>3</v>
      </c>
      <c r="S22" s="770">
        <f>IF(OR(INDEX('World Cup'!$B$14:$AJ$39,1,1+(CODE($B$1)-65)*3)="",INDEX('World Cup'!$B$14:$AJ$39,1,2+(CODE($B$1)-65)*3)=""),"",INDEX('World Cup'!$B$14:$AJ$39,1,2+(CODE($B$1)-65)*3))</f>
        <v>0</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3</v>
      </c>
      <c r="X22" s="738">
        <f t="shared" ref="X22:X27" si="32">IF(OR(R22="",S22=""),0,R22)</f>
        <v>3</v>
      </c>
      <c r="Y22" s="739">
        <f t="shared" ref="Y22:Y27" si="33">IF(OR(R22="",S22=""),0,S22)</f>
        <v>0</v>
      </c>
      <c r="Z22" s="740" t="str">
        <f t="shared" ref="Z22:Z27" si="34">P22&amp;Q22</f>
        <v>MexicoSouth Africa</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Czech Rep.</v>
      </c>
      <c r="E23" s="791">
        <f t="shared" ref="E23:E25" si="36">VLOOKUP($D23,$D$5:$K$8,8,0)</f>
        <v>6</v>
      </c>
      <c r="F23" s="664">
        <f t="shared" ref="F23:F25" si="37">VLOOKUP($D23,$D$5:$K$8,5,0)</f>
        <v>6</v>
      </c>
      <c r="G23" s="798">
        <f t="shared" ref="G23:G25" si="38">VLOOKUP($D23,$D$5:$K$8,6,0)</f>
        <v>3</v>
      </c>
      <c r="H23" s="728" t="str">
        <v>2 - 3</v>
      </c>
      <c r="I23" s="729" t="str">
        <v/>
      </c>
      <c r="J23" s="664" t="str">
        <v>2 - 0</v>
      </c>
      <c r="K23" s="794" t="str">
        <v>2 - 0</v>
      </c>
      <c r="L23" s="781" t="b">
        <f t="shared" ref="L23:L25" si="39">OR($E23&gt;0,$G23&gt;0)</f>
        <v>1</v>
      </c>
      <c r="M23" s="781" t="b">
        <v>0</v>
      </c>
      <c r="N23" s="665">
        <f t="shared" ref="N23:N25" si="40">VLOOKUP($D23,$D$5:$Q$8,14,0)</f>
        <v>41</v>
      </c>
      <c r="O23" s="744" t="s">
        <v>27</v>
      </c>
      <c r="P23" s="771" t="str">
        <f>INDEX('World Cup'!$B$13:$AJ$38,6,1+(CODE($B$1)-65)*3)</f>
        <v>Rep. of Korea</v>
      </c>
      <c r="Q23" s="772" t="str">
        <f>INDEX('World Cup'!$B$13:$AJ$38,6,2+(CODE($B$1)-65)*3)</f>
        <v>Czech Rep.</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Rep. of KoreaCzech Rep.</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Rep. of Korea</v>
      </c>
      <c r="E24" s="791">
        <f t="shared" si="36"/>
        <v>3</v>
      </c>
      <c r="F24" s="664">
        <f t="shared" si="37"/>
        <v>2</v>
      </c>
      <c r="G24" s="798">
        <f t="shared" si="38"/>
        <v>5</v>
      </c>
      <c r="H24" s="728" t="str">
        <v>0 - 2</v>
      </c>
      <c r="I24" s="664" t="str">
        <v>0 - 2</v>
      </c>
      <c r="J24" s="729" t="str">
        <v/>
      </c>
      <c r="K24" s="794" t="str">
        <v>2 - 1</v>
      </c>
      <c r="L24" s="781" t="b">
        <f t="shared" si="39"/>
        <v>1</v>
      </c>
      <c r="M24" s="781" t="b">
        <v>0</v>
      </c>
      <c r="N24" s="665">
        <f t="shared" si="40"/>
        <v>25</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Czech Rep.South Africa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South Africa</v>
      </c>
      <c r="E25" s="799">
        <f t="shared" si="36"/>
        <v>0</v>
      </c>
      <c r="F25" s="731">
        <f t="shared" si="37"/>
        <v>1</v>
      </c>
      <c r="G25" s="800">
        <f t="shared" si="38"/>
        <v>7</v>
      </c>
      <c r="H25" s="730" t="str">
        <v>0 - 3</v>
      </c>
      <c r="I25" s="731" t="str">
        <v>0 - 2</v>
      </c>
      <c r="J25" s="731" t="str">
        <v>1 - 2</v>
      </c>
      <c r="K25" s="795" t="str">
        <v/>
      </c>
      <c r="L25" s="781" t="b">
        <f t="shared" si="39"/>
        <v>1</v>
      </c>
      <c r="M25" s="781" t="b">
        <v>0</v>
      </c>
      <c r="N25" s="665">
        <f t="shared" si="40"/>
        <v>60</v>
      </c>
      <c r="O25" s="744" t="s">
        <v>29</v>
      </c>
      <c r="P25" s="771" t="str">
        <f>INDEX('World Cup'!$B$13:$AJ$38,16,1+(CODE($B$1)-65)*3)</f>
        <v>Mexico</v>
      </c>
      <c r="Q25" s="772" t="str">
        <f>INDEX('World Cup'!$B$13:$AJ$38,16,2+(CODE($B$1)-65)*3)</f>
        <v>Rep. of Korea</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MexicoRep. of Korea</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2</v>
      </c>
      <c r="S26" s="773">
        <f>IF(OR(INDEX('World Cup'!$B$14:$AJ$39,21,1+(CODE($B$1)-65)*3)="",INDEX('World Cup'!$B$14:$AJ$39,21,2+(CODE($B$1)-65)*3)=""),"",INDEX('World Cup'!$B$14:$AJ$39,21,2+(CODE($B$1)-65)*3))</f>
        <v>3</v>
      </c>
      <c r="T26" s="664">
        <f t="shared" si="28"/>
        <v>1</v>
      </c>
      <c r="U26" s="746">
        <f t="shared" si="29"/>
        <v>0</v>
      </c>
      <c r="V26" s="664">
        <f t="shared" si="30"/>
        <v>3</v>
      </c>
      <c r="W26" s="747">
        <f t="shared" si="31"/>
        <v>-1</v>
      </c>
      <c r="X26" s="748">
        <f t="shared" si="32"/>
        <v>2</v>
      </c>
      <c r="Y26" s="749">
        <f t="shared" si="33"/>
        <v>3</v>
      </c>
      <c r="Z26" s="750" t="str">
        <f t="shared" si="34"/>
        <v>Czech Rep.Mexico</v>
      </c>
      <c r="AA26" s="751" t="str">
        <f>IF($T26,$X26&amp;Language!$E$197&amp;$Y26,"")</f>
        <v>2 - 3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1</v>
      </c>
      <c r="S27" s="776">
        <f>IF(OR(INDEX('World Cup'!$B$14:$AJ$39,26,1+(CODE($B$1)-65)*3)="",INDEX('World Cup'!$B$14:$AJ$39,26,2+(CODE($B$1)-65)*3)=""),"",INDEX('World Cup'!$B$14:$AJ$39,26,2+(CODE($B$1)-65)*3))</f>
        <v>2</v>
      </c>
      <c r="T27" s="756">
        <f t="shared" si="28"/>
        <v>1</v>
      </c>
      <c r="U27" s="757">
        <f t="shared" si="29"/>
        <v>0</v>
      </c>
      <c r="V27" s="756">
        <f t="shared" si="30"/>
        <v>3</v>
      </c>
      <c r="W27" s="758">
        <f t="shared" si="31"/>
        <v>-1</v>
      </c>
      <c r="X27" s="759">
        <f t="shared" si="32"/>
        <v>1</v>
      </c>
      <c r="Y27" s="760">
        <f t="shared" si="33"/>
        <v>2</v>
      </c>
      <c r="Z27" s="761" t="str">
        <f t="shared" si="34"/>
        <v>South AfricaRep. of Korea</v>
      </c>
      <c r="AA27" s="762" t="str">
        <f>IF($T27,$X27&amp;Language!$E$197&amp;$Y27,"")</f>
        <v>1 - 2</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0 - 3</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0 - 2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3 - 2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2 - 1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20</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Canada</v>
      </c>
      <c r="E5" s="874"/>
      <c r="F5" s="675"/>
      <c r="G5" s="686"/>
      <c r="H5" s="665">
        <f>SUMIFS($R$22:$R$27,$P$22:$P$27,$D5)+SUMIFS($S$22:$S$27,$Q$22:$Q$27,$D5)</f>
        <v>4</v>
      </c>
      <c r="I5" s="665">
        <f>SUMIFS($S$22:$S$27,$P$22:$P$27,$D5)+SUMIFS($R$22:$R$27,$Q$22:$Q$27,$D5)</f>
        <v>5</v>
      </c>
      <c r="J5" s="664">
        <f t="shared" ref="J5:J8" si="0">H5-I5</f>
        <v>-1</v>
      </c>
      <c r="K5" s="676">
        <f>M5*3+N5</f>
        <v>3</v>
      </c>
      <c r="L5" s="665">
        <f>M5+N5+O5</f>
        <v>3</v>
      </c>
      <c r="M5" s="665">
        <f>SUMPRODUCT(($P$22:$P$27=D5)*($R$22:$R$27&gt;$S$22:$S$27))+SUMPRODUCT(($Q$22:$Q$27=D5)*($R$22:$R$27&lt;$S$22:$S$27))</f>
        <v>1</v>
      </c>
      <c r="N5" s="665">
        <f>SUMPRODUCT(($P$22:$Q$27=D5)*($R$22:$R$27=$S$22:$S$27)*($R$22:$R$27&lt;&gt;"")*($S$22:$S$27&lt;&gt;""))</f>
        <v>0</v>
      </c>
      <c r="O5" s="665">
        <f>SUMPRODUCT(($P$22:$P$27=D5)*($R$22:$R$27&lt;$S$22:$S$27))+SUMPRODUCT(($Q$22:$Q$27=D5)*($R$22:$R$27&gt;$S$22:$S$27))</f>
        <v>2</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Bosnia/Herzeg.</v>
      </c>
      <c r="E6" s="875"/>
      <c r="F6" s="675"/>
      <c r="G6" s="686"/>
      <c r="H6" s="665">
        <f>SUMIFS($R$22:$R$27,$P$22:$P$27,$D6)+SUMIFS($S$22:$S$27,$Q$22:$Q$27,$D6)</f>
        <v>5</v>
      </c>
      <c r="I6" s="665">
        <f>SUMIFS($S$22:$S$27,$P$22:$P$27,$D6)+SUMIFS($R$22:$R$27,$Q$22:$Q$27,$D6)</f>
        <v>5</v>
      </c>
      <c r="J6" s="664">
        <f t="shared" si="0"/>
        <v>0</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Qatar</v>
      </c>
      <c r="E7" s="875"/>
      <c r="F7" s="675"/>
      <c r="G7" s="686"/>
      <c r="H7" s="665">
        <f>SUMIFS($R$22:$R$27,$P$22:$P$27,$D7)+SUMIFS($S$22:$S$27,$Q$22:$Q$27,$D7)</f>
        <v>1</v>
      </c>
      <c r="I7" s="665">
        <f>SUMIFS($S$22:$S$27,$P$22:$P$27,$D7)+SUMIFS($R$22:$R$27,$Q$22:$Q$27,$D7)</f>
        <v>7</v>
      </c>
      <c r="J7" s="664">
        <f t="shared" si="0"/>
        <v>-6</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Switzerland</v>
      </c>
      <c r="E8" s="875"/>
      <c r="F8" s="675"/>
      <c r="G8" s="686"/>
      <c r="H8" s="665">
        <f>SUMIFS($R$22:$R$27,$P$22:$P$27,$D8)+SUMIFS($S$22:$S$27,$Q$22:$Q$27,$D8)</f>
        <v>7</v>
      </c>
      <c r="I8" s="665">
        <f>SUMIFS($S$22:$S$27,$P$22:$P$27,$D8)+SUMIFS($R$22:$R$27,$Q$22:$Q$27,$D8)</f>
        <v>0</v>
      </c>
      <c r="J8" s="664">
        <f t="shared" si="0"/>
        <v>7</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Canada</v>
      </c>
      <c r="E14" s="674">
        <f>RANK(F14,$F$14:$F$17,1)</f>
        <v>3</v>
      </c>
      <c r="F14" s="675">
        <f>G14+ROW()/1000+(D14="")*10</f>
        <v>3.0139999999999998</v>
      </c>
      <c r="G14" s="814">
        <f>AS14</f>
        <v>3</v>
      </c>
      <c r="H14" s="679"/>
      <c r="I14" s="678">
        <f>RANK($K5,$K$5:$K$8)</f>
        <v>3</v>
      </c>
      <c r="J14" s="790"/>
      <c r="K14" s="696">
        <f t="array" ref="K14">SUMPRODUCT($U$22:$U$27*($P$22:$P$27=$D14)*ISNUMBER(MATCH($Q$22:$Q$27,IF($I$14:$I$17=$I14,$D$14:$D$17,""),0)))+SUMPRODUCT($V$22:$V$27*($Q$22:$Q$27=$D14)*ISNUMBER(MATCH($P$22:$P$27,IF($I$14:$I$17=$I14,$D$14:$D$17,""),0)))</f>
        <v>0</v>
      </c>
      <c r="L14" s="697">
        <f>COUNTIFS($K$14:$K$17,"&gt;"&amp;$K14,$I$14:$I$17,"="&amp;$I14)</f>
        <v>0</v>
      </c>
      <c r="M14" s="681">
        <f t="shared" ref="M14:M17" si="10">I14+L14</f>
        <v>3</v>
      </c>
      <c r="N14" s="679"/>
      <c r="O14" s="696">
        <f t="array" ref="O14">SUMPRODUCT($W$22:$W$27*($P$22:$P$27=$D14)*ISNUMBER(MATCH($Q$22:$Q$27,IF($I$14:$I$17=$I14,$D$14:$D$17,""),0)))+SUMPRODUCT(-$W$22:$W$27*($Q$22:$Q$27=$D14)*ISNUMBER(MATCH($P$22:$P$27,IF($I$14:$I$17=$I14,$D$14:$D$17,""),0)))</f>
        <v>0</v>
      </c>
      <c r="P14" s="697">
        <f>COUNTIFS($O$14:$O$17,"&gt;"&amp;$O14,$M$14:$M$17,"="&amp;$M14)</f>
        <v>0</v>
      </c>
      <c r="Q14" s="681">
        <f t="shared" ref="Q14:Q17" si="11">M14+P14</f>
        <v>3</v>
      </c>
      <c r="R14" s="679"/>
      <c r="S14" s="696">
        <f t="array" ref="S14">SUMPRODUCT($X$22:$X$27*($P$22:$P$27=$D14)*ISNUMBER(MATCH($Q$22:$Q$27,IF($I$14:$I$17=$I14,$D$14:$D$17,""),0)))+SUMPRODUCT($Y$22:$Y$27*($Q$22:$Q$27=$D14)*ISNUMBER(MATCH($P$22:$P$27,IF($I$14:$I$17=$I14,$D$14:$D$17,""),0)))</f>
        <v>0</v>
      </c>
      <c r="T14" s="697">
        <f>COUNTIFS($S$14:$S$17,"&gt;"&amp;$S14,$Q$14:$Q$17,"="&amp;$Q14)</f>
        <v>0</v>
      </c>
      <c r="U14" s="681">
        <f t="shared" ref="U14:U17" si="12">Q14+T14</f>
        <v>3</v>
      </c>
      <c r="V14" s="790"/>
      <c r="W14" s="696">
        <f t="array" ref="W14">SUMPRODUCT($U$22:$U$27*($P$22:$P$27=$D14)*ISNUMBER(MATCH($Q$22:$Q$27,IF($U$14:$U$17=$U14,$D$14:$D$17,""),0)))+SUMPRODUCT($V$22:$V$27*($Q$22:$Q$27=$D14)*ISNUMBER(MATCH($P$22:$P$27,IF($U$14:$U$17=$U14,$D$14:$D$17,""),0)))</f>
        <v>0</v>
      </c>
      <c r="X14" s="697">
        <f>COUNTIFS($W$14:$W$17,"&gt;"&amp;$W14,$U$14:$U$17,"="&amp;$U14)</f>
        <v>0</v>
      </c>
      <c r="Y14" s="681">
        <f t="shared" ref="Y14:Y17" si="13">U14+X14</f>
        <v>3</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3</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3</v>
      </c>
      <c r="AH14" s="790"/>
      <c r="AI14" s="698">
        <f>COUNTIFS($J$5:$J$8,"&gt;"&amp;$J5,$AG$14:$AG$17,"="&amp;$AG14)</f>
        <v>0</v>
      </c>
      <c r="AJ14" s="699">
        <f>AG14+AI14</f>
        <v>3</v>
      </c>
      <c r="AK14" s="679"/>
      <c r="AL14" s="698">
        <f>COUNTIFS($H$5:$H$8,"&gt;"&amp;$H5,$AJ$14:$AJ$17,"="&amp;$AJ14)</f>
        <v>0</v>
      </c>
      <c r="AM14" s="699">
        <f>AJ14+AL14</f>
        <v>3</v>
      </c>
      <c r="AN14" s="679"/>
      <c r="AO14" s="698">
        <f>COUNTIFS($P$5:$P$8,"&gt;"&amp;$P5,$AM$14:$AM$17,"="&amp;$AM14)</f>
        <v>0</v>
      </c>
      <c r="AP14" s="699">
        <f t="shared" ref="AP14:AP17" si="16">AM14+AO14</f>
        <v>3</v>
      </c>
      <c r="AQ14" s="679"/>
      <c r="AR14" s="698">
        <f>COUNTIFS($R$5:$R$8,"&gt;"&amp;$R5,$AP$14:$AP$17,"="&amp;$AP14)</f>
        <v>0</v>
      </c>
      <c r="AS14" s="699">
        <f t="shared" ref="AS14:AS17" si="17">AP14+AR14</f>
        <v>3</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Bosnia/Herzeg.</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Qatar</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Switzerland</v>
      </c>
      <c r="I21" s="722" t="str">
        <v>Bosnia/Herzeg.</v>
      </c>
      <c r="J21" s="722" t="str">
        <v>Canada</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Switzerland</v>
      </c>
      <c r="E22" s="796">
        <f>VLOOKUP($D22,$D$5:$K$8,8,0)</f>
        <v>9</v>
      </c>
      <c r="F22" s="727">
        <f>VLOOKUP($D22,$D$5:$K$8,5,0)</f>
        <v>7</v>
      </c>
      <c r="G22" s="797">
        <f>VLOOKUP($D22,$D$5:$K$8,6,0)</f>
        <v>0</v>
      </c>
      <c r="H22" s="726" t="str">
        <f t="array" ref="H22:K25">IFERROR(VLOOKUP($D$22:$D$25&amp;$H$21:$K$21,$Z$22:$AA$33,2,0),"")</f>
        <v/>
      </c>
      <c r="I22" s="727" t="str">
        <v>2 - 0</v>
      </c>
      <c r="J22" s="727" t="str">
        <v>2 - 0</v>
      </c>
      <c r="K22" s="793" t="str">
        <v>3 - 0</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2</v>
      </c>
      <c r="S22" s="770">
        <f>IF(OR(INDEX('World Cup'!$B$14:$AJ$39,1,1+(CODE($B$1)-65)*3)="",INDEX('World Cup'!$B$14:$AJ$39,1,2+(CODE($B$1)-65)*3)=""),"",INDEX('World Cup'!$B$14:$AJ$39,1,2+(CODE($B$1)-65)*3))</f>
        <v>3</v>
      </c>
      <c r="T22" s="734">
        <f t="shared" ref="T22:T25" si="28">IF(AND(P22&lt;&gt;"",Q22&lt;&gt;"",P22&lt;&gt;Q22,R22&lt;&gt;"",S22&lt;&gt;""),1,0)</f>
        <v>1</v>
      </c>
      <c r="U22" s="735">
        <f t="shared" ref="U22:U25" si="29">IF($T22=0,0,IF($R22&gt;$S22,3,IF($R22=$S22,1,0)))</f>
        <v>0</v>
      </c>
      <c r="V22" s="736">
        <f t="shared" ref="V22:V25" si="30">IF($T22=0,0,IF($R22&lt;$S22,3,IF($R22=$S22,1,0)))</f>
        <v>3</v>
      </c>
      <c r="W22" s="737">
        <f t="shared" ref="W22:W25" si="31">IF(OR(R22="",S22=""),0,R22-S22)</f>
        <v>-1</v>
      </c>
      <c r="X22" s="738">
        <f t="shared" ref="X22:X25" si="32">IF(OR(R22="",S22=""),0,R22)</f>
        <v>2</v>
      </c>
      <c r="Y22" s="739">
        <f t="shared" ref="Y22:Y25" si="33">IF(OR(R22="",S22=""),0,S22)</f>
        <v>3</v>
      </c>
      <c r="Z22" s="740" t="str">
        <f t="shared" ref="Z22:Z25" si="34">P22&amp;Q22</f>
        <v>CanadaBosnia/Herzeg.</v>
      </c>
      <c r="AA22" s="741" t="str">
        <f>IF($T22,$X22&amp;Language!$E$197&amp;$Y22,"")</f>
        <v>2 - 3</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Bosnia/Herzeg.</v>
      </c>
      <c r="E23" s="791">
        <f t="shared" ref="E23:E25" si="36">VLOOKUP($D23,$D$5:$K$8,8,0)</f>
        <v>6</v>
      </c>
      <c r="F23" s="664">
        <f t="shared" ref="F23:F25" si="37">VLOOKUP($D23,$D$5:$K$8,5,0)</f>
        <v>5</v>
      </c>
      <c r="G23" s="798">
        <f t="shared" ref="G23:G25" si="38">VLOOKUP($D23,$D$5:$K$8,6,0)</f>
        <v>5</v>
      </c>
      <c r="H23" s="728" t="str">
        <v>0 - 2</v>
      </c>
      <c r="I23" s="729" t="str">
        <v/>
      </c>
      <c r="J23" s="664" t="str">
        <v>3 - 2</v>
      </c>
      <c r="K23" s="794" t="str">
        <v>2 - 1</v>
      </c>
      <c r="L23" s="781" t="b">
        <f t="shared" ref="L23:L25" si="39">OR($E23&gt;0,$G23&gt;0)</f>
        <v>1</v>
      </c>
      <c r="M23" s="781" t="b">
        <v>0</v>
      </c>
      <c r="N23" s="665">
        <f t="shared" ref="N23:N25" si="40">VLOOKUP($D23,$D$5:$Q$8,14,0)</f>
        <v>65</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QatarSwitzerland</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Canada</v>
      </c>
      <c r="E24" s="791">
        <f t="shared" si="36"/>
        <v>3</v>
      </c>
      <c r="F24" s="664">
        <f t="shared" si="37"/>
        <v>4</v>
      </c>
      <c r="G24" s="798">
        <f t="shared" si="38"/>
        <v>5</v>
      </c>
      <c r="H24" s="728" t="str">
        <v>0 - 2</v>
      </c>
      <c r="I24" s="664" t="str">
        <v>2 - 3</v>
      </c>
      <c r="J24" s="729" t="str">
        <v/>
      </c>
      <c r="K24" s="794" t="str">
        <v>2 - 0</v>
      </c>
      <c r="L24" s="781" t="b">
        <f t="shared" si="39"/>
        <v>1</v>
      </c>
      <c r="M24" s="781" t="b">
        <v>0</v>
      </c>
      <c r="N24" s="665">
        <f t="shared" si="40"/>
        <v>30</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SwitzerlandBosnia/Herzeg.</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Qatar</v>
      </c>
      <c r="E25" s="799">
        <f t="shared" si="36"/>
        <v>0</v>
      </c>
      <c r="F25" s="731">
        <f t="shared" si="37"/>
        <v>1</v>
      </c>
      <c r="G25" s="800">
        <f t="shared" si="38"/>
        <v>7</v>
      </c>
      <c r="H25" s="730" t="str">
        <v>0 - 3</v>
      </c>
      <c r="I25" s="731" t="str">
        <v>1 - 2</v>
      </c>
      <c r="J25" s="731" t="str">
        <v>0 - 2</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CanadaQatar</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2</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2</v>
      </c>
      <c r="Y26" s="749">
        <f t="shared" ref="Y26:Y27" si="47">IF(OR(R26="",S26=""),0,S26)</f>
        <v>0</v>
      </c>
      <c r="Z26" s="750" t="str">
        <f t="shared" ref="Z26:Z27" si="48">P26&amp;Q26</f>
        <v>SwitzerlandCanada</v>
      </c>
      <c r="AA26" s="751" t="str">
        <f>IF($T26,$X26&amp;Language!$E$197&amp;$Y26,"")</f>
        <v>2 - 0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2</v>
      </c>
      <c r="S27" s="776">
        <f>IF(OR(INDEX('World Cup'!$B$14:$AJ$39,26,1+(CODE($B$1)-65)*3)="",INDEX('World Cup'!$B$14:$AJ$39,26,2+(CODE($B$1)-65)*3)=""),"",INDEX('World Cup'!$B$14:$AJ$39,26,2+(CODE($B$1)-65)*3))</f>
        <v>1</v>
      </c>
      <c r="T27" s="756">
        <f t="shared" si="42"/>
        <v>1</v>
      </c>
      <c r="U27" s="757">
        <f t="shared" si="43"/>
        <v>3</v>
      </c>
      <c r="V27" s="756">
        <f t="shared" si="44"/>
        <v>0</v>
      </c>
      <c r="W27" s="758">
        <f t="shared" si="45"/>
        <v>1</v>
      </c>
      <c r="X27" s="759">
        <f t="shared" si="46"/>
        <v>2</v>
      </c>
      <c r="Y27" s="760">
        <f t="shared" si="47"/>
        <v>1</v>
      </c>
      <c r="Z27" s="761" t="str">
        <f t="shared" si="48"/>
        <v>Bosnia/Herzeg.Qatar</v>
      </c>
      <c r="AA27" s="762" t="str">
        <f>IF($T27,$X27&amp;Language!$E$197&amp;$Y27,"")</f>
        <v>2 - 1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3 - 2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0 - 2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0 - 2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1 - 2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Brazil</v>
      </c>
      <c r="E5" s="874"/>
      <c r="F5" s="675"/>
      <c r="G5" s="686"/>
      <c r="H5" s="665">
        <f>SUMIFS($R$22:$R$27,$P$22:$P$27,$D5)+SUMIFS($S$22:$S$27,$Q$22:$Q$27,$D5)</f>
        <v>8</v>
      </c>
      <c r="I5" s="665">
        <f>SUMIFS($S$22:$S$27,$P$22:$P$27,$D5)+SUMIFS($R$22:$R$27,$Q$22:$Q$27,$D5)</f>
        <v>1</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Morocco</v>
      </c>
      <c r="E6" s="875"/>
      <c r="F6" s="675"/>
      <c r="G6" s="686"/>
      <c r="H6" s="665">
        <f>SUMIFS($R$22:$R$27,$P$22:$P$27,$D6)+SUMIFS($S$22:$S$27,$Q$22:$Q$27,$D6)</f>
        <v>6</v>
      </c>
      <c r="I6" s="665">
        <f>SUMIFS($S$22:$S$27,$P$22:$P$27,$D6)+SUMIFS($R$22:$R$27,$Q$22:$Q$27,$D6)</f>
        <v>3</v>
      </c>
      <c r="J6" s="664">
        <f t="shared" si="0"/>
        <v>3</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Haiti</v>
      </c>
      <c r="E7" s="875"/>
      <c r="F7" s="675"/>
      <c r="G7" s="686"/>
      <c r="H7" s="665">
        <f>SUMIFS($R$22:$R$27,$P$22:$P$27,$D7)+SUMIFS($S$22:$S$27,$Q$22:$Q$27,$D7)</f>
        <v>0</v>
      </c>
      <c r="I7" s="665">
        <f>SUMIFS($S$22:$S$27,$P$22:$P$27,$D7)+SUMIFS($R$22:$R$27,$Q$22:$Q$27,$D7)</f>
        <v>7</v>
      </c>
      <c r="J7" s="664">
        <f t="shared" si="0"/>
        <v>-7</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Scotland</v>
      </c>
      <c r="E8" s="875"/>
      <c r="F8" s="675"/>
      <c r="G8" s="686"/>
      <c r="H8" s="665">
        <f>SUMIFS($R$22:$R$27,$P$22:$P$27,$D8)+SUMIFS($S$22:$S$27,$Q$22:$Q$27,$D8)</f>
        <v>3</v>
      </c>
      <c r="I8" s="665">
        <f>SUMIFS($S$22:$S$27,$P$22:$P$27,$D8)+SUMIFS($R$22:$R$27,$Q$22:$Q$27,$D8)</f>
        <v>6</v>
      </c>
      <c r="J8" s="664">
        <f t="shared" si="0"/>
        <v>-3</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Morocco</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Scotland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Brazil</v>
      </c>
      <c r="I21" s="722" t="str">
        <v>Morocco</v>
      </c>
      <c r="J21" s="722" t="str">
        <v>Scotland</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Brazil</v>
      </c>
      <c r="E22" s="796">
        <f>VLOOKUP($D22,$D$5:$K$8,8,0)</f>
        <v>9</v>
      </c>
      <c r="F22" s="727">
        <f>VLOOKUP($D22,$D$5:$K$8,5,0)</f>
        <v>8</v>
      </c>
      <c r="G22" s="797">
        <f>VLOOKUP($D22,$D$5:$K$8,6,0)</f>
        <v>1</v>
      </c>
      <c r="H22" s="726" t="str">
        <f t="array" ref="H22:K25">IFERROR(VLOOKUP($D$22:$D$25&amp;$H$21:$K$21,$Z$22:$AA$33,2,0),"")</f>
        <v/>
      </c>
      <c r="I22" s="727" t="str">
        <v>2 - 1</v>
      </c>
      <c r="J22" s="727" t="str">
        <v>3 - 0</v>
      </c>
      <c r="K22" s="793" t="str">
        <v>3 - 0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BrazilMorocco</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Morocco</v>
      </c>
      <c r="E23" s="791">
        <f t="shared" ref="E23:E25" si="36">VLOOKUP($D23,$D$5:$K$8,8,0)</f>
        <v>6</v>
      </c>
      <c r="F23" s="664">
        <f t="shared" ref="F23:F25" si="37">VLOOKUP($D23,$D$5:$K$8,5,0)</f>
        <v>6</v>
      </c>
      <c r="G23" s="798">
        <f t="shared" ref="G23:G25" si="38">VLOOKUP($D23,$D$5:$K$8,6,0)</f>
        <v>3</v>
      </c>
      <c r="H23" s="728" t="str">
        <v>1 - 2</v>
      </c>
      <c r="I23" s="729" t="str">
        <v/>
      </c>
      <c r="J23" s="664" t="str">
        <v>3 - 1</v>
      </c>
      <c r="K23" s="794" t="str">
        <v>2 - 0</v>
      </c>
      <c r="L23" s="781" t="b">
        <f t="shared" ref="L23:L25" si="39">OR($E23&gt;0,$G23&gt;0)</f>
        <v>1</v>
      </c>
      <c r="M23" s="781" t="b">
        <v>0</v>
      </c>
      <c r="N23" s="665">
        <f t="shared" ref="N23:N25" si="40">VLOOKUP($D23,$D$5:$Q$8,14,0)</f>
        <v>8</v>
      </c>
      <c r="O23" s="744" t="s">
        <v>27</v>
      </c>
      <c r="P23" s="771" t="str">
        <f>INDEX('World Cup'!$B$13:$AJ$38,6,1+(CODE($B$1)-65)*3)</f>
        <v>Haiti</v>
      </c>
      <c r="Q23" s="772" t="str">
        <f>INDEX('World Cup'!$B$13:$AJ$38,6,2+(CODE($B$1)-65)*3)</f>
        <v>Scotland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HaitiScotland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Scotland</v>
      </c>
      <c r="E24" s="791">
        <f t="shared" si="36"/>
        <v>3</v>
      </c>
      <c r="F24" s="664">
        <f t="shared" si="37"/>
        <v>3</v>
      </c>
      <c r="G24" s="798">
        <f t="shared" si="38"/>
        <v>6</v>
      </c>
      <c r="H24" s="728" t="str">
        <v>0 - 3</v>
      </c>
      <c r="I24" s="664" t="str">
        <v>1 - 3</v>
      </c>
      <c r="J24" s="729" t="str">
        <v/>
      </c>
      <c r="K24" s="794" t="str">
        <v>2 - 0</v>
      </c>
      <c r="L24" s="781" t="b">
        <f t="shared" si="39"/>
        <v>1</v>
      </c>
      <c r="M24" s="781" t="b">
        <v>0</v>
      </c>
      <c r="N24" s="665">
        <f t="shared" si="40"/>
        <v>43</v>
      </c>
      <c r="O24" s="744" t="s">
        <v>28</v>
      </c>
      <c r="P24" s="771" t="str">
        <f>INDEX('World Cup'!$B$13:$AJ$38,11,1+(CODE($B$1)-65)*3)</f>
        <v>Scotland</v>
      </c>
      <c r="Q24" s="772" t="str">
        <f>INDEX('World Cup'!$B$13:$AJ$38,11,2+(CODE($B$1)-65)*3)</f>
        <v>Morocco</v>
      </c>
      <c r="R24" s="772">
        <f>IF(OR(INDEX('World Cup'!$B$14:$AJ$39,11,1+(CODE($B$1)-65)*3)="",INDEX('World Cup'!$B$14:$AJ$39,11,2+(CODE($B$1)-65)*3)=""),"",INDEX('World Cup'!$B$14:$AJ$39,11,1+(CODE($B$1)-65)*3))</f>
        <v>1</v>
      </c>
      <c r="S24" s="773">
        <f>IF(OR(INDEX('World Cup'!$B$14:$AJ$39,11,1+(CODE($B$1)-65)*3)="",INDEX('World Cup'!$B$14:$AJ$39,11,2+(CODE($B$1)-65)*3)=""),"",INDEX('World Cup'!$B$14:$AJ$39,11,2+(CODE($B$1)-65)*3))</f>
        <v>3</v>
      </c>
      <c r="T24" s="664">
        <f t="shared" si="28"/>
        <v>1</v>
      </c>
      <c r="U24" s="746">
        <f t="shared" si="29"/>
        <v>0</v>
      </c>
      <c r="V24" s="664">
        <f t="shared" si="30"/>
        <v>3</v>
      </c>
      <c r="W24" s="747">
        <f t="shared" si="31"/>
        <v>-2</v>
      </c>
      <c r="X24" s="748">
        <f t="shared" si="32"/>
        <v>1</v>
      </c>
      <c r="Y24" s="749">
        <f t="shared" si="33"/>
        <v>3</v>
      </c>
      <c r="Z24" s="750" t="str">
        <f t="shared" si="34"/>
        <v>ScotlandMorocco</v>
      </c>
      <c r="AA24" s="751" t="str">
        <f>IF($T24,$X24&amp;Language!$E$197&amp;$Y24,"")</f>
        <v>1 - 3</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Haiti</v>
      </c>
      <c r="E25" s="799">
        <f t="shared" si="36"/>
        <v>0</v>
      </c>
      <c r="F25" s="731">
        <f t="shared" si="37"/>
        <v>0</v>
      </c>
      <c r="G25" s="800">
        <f t="shared" si="38"/>
        <v>7</v>
      </c>
      <c r="H25" s="730" t="str">
        <v>0 - 3</v>
      </c>
      <c r="I25" s="731" t="str">
        <v>0 - 2</v>
      </c>
      <c r="J25" s="731" t="str">
        <v>0 - 2</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BrazilHaiti</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0</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-3</v>
      </c>
      <c r="X26" s="748">
        <f t="shared" ref="X26:X27" si="46">IF(OR(R26="",S26=""),0,R26)</f>
        <v>0</v>
      </c>
      <c r="Y26" s="749">
        <f t="shared" ref="Y26:Y27" si="47">IF(OR(R26="",S26=""),0,S26)</f>
        <v>3</v>
      </c>
      <c r="Z26" s="750" t="str">
        <f t="shared" ref="Z26:Z27" si="48">P26&amp;Q26</f>
        <v>ScotlandBrazil</v>
      </c>
      <c r="AA26" s="751" t="str">
        <f>IF($T26,$X26&amp;Language!$E$197&amp;$Y26,"")</f>
        <v>0 - 3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MoroccoHaiti</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3 - 1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3 - 0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0 - 2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25</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USA</v>
      </c>
      <c r="E5" s="874"/>
      <c r="F5" s="675"/>
      <c r="G5" s="686"/>
      <c r="H5" s="665">
        <f>SUMIFS($R$22:$R$27,$P$22:$P$27,$D5)+SUMIFS($S$22:$S$27,$Q$22:$Q$27,$D5)</f>
        <v>5</v>
      </c>
      <c r="I5" s="665">
        <f>SUMIFS($S$22:$S$27,$P$22:$P$27,$D5)+SUMIFS($R$22:$R$27,$Q$22:$Q$27,$D5)</f>
        <v>4</v>
      </c>
      <c r="J5" s="664">
        <f t="shared" ref="J5:J8" si="0">H5-I5</f>
        <v>1</v>
      </c>
      <c r="K5" s="676">
        <f>M5*3+N5</f>
        <v>4</v>
      </c>
      <c r="L5" s="665">
        <f>M5+N5+O5</f>
        <v>3</v>
      </c>
      <c r="M5" s="665">
        <f>SUMPRODUCT(($P$22:$P$27=D5)*($R$22:$R$27&gt;$S$22:$S$27))+SUMPRODUCT(($Q$22:$Q$27=D5)*($R$22:$R$27&lt;$S$22:$S$27))</f>
        <v>1</v>
      </c>
      <c r="N5" s="665">
        <f>SUMPRODUCT(($P$22:$Q$27=D5)*($R$22:$R$27=$S$22:$S$27)*($R$22:$R$27&lt;&gt;"")*($S$22:$S$27&lt;&gt;""))</f>
        <v>1</v>
      </c>
      <c r="O5" s="665">
        <f>SUMPRODUCT(($P$22:$P$27=D5)*($R$22:$R$27&lt;$S$22:$S$27))+SUMPRODUCT(($Q$22:$Q$27=D5)*($R$22:$R$27&gt;$S$22:$S$27))</f>
        <v>1</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Paraguay</v>
      </c>
      <c r="E6" s="875"/>
      <c r="F6" s="675"/>
      <c r="G6" s="686"/>
      <c r="H6" s="665">
        <f>SUMIFS($R$22:$R$27,$P$22:$P$27,$D6)+SUMIFS($S$22:$S$27,$Q$22:$Q$27,$D6)</f>
        <v>5</v>
      </c>
      <c r="I6" s="665">
        <f>SUMIFS($S$22:$S$27,$P$22:$P$27,$D6)+SUMIFS($R$22:$R$27,$Q$22:$Q$27,$D6)</f>
        <v>6</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1</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Australia</v>
      </c>
      <c r="E7" s="875"/>
      <c r="F7" s="675"/>
      <c r="G7" s="686"/>
      <c r="H7" s="665">
        <f>SUMIFS($R$22:$R$27,$P$22:$P$27,$D7)+SUMIFS($S$22:$S$27,$Q$22:$Q$27,$D7)</f>
        <v>1</v>
      </c>
      <c r="I7" s="665">
        <f>SUMIFS($S$22:$S$27,$P$22:$P$27,$D7)+SUMIFS($R$22:$R$27,$Q$22:$Q$27,$D7)</f>
        <v>7</v>
      </c>
      <c r="J7" s="664">
        <f t="shared" si="0"/>
        <v>-6</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Turkey</v>
      </c>
      <c r="E8" s="875"/>
      <c r="F8" s="675"/>
      <c r="G8" s="686"/>
      <c r="H8" s="665">
        <f>SUMIFS($R$22:$R$27,$P$22:$P$27,$D8)+SUMIFS($S$22:$S$27,$Q$22:$Q$27,$D8)</f>
        <v>8</v>
      </c>
      <c r="I8" s="665">
        <f>SUMIFS($S$22:$S$27,$P$22:$P$27,$D8)+SUMIFS($R$22:$R$27,$Q$22:$Q$27,$D8)</f>
        <v>2</v>
      </c>
      <c r="J8" s="664">
        <f t="shared" si="0"/>
        <v>6</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USA</v>
      </c>
      <c r="BG13" s="693" t="str">
        <v>Paraguay</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USA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1</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2</v>
      </c>
      <c r="T14" s="697">
        <f>COUNTIFS($S$14:$S$17,"&gt;"&amp;$S14,$Q$14:$Q$17,"="&amp;$Q14)</f>
        <v>0</v>
      </c>
      <c r="U14" s="681">
        <f t="shared" ref="U14:U17" si="12">Q14+T14</f>
        <v>2</v>
      </c>
      <c r="V14" s="790"/>
      <c r="W14" s="696">
        <f t="array" ref="W14">SUMPRODUCT($U$22:$U$27*($P$22:$P$27=$D14)*ISNUMBER(MATCH($Q$22:$Q$27,IF($U$14:$U$17=$U14,$D$14:$D$17,""),0)))+SUMPRODUCT($V$22:$V$27*($Q$22:$Q$27=$D14)*ISNUMBER(MATCH($P$22:$P$27,IF($U$14:$U$17=$U14,$D$14:$D$17,""),0)))</f>
        <v>1</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2</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2</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2</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Paraguay</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1</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2</v>
      </c>
      <c r="T15" s="664">
        <f>COUNTIFS($S$14:$S$17,"&gt;"&amp;$S15,$Q$14:$Q$17,"="&amp;$Q15)</f>
        <v>0</v>
      </c>
      <c r="U15" s="680">
        <f t="shared" si="12"/>
        <v>2</v>
      </c>
      <c r="V15" s="790"/>
      <c r="W15" s="665">
        <f t="array" ref="W15">SUMPRODUCT($U$22:$U$27*($P$22:$P$27=$D15)*ISNUMBER(MATCH($Q$22:$Q$27,IF($U$14:$U$17=$U15,$D$14:$D$17,""),0)))+SUMPRODUCT($V$22:$V$27*($Q$22:$Q$27=$D15)*ISNUMBER(MATCH($P$22:$P$27,IF($U$14:$U$17=$U15,$D$14:$D$17,""),0)))</f>
        <v>1</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2</v>
      </c>
      <c r="AF15" s="664">
        <f>COUNTIFS($AE$14:$AE$17,"&gt;"&amp;$AE15,$AC$14:$AC$17,"="&amp;$AC15)</f>
        <v>0</v>
      </c>
      <c r="AG15" s="680">
        <f t="shared" si="15"/>
        <v>2</v>
      </c>
      <c r="AH15" s="790"/>
      <c r="AI15" s="686">
        <f>COUNTIFS($J$5:$J$8,"&gt;"&amp;$J6,$AG$14:$AG$17,"="&amp;$AG15)</f>
        <v>1</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USA</v>
      </c>
      <c r="BA15" s="686">
        <v>1</v>
      </c>
      <c r="BB15" s="686">
        <v>0</v>
      </c>
      <c r="BC15" s="706">
        <v>2</v>
      </c>
      <c r="BE15" s="711" t="str">
        <v/>
      </c>
      <c r="BF15" s="712" t="str">
        <v/>
      </c>
      <c r="BG15" s="713" t="str">
        <v>2 - 2</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Australia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Paraguay</v>
      </c>
      <c r="BA16" s="686">
        <v>1</v>
      </c>
      <c r="BB16" s="686">
        <v>0</v>
      </c>
      <c r="BC16" s="706">
        <v>2</v>
      </c>
      <c r="BE16" s="711" t="str">
        <v/>
      </c>
      <c r="BF16" s="713" t="str">
        <v>2 - 2</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Turkey</v>
      </c>
      <c r="I21" s="722" t="str">
        <v>USA</v>
      </c>
      <c r="J21" s="722" t="str">
        <v>Paraguay</v>
      </c>
      <c r="K21" s="723" t="str">
        <v>Australia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Turkey</v>
      </c>
      <c r="E22" s="796">
        <f>VLOOKUP($D22,$D$5:$K$8,8,0)</f>
        <v>9</v>
      </c>
      <c r="F22" s="727">
        <f>VLOOKUP($D22,$D$5:$K$8,5,0)</f>
        <v>8</v>
      </c>
      <c r="G22" s="797">
        <f>VLOOKUP($D22,$D$5:$K$8,6,0)</f>
        <v>2</v>
      </c>
      <c r="H22" s="726" t="str">
        <f t="array" ref="H22:K25">IFERROR(VLOOKUP($D$22:$D$25&amp;$H$21:$K$21,$Z$22:$AA$33,2,0),"")</f>
        <v/>
      </c>
      <c r="I22" s="727" t="str">
        <v>2 - 1</v>
      </c>
      <c r="J22" s="727" t="str">
        <v>3 - 1</v>
      </c>
      <c r="K22" s="793" t="str">
        <v>3 - 0</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2</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2</v>
      </c>
      <c r="Y22" s="739">
        <f t="shared" ref="Y22:Y25" si="33">IF(OR(R22="",S22=""),0,S22)</f>
        <v>2</v>
      </c>
      <c r="Z22" s="740" t="str">
        <f t="shared" ref="Z22:Z25" si="34">P22&amp;Q22</f>
        <v>USAParaguay</v>
      </c>
      <c r="AA22" s="741" t="str">
        <f>IF($T22,$X22&amp;Language!$E$197&amp;$Y22,"")</f>
        <v>2 - 2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USA</v>
      </c>
      <c r="E23" s="791">
        <f t="shared" ref="E23:E25" si="36">VLOOKUP($D23,$D$5:$K$8,8,0)</f>
        <v>4</v>
      </c>
      <c r="F23" s="664">
        <f t="shared" ref="F23:F25" si="37">VLOOKUP($D23,$D$5:$K$8,5,0)</f>
        <v>5</v>
      </c>
      <c r="G23" s="798">
        <f t="shared" ref="G23:G25" si="38">VLOOKUP($D23,$D$5:$K$8,6,0)</f>
        <v>4</v>
      </c>
      <c r="H23" s="728" t="str">
        <v>1 - 2</v>
      </c>
      <c r="I23" s="729" t="str">
        <v/>
      </c>
      <c r="J23" s="664" t="str">
        <v>2 - 2</v>
      </c>
      <c r="K23" s="794" t="str">
        <v>2 - 0</v>
      </c>
      <c r="L23" s="781" t="b">
        <f t="shared" ref="L23:L25" si="39">OR($E23&gt;0,$G23&gt;0)</f>
        <v>1</v>
      </c>
      <c r="M23" s="781" t="b">
        <v>0</v>
      </c>
      <c r="N23" s="665">
        <f t="shared" ref="N23:N25" si="40">VLOOKUP($D23,$D$5:$Q$8,14,0)</f>
        <v>16</v>
      </c>
      <c r="O23" s="744" t="s">
        <v>27</v>
      </c>
      <c r="P23" s="771" t="str">
        <f>INDEX('World Cup'!$B$13:$AJ$38,6,1+(CODE($B$1)-65)*3)</f>
        <v>Australia</v>
      </c>
      <c r="Q23" s="772" t="str">
        <f>INDEX('World Cup'!$B$13:$AJ$38,6,2+(CODE($B$1)-65)*3)</f>
        <v>Turkey</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AustraliaTurkey</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Paraguay</v>
      </c>
      <c r="E24" s="791">
        <f t="shared" si="36"/>
        <v>4</v>
      </c>
      <c r="F24" s="664">
        <f t="shared" si="37"/>
        <v>5</v>
      </c>
      <c r="G24" s="798">
        <f t="shared" si="38"/>
        <v>6</v>
      </c>
      <c r="H24" s="728" t="str">
        <v>1 - 3</v>
      </c>
      <c r="I24" s="664" t="str">
        <v>2 - 2</v>
      </c>
      <c r="J24" s="729" t="str">
        <v/>
      </c>
      <c r="K24" s="794" t="str">
        <v>2 - 1</v>
      </c>
      <c r="L24" s="781" t="b">
        <f t="shared" si="39"/>
        <v>1</v>
      </c>
      <c r="M24" s="781" t="b">
        <v>0</v>
      </c>
      <c r="N24" s="665">
        <f t="shared" si="40"/>
        <v>40</v>
      </c>
      <c r="O24" s="744" t="s">
        <v>28</v>
      </c>
      <c r="P24" s="771" t="str">
        <f>INDEX('World Cup'!$B$13:$AJ$38,11,1+(CODE($B$1)-65)*3)</f>
        <v>USA</v>
      </c>
      <c r="Q24" s="772" t="str">
        <f>INDEX('World Cup'!$B$13:$AJ$38,11,2+(CODE($B$1)-65)*3)</f>
        <v>Australia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USAAustralia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Australia</v>
      </c>
      <c r="E25" s="799">
        <f t="shared" si="36"/>
        <v>0</v>
      </c>
      <c r="F25" s="731">
        <f t="shared" si="37"/>
        <v>1</v>
      </c>
      <c r="G25" s="800">
        <f t="shared" si="38"/>
        <v>7</v>
      </c>
      <c r="H25" s="730" t="str">
        <v>0 - 3</v>
      </c>
      <c r="I25" s="731" t="str">
        <v>0 - 2</v>
      </c>
      <c r="J25" s="731" t="str">
        <v>1 - 2</v>
      </c>
      <c r="K25" s="795" t="str">
        <v/>
      </c>
      <c r="L25" s="781" t="b">
        <f t="shared" si="39"/>
        <v>1</v>
      </c>
      <c r="M25" s="781" t="b">
        <v>0</v>
      </c>
      <c r="N25" s="665">
        <f t="shared" si="40"/>
        <v>27</v>
      </c>
      <c r="O25" s="744" t="s">
        <v>29</v>
      </c>
      <c r="P25" s="771" t="str">
        <f>INDEX('World Cup'!$B$13:$AJ$38,16,1+(CODE($B$1)-65)*3)</f>
        <v>Turkey</v>
      </c>
      <c r="Q25" s="772" t="str">
        <f>INDEX('World Cup'!$B$13:$AJ$38,16,2+(CODE($B$1)-65)*3)</f>
        <v>Paraguay</v>
      </c>
      <c r="R25" s="772">
        <f>IF(OR(INDEX('World Cup'!$B$14:$AJ$39,16,1+(CODE($B$1)-65)*3)="",INDEX('World Cup'!$B$14:$AJ$39,16,2+(CODE($B$1)-65)*3)=""),"",INDEX('World Cup'!$B$14:$AJ$39,16,1+(CODE($B$1)-65)*3))</f>
        <v>3</v>
      </c>
      <c r="S25" s="773">
        <f>IF(OR(INDEX('World Cup'!$B$14:$AJ$39,16,1+(CODE($B$1)-65)*3)="",INDEX('World Cup'!$B$14:$AJ$39,16,2+(CODE($B$1)-65)*3)=""),"",INDEX('World Cup'!$B$14:$AJ$39,16,2+(CODE($B$1)-65)*3))</f>
        <v>1</v>
      </c>
      <c r="T25" s="664">
        <f t="shared" si="28"/>
        <v>1</v>
      </c>
      <c r="U25" s="746">
        <f t="shared" si="29"/>
        <v>3</v>
      </c>
      <c r="V25" s="664">
        <f t="shared" si="30"/>
        <v>0</v>
      </c>
      <c r="W25" s="747">
        <f t="shared" si="31"/>
        <v>2</v>
      </c>
      <c r="X25" s="748">
        <f t="shared" si="32"/>
        <v>3</v>
      </c>
      <c r="Y25" s="749">
        <f t="shared" si="33"/>
        <v>1</v>
      </c>
      <c r="Z25" s="750" t="str">
        <f t="shared" si="34"/>
        <v>TurkeyParaguay</v>
      </c>
      <c r="AA25" s="751" t="str">
        <f>IF($T25,$X25&amp;Language!$E$197&amp;$Y25,"")</f>
        <v>3 - 1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TurkeyUSA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2</v>
      </c>
      <c r="S27" s="776">
        <f>IF(OR(INDEX('World Cup'!$B$14:$AJ$39,26,1+(CODE($B$1)-65)*3)="",INDEX('World Cup'!$B$14:$AJ$39,26,2+(CODE($B$1)-65)*3)=""),"",INDEX('World Cup'!$B$14:$AJ$39,26,2+(CODE($B$1)-65)*3))</f>
        <v>1</v>
      </c>
      <c r="T27" s="756">
        <f t="shared" si="42"/>
        <v>1</v>
      </c>
      <c r="U27" s="757">
        <f t="shared" si="43"/>
        <v>3</v>
      </c>
      <c r="V27" s="756">
        <f t="shared" si="44"/>
        <v>0</v>
      </c>
      <c r="W27" s="758">
        <f t="shared" si="45"/>
        <v>1</v>
      </c>
      <c r="X27" s="759">
        <f t="shared" si="46"/>
        <v>2</v>
      </c>
      <c r="Y27" s="760">
        <f t="shared" si="47"/>
        <v>1</v>
      </c>
      <c r="Z27" s="761" t="str">
        <f t="shared" si="48"/>
        <v>ParaguayAustralia</v>
      </c>
      <c r="AA27" s="762" t="str">
        <f>IF($T27,$X27&amp;Language!$E$197&amp;$Y27,"")</f>
        <v>2 - 1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2 - 2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1 - 3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1 - 2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1 - 2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Germany</v>
      </c>
      <c r="E5" s="874"/>
      <c r="F5" s="675"/>
      <c r="G5" s="686"/>
      <c r="H5" s="665">
        <f>SUMIFS($R$22:$R$27,$P$22:$P$27,$D5)+SUMIFS($S$22:$S$27,$Q$22:$Q$27,$D5)</f>
        <v>7</v>
      </c>
      <c r="I5" s="665">
        <f>SUMIFS($S$22:$S$27,$P$22:$P$27,$D5)+SUMIFS($R$22:$R$27,$Q$22:$Q$27,$D5)</f>
        <v>2</v>
      </c>
      <c r="J5" s="664">
        <f t="shared" ref="J5:J8" si="0">H5-I5</f>
        <v>5</v>
      </c>
      <c r="K5" s="676">
        <f>M5*3+N5</f>
        <v>6</v>
      </c>
      <c r="L5" s="665">
        <f>M5+N5+O5</f>
        <v>3</v>
      </c>
      <c r="M5" s="665">
        <f>SUMPRODUCT(($P$22:$P$27=D5)*($R$22:$R$27&gt;$S$22:$S$27))+SUMPRODUCT(($Q$22:$Q$27=D5)*($R$22:$R$27&lt;$S$22:$S$27))</f>
        <v>2</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Curaçao</v>
      </c>
      <c r="E6" s="875"/>
      <c r="F6" s="675"/>
      <c r="G6" s="686"/>
      <c r="H6" s="665">
        <f>SUMIFS($R$22:$R$27,$P$22:$P$27,$D6)+SUMIFS($S$22:$S$27,$Q$22:$Q$27,$D6)</f>
        <v>1</v>
      </c>
      <c r="I6" s="665">
        <f>SUMIFS($S$22:$S$27,$P$22:$P$27,$D6)+SUMIFS($R$22:$R$27,$Q$22:$Q$27,$D6)</f>
        <v>9</v>
      </c>
      <c r="J6" s="664">
        <f t="shared" si="0"/>
        <v>-8</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Ivory Coast</v>
      </c>
      <c r="E7" s="875"/>
      <c r="F7" s="675"/>
      <c r="G7" s="686"/>
      <c r="H7" s="665">
        <f>SUMIFS($R$22:$R$27,$P$22:$P$27,$D7)+SUMIFS($S$22:$S$27,$Q$22:$Q$27,$D7)</f>
        <v>3</v>
      </c>
      <c r="I7" s="665">
        <f>SUMIFS($S$22:$S$27,$P$22:$P$27,$D7)+SUMIFS($R$22:$R$27,$Q$22:$Q$27,$D7)</f>
        <v>6</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Ecuador</v>
      </c>
      <c r="E8" s="875"/>
      <c r="F8" s="675"/>
      <c r="G8" s="686"/>
      <c r="H8" s="665">
        <f>SUMIFS($R$22:$R$27,$P$22:$P$27,$D8)+SUMIFS($S$22:$S$27,$Q$22:$Q$27,$D8)</f>
        <v>8</v>
      </c>
      <c r="I8" s="665">
        <f>SUMIFS($S$22:$S$27,$P$22:$P$27,$D8)+SUMIFS($R$22:$R$27,$Q$22:$Q$27,$D8)</f>
        <v>2</v>
      </c>
      <c r="J8" s="664">
        <f t="shared" si="0"/>
        <v>6</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Germany</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Ivory Coast</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Ecuador</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Ecuador</v>
      </c>
      <c r="I21" s="722" t="str">
        <v>Germany</v>
      </c>
      <c r="J21" s="722" t="str">
        <v>Ivory Coast</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Ecuador</v>
      </c>
      <c r="E22" s="796">
        <f>VLOOKUP($D22,$D$5:$K$8,8,0)</f>
        <v>9</v>
      </c>
      <c r="F22" s="727">
        <f>VLOOKUP($D22,$D$5:$K$8,5,0)</f>
        <v>8</v>
      </c>
      <c r="G22" s="797">
        <f>VLOOKUP($D22,$D$5:$K$8,6,0)</f>
        <v>2</v>
      </c>
      <c r="H22" s="726" t="str">
        <f t="array" ref="H22:K25">IFERROR(VLOOKUP($D$22:$D$25&amp;$H$21:$K$21,$Z$22:$AA$33,2,0),"")</f>
        <v/>
      </c>
      <c r="I22" s="727" t="str">
        <v>2 - 1</v>
      </c>
      <c r="J22" s="727" t="str">
        <v>3 - 1</v>
      </c>
      <c r="K22" s="793" t="str">
        <v>3 - 0</v>
      </c>
      <c r="L22" s="781" t="b">
        <f>OR($E22&gt;0,$G22&gt;0)</f>
        <v>1</v>
      </c>
      <c r="M22" s="781" t="b">
        <f t="array" ref="M22:M25">VLOOKUP($D$22:$D$25,$D$14:$AV$17,45,0)</f>
        <v>0</v>
      </c>
      <c r="N22" s="665">
        <f>VLOOKUP($D22,$D$5:$Q$8,14,0)</f>
        <v>23</v>
      </c>
      <c r="O22" s="732" t="s">
        <v>26</v>
      </c>
      <c r="P22" s="768" t="str">
        <f>INDEX('World Cup'!$B$13:$AJ$38,1,1+(CODE($B$1)-65)*3)</f>
        <v>Germany</v>
      </c>
      <c r="Q22" s="769" t="str">
        <f>INDEX('World Cup'!$B$13:$AJ$38,1,2+(CODE($B$1)-65)*3)</f>
        <v>Curaçao</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GermanyCuraçao</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Germany</v>
      </c>
      <c r="E23" s="791">
        <f t="shared" ref="E23:E25" si="36">VLOOKUP($D23,$D$5:$K$8,8,0)</f>
        <v>6</v>
      </c>
      <c r="F23" s="664">
        <f t="shared" ref="F23:F25" si="37">VLOOKUP($D23,$D$5:$K$8,5,0)</f>
        <v>7</v>
      </c>
      <c r="G23" s="798">
        <f t="shared" ref="G23:G25" si="38">VLOOKUP($D23,$D$5:$K$8,6,0)</f>
        <v>2</v>
      </c>
      <c r="H23" s="728" t="str">
        <v>1 - 2</v>
      </c>
      <c r="I23" s="729" t="str">
        <v/>
      </c>
      <c r="J23" s="664" t="str">
        <v>2 - 0</v>
      </c>
      <c r="K23" s="794" t="str">
        <v>4 - 0</v>
      </c>
      <c r="L23" s="781" t="b">
        <f t="shared" ref="L23:L25" si="39">OR($E23&gt;0,$G23&gt;0)</f>
        <v>1</v>
      </c>
      <c r="M23" s="781" t="b">
        <v>0</v>
      </c>
      <c r="N23" s="665">
        <f t="shared" ref="N23:N25" si="40">VLOOKUP($D23,$D$5:$Q$8,14,0)</f>
        <v>10</v>
      </c>
      <c r="O23" s="744" t="s">
        <v>27</v>
      </c>
      <c r="P23" s="771" t="str">
        <f>INDEX('World Cup'!$B$13:$AJ$38,6,1+(CODE($B$1)-65)*3)</f>
        <v>Ivory Coast</v>
      </c>
      <c r="Q23" s="772" t="str">
        <f>INDEX('World Cup'!$B$13:$AJ$38,6,2+(CODE($B$1)-65)*3)</f>
        <v>Ecuador</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Ivory CoastEcuador</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Ivory Coast</v>
      </c>
      <c r="E24" s="791">
        <f t="shared" si="36"/>
        <v>3</v>
      </c>
      <c r="F24" s="664">
        <f t="shared" si="37"/>
        <v>3</v>
      </c>
      <c r="G24" s="798">
        <f t="shared" si="38"/>
        <v>6</v>
      </c>
      <c r="H24" s="728" t="str">
        <v>1 - 3</v>
      </c>
      <c r="I24" s="664" t="str">
        <v>0 - 2</v>
      </c>
      <c r="J24" s="729" t="str">
        <v/>
      </c>
      <c r="K24" s="794" t="str">
        <v>2 - 1</v>
      </c>
      <c r="L24" s="781" t="b">
        <f t="shared" si="39"/>
        <v>1</v>
      </c>
      <c r="M24" s="781" t="b">
        <v>0</v>
      </c>
      <c r="N24" s="665">
        <f t="shared" si="40"/>
        <v>34</v>
      </c>
      <c r="O24" s="744" t="s">
        <v>28</v>
      </c>
      <c r="P24" s="771" t="str">
        <f>INDEX('World Cup'!$B$13:$AJ$38,11,1+(CODE($B$1)-65)*3)</f>
        <v>Germany</v>
      </c>
      <c r="Q24" s="772" t="str">
        <f>INDEX('World Cup'!$B$13:$AJ$38,11,2+(CODE($B$1)-65)*3)</f>
        <v>Ivory Coast</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GermanyIvory Coast</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Curaçao</v>
      </c>
      <c r="E25" s="799">
        <f t="shared" si="36"/>
        <v>0</v>
      </c>
      <c r="F25" s="731">
        <f t="shared" si="37"/>
        <v>1</v>
      </c>
      <c r="G25" s="800">
        <f t="shared" si="38"/>
        <v>9</v>
      </c>
      <c r="H25" s="730" t="str">
        <v>0 - 3</v>
      </c>
      <c r="I25" s="731" t="str">
        <v>0 - 4</v>
      </c>
      <c r="J25" s="731" t="str">
        <v>1 - 2</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EcuadorCuraçao</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CuraçaoIvory Coast</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2</v>
      </c>
      <c r="S27" s="776">
        <f>IF(OR(INDEX('World Cup'!$B$14:$AJ$39,26,1+(CODE($B$1)-65)*3)="",INDEX('World Cup'!$B$14:$AJ$39,26,2+(CODE($B$1)-65)*3)=""),"",INDEX('World Cup'!$B$14:$AJ$39,26,2+(CODE($B$1)-65)*3))</f>
        <v>1</v>
      </c>
      <c r="T27" s="756">
        <f t="shared" si="42"/>
        <v>1</v>
      </c>
      <c r="U27" s="757">
        <f t="shared" si="43"/>
        <v>3</v>
      </c>
      <c r="V27" s="756">
        <f t="shared" si="44"/>
        <v>0</v>
      </c>
      <c r="W27" s="758">
        <f t="shared" si="45"/>
        <v>1</v>
      </c>
      <c r="X27" s="759">
        <f t="shared" si="46"/>
        <v>2</v>
      </c>
      <c r="Y27" s="760">
        <f t="shared" si="47"/>
        <v>1</v>
      </c>
      <c r="Z27" s="761" t="str">
        <f t="shared" si="48"/>
        <v>EcuadorGermany</v>
      </c>
      <c r="AA27" s="762" t="str">
        <f>IF($T27,$X27&amp;Language!$E$197&amp;$Y27,"")</f>
        <v>2 - 1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0 - 3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2 - 1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1 - 2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Netherlands</v>
      </c>
      <c r="E5" s="874"/>
      <c r="F5" s="675"/>
      <c r="G5" s="686"/>
      <c r="H5" s="665">
        <f>SUMIFS($R$22:$R$27,$P$22:$P$27,$D5)+SUMIFS($S$22:$S$27,$Q$22:$Q$27,$D5)</f>
        <v>8</v>
      </c>
      <c r="I5" s="665">
        <f>SUMIFS($S$22:$S$27,$P$22:$P$27,$D5)+SUMIFS($R$22:$R$27,$Q$22:$Q$27,$D5)</f>
        <v>3</v>
      </c>
      <c r="J5" s="664">
        <f t="shared" ref="J5:J8" si="0">H5-I5</f>
        <v>5</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Japan</v>
      </c>
      <c r="E6" s="875"/>
      <c r="F6" s="675"/>
      <c r="G6" s="686"/>
      <c r="H6" s="665">
        <f>SUMIFS($R$22:$R$27,$P$22:$P$27,$D6)+SUMIFS($S$22:$S$27,$Q$22:$Q$27,$D6)</f>
        <v>3</v>
      </c>
      <c r="I6" s="665">
        <f>SUMIFS($S$22:$S$27,$P$22:$P$27,$D6)+SUMIFS($R$22:$R$27,$Q$22:$Q$27,$D6)</f>
        <v>6</v>
      </c>
      <c r="J6" s="664">
        <f t="shared" si="0"/>
        <v>-3</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Sweden</v>
      </c>
      <c r="E7" s="875"/>
      <c r="F7" s="675"/>
      <c r="G7" s="686"/>
      <c r="H7" s="665">
        <f>SUMIFS($R$22:$R$27,$P$22:$P$27,$D7)+SUMIFS($S$22:$S$27,$Q$22:$Q$27,$D7)</f>
        <v>5</v>
      </c>
      <c r="I7" s="665">
        <f>SUMIFS($S$22:$S$27,$P$22:$P$27,$D7)+SUMIFS($R$22:$R$27,$Q$22:$Q$27,$D7)</f>
        <v>2</v>
      </c>
      <c r="J7" s="664">
        <f t="shared" si="0"/>
        <v>3</v>
      </c>
      <c r="K7" s="676">
        <f t="shared" si="1"/>
        <v>6</v>
      </c>
      <c r="L7" s="665">
        <f t="shared" si="2"/>
        <v>3</v>
      </c>
      <c r="M7" s="665">
        <f>SUMPRODUCT(($P$22:$P$27=D7)*($R$22:$R$27&gt;$S$22:$S$27))+SUMPRODUCT(($Q$22:$Q$27=D7)*($R$22:$R$27&lt;$S$22:$S$27))</f>
        <v>2</v>
      </c>
      <c r="N7" s="665">
        <f>SUMPRODUCT(($P$22:$Q$27=D7)*($R$22:$R$27=$S$22:$S$27)*($R$22:$R$27&lt;&gt;"")*($S$22:$S$27&lt;&gt;""))</f>
        <v>0</v>
      </c>
      <c r="O7" s="665">
        <f>SUMPRODUCT(($P$22:$P$27=D7)*($R$22:$R$27&lt;$S$22:$S$27))+SUMPRODUCT(($Q$22:$Q$27=D7)*($R$22:$R$27&gt;$S$22:$S$27))</f>
        <v>1</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Tunisia</v>
      </c>
      <c r="E8" s="875"/>
      <c r="F8" s="675"/>
      <c r="G8" s="686"/>
      <c r="H8" s="665">
        <f>SUMIFS($R$22:$R$27,$P$22:$P$27,$D8)+SUMIFS($S$22:$S$27,$Q$22:$Q$27,$D8)</f>
        <v>2</v>
      </c>
      <c r="I8" s="665">
        <f>SUMIFS($S$22:$S$27,$P$22:$P$27,$D8)+SUMIFS($R$22:$R$27,$Q$22:$Q$27,$D8)</f>
        <v>7</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Japan</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Sweden</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Netherlands</v>
      </c>
      <c r="I21" s="722" t="str">
        <v>Sweden</v>
      </c>
      <c r="J21" s="722" t="str">
        <v>Japan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Netherlands</v>
      </c>
      <c r="E22" s="796">
        <f>VLOOKUP($D22,$D$5:$K$8,8,0)</f>
        <v>9</v>
      </c>
      <c r="F22" s="727">
        <f>VLOOKUP($D22,$D$5:$K$8,5,0)</f>
        <v>8</v>
      </c>
      <c r="G22" s="797">
        <f>VLOOKUP($D22,$D$5:$K$8,6,0)</f>
        <v>3</v>
      </c>
      <c r="H22" s="726" t="str">
        <f t="array" ref="H22:K25">IFERROR(VLOOKUP($D$22:$D$25&amp;$H$21:$K$21,$Z$22:$AA$33,2,0),"")</f>
        <v/>
      </c>
      <c r="I22" s="727" t="str">
        <v>2 - 1</v>
      </c>
      <c r="J22" s="727" t="str">
        <v>3 - 1</v>
      </c>
      <c r="K22" s="793" t="str">
        <v>3 - 1</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NetherlandsJapan</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Sweden</v>
      </c>
      <c r="E23" s="791">
        <f t="shared" ref="E23:E25" si="36">VLOOKUP($D23,$D$5:$K$8,8,0)</f>
        <v>6</v>
      </c>
      <c r="F23" s="664">
        <f t="shared" ref="F23:F25" si="37">VLOOKUP($D23,$D$5:$K$8,5,0)</f>
        <v>5</v>
      </c>
      <c r="G23" s="798">
        <f t="shared" ref="G23:G25" si="38">VLOOKUP($D23,$D$5:$K$8,6,0)</f>
        <v>2</v>
      </c>
      <c r="H23" s="728" t="str">
        <v>1 - 2</v>
      </c>
      <c r="I23" s="729" t="str">
        <v/>
      </c>
      <c r="J23" s="664" t="str">
        <v>2 - 0</v>
      </c>
      <c r="K23" s="794" t="str">
        <v>2 - 0</v>
      </c>
      <c r="L23" s="781" t="b">
        <f t="shared" ref="L23:L25" si="39">OR($E23&gt;0,$G23&gt;0)</f>
        <v>1</v>
      </c>
      <c r="M23" s="781" t="b">
        <v>0</v>
      </c>
      <c r="N23" s="665">
        <f t="shared" ref="N23:N25" si="40">VLOOKUP($D23,$D$5:$Q$8,14,0)</f>
        <v>38</v>
      </c>
      <c r="O23" s="744" t="s">
        <v>27</v>
      </c>
      <c r="P23" s="771" t="str">
        <f>INDEX('World Cup'!$B$13:$AJ$38,6,1+(CODE($B$1)-65)*3)</f>
        <v>Sweden</v>
      </c>
      <c r="Q23" s="772" t="str">
        <f>INDEX('World Cup'!$B$13:$AJ$38,6,2+(CODE($B$1)-65)*3)</f>
        <v>Tunisia</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SwedenTunisia</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Japan</v>
      </c>
      <c r="E24" s="791">
        <f t="shared" si="36"/>
        <v>3</v>
      </c>
      <c r="F24" s="664">
        <f t="shared" si="37"/>
        <v>3</v>
      </c>
      <c r="G24" s="798">
        <f t="shared" si="38"/>
        <v>6</v>
      </c>
      <c r="H24" s="728" t="str">
        <v>1 - 3</v>
      </c>
      <c r="I24" s="664" t="str">
        <v>0 - 2</v>
      </c>
      <c r="J24" s="729" t="str">
        <v/>
      </c>
      <c r="K24" s="794" t="str">
        <v>2 - 1</v>
      </c>
      <c r="L24" s="781" t="b">
        <f t="shared" si="39"/>
        <v>1</v>
      </c>
      <c r="M24" s="781" t="b">
        <v>0</v>
      </c>
      <c r="N24" s="665">
        <f t="shared" si="40"/>
        <v>18</v>
      </c>
      <c r="O24" s="744" t="s">
        <v>28</v>
      </c>
      <c r="P24" s="771" t="str">
        <f>INDEX('World Cup'!$B$13:$AJ$38,11,1+(CODE($B$1)-65)*3)</f>
        <v>Netherlands</v>
      </c>
      <c r="Q24" s="772" t="str">
        <f>INDEX('World Cup'!$B$13:$AJ$38,11,2+(CODE($B$1)-65)*3)</f>
        <v>Sweden</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NetherlandsSweden</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Tunisia</v>
      </c>
      <c r="E25" s="799">
        <f t="shared" si="36"/>
        <v>0</v>
      </c>
      <c r="F25" s="731">
        <f t="shared" si="37"/>
        <v>2</v>
      </c>
      <c r="G25" s="800">
        <f t="shared" si="38"/>
        <v>7</v>
      </c>
      <c r="H25" s="730" t="str">
        <v>1 - 3</v>
      </c>
      <c r="I25" s="731" t="str">
        <v>0 - 2</v>
      </c>
      <c r="J25" s="731" t="str">
        <v>1 - 2</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TunisiaJapan</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JapanSweden</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TunisiaNetherlands</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2 - 1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2 - 0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3 - 1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272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Belgium</v>
      </c>
      <c r="E5" s="874"/>
      <c r="F5" s="675"/>
      <c r="G5" s="686"/>
      <c r="H5" s="665">
        <f>SUMIFS($R$22:$R$27,$P$22:$P$27,$D5)+SUMIFS($S$22:$S$27,$Q$22:$Q$27,$D5)</f>
        <v>4</v>
      </c>
      <c r="I5" s="665">
        <f>SUMIFS($S$22:$S$27,$P$22:$P$27,$D5)+SUMIFS($R$22:$R$27,$Q$22:$Q$27,$D5)</f>
        <v>0</v>
      </c>
      <c r="J5" s="664">
        <f t="shared" ref="J5:J8" si="0">H5-I5</f>
        <v>4</v>
      </c>
      <c r="K5" s="676">
        <f>M5*3+N5</f>
        <v>6</v>
      </c>
      <c r="L5" s="665">
        <f>M5+N5+O5</f>
        <v>2</v>
      </c>
      <c r="M5" s="665">
        <f>SUMPRODUCT(($P$22:$P$27=D5)*($R$22:$R$27&gt;$S$22:$S$27))+SUMPRODUCT(($Q$22:$Q$27=D5)*($R$22:$R$27&lt;$S$22:$S$27))</f>
        <v>2</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Egypt</v>
      </c>
      <c r="E6" s="875"/>
      <c r="F6" s="675"/>
      <c r="G6" s="686"/>
      <c r="H6" s="665">
        <f>SUMIFS($R$22:$R$27,$P$22:$P$27,$D6)+SUMIFS($S$22:$S$27,$Q$22:$Q$27,$D6)</f>
        <v>4</v>
      </c>
      <c r="I6" s="665">
        <f>SUMIFS($S$22:$S$27,$P$22:$P$27,$D6)+SUMIFS($R$22:$R$27,$Q$22:$Q$27,$D6)</f>
        <v>4</v>
      </c>
      <c r="J6" s="664">
        <f t="shared" si="0"/>
        <v>0</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IR Iran</v>
      </c>
      <c r="E7" s="875"/>
      <c r="F7" s="675"/>
      <c r="G7" s="686"/>
      <c r="H7" s="665">
        <f>SUMIFS($R$22:$R$27,$P$22:$P$27,$D7)+SUMIFS($S$22:$S$27,$Q$22:$Q$27,$D7)</f>
        <v>2</v>
      </c>
      <c r="I7" s="665">
        <f>SUMIFS($S$22:$S$27,$P$22:$P$27,$D7)+SUMIFS($R$22:$R$27,$Q$22:$Q$27,$D7)</f>
        <v>4</v>
      </c>
      <c r="J7" s="664">
        <f t="shared" si="0"/>
        <v>-2</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New Zealand</v>
      </c>
      <c r="E8" s="875"/>
      <c r="F8" s="675"/>
      <c r="G8" s="686"/>
      <c r="H8" s="665">
        <f>SUMIFS($R$22:$R$27,$P$22:$P$27,$D8)+SUMIFS($S$22:$S$27,$Q$22:$Q$27,$D8)</f>
        <v>1</v>
      </c>
      <c r="I8" s="665">
        <f>SUMIFS($S$22:$S$27,$P$22:$P$27,$D8)+SUMIFS($R$22:$R$27,$Q$22:$Q$27,$D8)</f>
        <v>3</v>
      </c>
      <c r="J8" s="664">
        <f t="shared" si="0"/>
        <v>-2</v>
      </c>
      <c r="K8" s="676">
        <f t="shared" si="1"/>
        <v>0</v>
      </c>
      <c r="L8" s="665">
        <f t="shared" si="2"/>
        <v>2</v>
      </c>
      <c r="M8" s="665">
        <f>SUMPRODUCT(($P$22:$P$27=D8)*($R$22:$R$27&gt;$S$22:$S$27))+SUMPRODUCT(($Q$22:$Q$27=D8)*($R$22:$R$27&lt;$S$22:$S$27))</f>
        <v>0</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5</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Belgium</v>
      </c>
      <c r="BF13" s="693" t="str">
        <v>Egypt</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3</v>
      </c>
      <c r="L14" s="697">
        <f>COUNTIFS($K$14:$K$17,"&gt;"&amp;$K14,$I$14:$I$17,"="&amp;$I14)</f>
        <v>0</v>
      </c>
      <c r="M14" s="681">
        <f t="shared" ref="M14:M17" si="10">I14+L14</f>
        <v>1</v>
      </c>
      <c r="N14" s="679"/>
      <c r="O14" s="696">
        <f t="array" ref="O14">SUMPRODUCT($W$22:$W$27*($P$22:$P$27=$D14)*ISNUMBER(MATCH($Q$22:$Q$27,IF($I$14:$I$17=$I14,$D$14:$D$17,""),0)))+SUMPRODUCT(-$W$22:$W$27*($Q$22:$Q$27=$D14)*ISNUMBER(MATCH($P$22:$P$27,IF($I$14:$I$17=$I14,$D$14:$D$17,""),0)))</f>
        <v>2</v>
      </c>
      <c r="P14" s="697">
        <f>COUNTIFS($O$14:$O$17,"&gt;"&amp;$O14,$M$14:$M$17,"="&amp;$M14)</f>
        <v>0</v>
      </c>
      <c r="Q14" s="681">
        <f t="shared" ref="Q14:Q17" si="11">M14+P14</f>
        <v>1</v>
      </c>
      <c r="R14" s="679"/>
      <c r="S14" s="696">
        <f t="array" ref="S14">SUMPRODUCT($X$22:$X$27*($P$22:$P$27=$D14)*ISNUMBER(MATCH($Q$22:$Q$27,IF($I$14:$I$17=$I14,$D$14:$D$17,""),0)))+SUMPRODUCT($Y$22:$Y$27*($Q$22:$Q$27=$D14)*ISNUMBER(MATCH($P$22:$P$27,IF($I$14:$I$17=$I14,$D$14:$D$17,""),0)))</f>
        <v>2</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Belgium</v>
      </c>
      <c r="BA14" s="703">
        <f t="array" ref="BA14:BA17">IFERROR(VLOOKUP($BA$5:$BA$8,$C$14:$K$17,9,0),"")</f>
        <v>3</v>
      </c>
      <c r="BB14" s="703">
        <f t="array" ref="BB14:BB17">IFERROR(VLOOKUP($BA$5:$BA$8,$C$14:$O$17,13,0),"")</f>
        <v>2</v>
      </c>
      <c r="BC14" s="705">
        <f t="array" ref="BC14:BC17">IFERROR(VLOOKUP($BA$5:$BA$8,$C$14:$S$17,17,0),"")</f>
        <v>2</v>
      </c>
      <c r="BE14" s="708" t="str">
        <f t="array" ref="BE14:BH17">IFERROR(VLOOKUP($AZ$14:$AZ$17&amp;$BE$13:$BH$13,$Z$22:$AA$33,2,0),"")</f>
        <v/>
      </c>
      <c r="BF14" s="709" t="str">
        <v>2 - 0</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0</v>
      </c>
      <c r="L15" s="664">
        <f>COUNTIFS($K$14:$K$17,"&gt;"&amp;$K15,$I$14:$I$17,"="&amp;$I15)</f>
        <v>1</v>
      </c>
      <c r="M15" s="680">
        <f t="shared" si="10"/>
        <v>2</v>
      </c>
      <c r="N15" s="679"/>
      <c r="O15" s="665">
        <f t="array" ref="O15">SUMPRODUCT($W$22:$W$27*($P$22:$P$27=$D15)*ISNUMBER(MATCH($Q$22:$Q$27,IF($I$14:$I$17=$I15,$D$14:$D$17,""),0)))+SUMPRODUCT(-$W$22:$W$27*($Q$22:$Q$27=$D15)*ISNUMBER(MATCH($P$22:$P$27,IF($I$14:$I$17=$I15,$D$14:$D$17,""),0)))</f>
        <v>-2</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Egypt</v>
      </c>
      <c r="BA15" s="686">
        <v>0</v>
      </c>
      <c r="BB15" s="686">
        <v>-2</v>
      </c>
      <c r="BC15" s="706">
        <v>0</v>
      </c>
      <c r="BE15" s="711" t="str">
        <v>0 - 2</v>
      </c>
      <c r="BF15" s="712" t="str">
        <v/>
      </c>
      <c r="BG15" s="713" t="str">
        <v/>
      </c>
      <c r="BH15" s="714" t="str">
        <v/>
      </c>
      <c r="BI15" s="713"/>
      <c r="BK15" s="683">
        <v>2</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 Iran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New Zealand</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Belgium</v>
      </c>
      <c r="I21" s="722" t="str">
        <v>Egypt</v>
      </c>
      <c r="J21" s="722" t="str">
        <v>IR Iran</v>
      </c>
      <c r="K21" s="723" t="str">
        <v>New Zealand</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Belgium</v>
      </c>
      <c r="E22" s="796">
        <f>VLOOKUP($D22,$D$5:$K$8,8,0)</f>
        <v>6</v>
      </c>
      <c r="F22" s="727">
        <f>VLOOKUP($D22,$D$5:$K$8,5,0)</f>
        <v>4</v>
      </c>
      <c r="G22" s="797">
        <f>VLOOKUP($D22,$D$5:$K$8,6,0)</f>
        <v>0</v>
      </c>
      <c r="H22" s="726" t="str">
        <f t="array" ref="H22:K25">IFERROR(VLOOKUP($D$22:$D$25&amp;$H$21:$K$21,$Z$22:$AA$33,2,0),"")</f>
        <v/>
      </c>
      <c r="I22" s="727" t="str">
        <v>2 - 0</v>
      </c>
      <c r="J22" s="727" t="str">
        <v>2 - 0</v>
      </c>
      <c r="K22" s="793" t="str">
        <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BelgiumEgypt</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Egypt</v>
      </c>
      <c r="E23" s="791">
        <f t="shared" ref="E23:E25" si="36">VLOOKUP($D23,$D$5:$K$8,8,0)</f>
        <v>6</v>
      </c>
      <c r="F23" s="664">
        <f t="shared" ref="F23:F25" si="37">VLOOKUP($D23,$D$5:$K$8,5,0)</f>
        <v>4</v>
      </c>
      <c r="G23" s="798">
        <f t="shared" ref="G23:G25" si="38">VLOOKUP($D23,$D$5:$K$8,6,0)</f>
        <v>4</v>
      </c>
      <c r="H23" s="728" t="str">
        <v>0 - 2</v>
      </c>
      <c r="I23" s="729" t="str">
        <v/>
      </c>
      <c r="J23" s="664" t="str">
        <v>2 - 1</v>
      </c>
      <c r="K23" s="794" t="str">
        <v>2 - 1</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IR IranNew Zealand</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IR Iran</v>
      </c>
      <c r="E24" s="791">
        <f t="shared" si="36"/>
        <v>3</v>
      </c>
      <c r="F24" s="664">
        <f t="shared" si="37"/>
        <v>2</v>
      </c>
      <c r="G24" s="798">
        <f t="shared" si="38"/>
        <v>4</v>
      </c>
      <c r="H24" s="728" t="str">
        <v>0 - 2</v>
      </c>
      <c r="I24" s="664" t="str">
        <v>1 - 2</v>
      </c>
      <c r="J24" s="729" t="str">
        <v/>
      </c>
      <c r="K24" s="794" t="str">
        <v>1 - 0</v>
      </c>
      <c r="L24" s="781" t="b">
        <f t="shared" si="39"/>
        <v>1</v>
      </c>
      <c r="M24" s="781" t="b">
        <v>0</v>
      </c>
      <c r="N24" s="665">
        <f t="shared" si="40"/>
        <v>21</v>
      </c>
      <c r="O24" s="744" t="s">
        <v>28</v>
      </c>
      <c r="P24" s="771" t="str">
        <f>INDEX('World Cup'!$B$13:$AJ$38,11,1+(CODE($B$1)-65)*3)</f>
        <v>Belgium</v>
      </c>
      <c r="Q24" s="772" t="str">
        <f>INDEX('World Cup'!$B$13:$AJ$38,11,2+(CODE($B$1)-65)*3)</f>
        <v>IR Iran</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BelgiumIR Iran</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New Zealand</v>
      </c>
      <c r="E25" s="799">
        <f t="shared" si="36"/>
        <v>0</v>
      </c>
      <c r="F25" s="731">
        <f t="shared" si="37"/>
        <v>1</v>
      </c>
      <c r="G25" s="800">
        <f t="shared" si="38"/>
        <v>3</v>
      </c>
      <c r="H25" s="730" t="str">
        <v/>
      </c>
      <c r="I25" s="731" t="str">
        <v>1 - 2</v>
      </c>
      <c r="J25" s="731" t="str">
        <v>0 - 1</v>
      </c>
      <c r="K25" s="795" t="str">
        <v/>
      </c>
      <c r="L25" s="781" t="b">
        <f t="shared" si="39"/>
        <v>1</v>
      </c>
      <c r="M25" s="781" t="b">
        <v>0</v>
      </c>
      <c r="N25" s="665">
        <f t="shared" si="40"/>
        <v>85</v>
      </c>
      <c r="O25" s="744" t="s">
        <v>29</v>
      </c>
      <c r="P25" s="771" t="str">
        <f>INDEX('World Cup'!$B$13:$AJ$38,16,1+(CODE($B$1)-65)*3)</f>
        <v>New Zealand</v>
      </c>
      <c r="Q25" s="772" t="str">
        <f>INDEX('World Cup'!$B$13:$AJ$38,16,2+(CODE($B$1)-65)*3)</f>
        <v>Egypt</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New ZealandEgypt</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EgyptIR Iran</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New Zealand</v>
      </c>
      <c r="Q27" s="775" t="str">
        <f>INDEX('World Cup'!$B$13:$AJ$38,26,2+(CODE($B$1)-65)*3)</f>
        <v>Belgium</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New ZealandBelgium</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2 - 1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1 - 2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Spain</v>
      </c>
      <c r="E5" s="874"/>
      <c r="F5" s="675"/>
      <c r="G5" s="686"/>
      <c r="H5" s="665">
        <f>SUMIFS($R$22:$R$27,$P$22:$P$27,$D5)+SUMIFS($S$22:$S$27,$Q$22:$Q$27,$D5)</f>
        <v>8</v>
      </c>
      <c r="I5" s="665">
        <f>SUMIFS($S$22:$S$27,$P$22:$P$27,$D5)+SUMIFS($R$22:$R$27,$Q$22:$Q$27,$D5)</f>
        <v>0</v>
      </c>
      <c r="J5" s="664">
        <f t="shared" ref="J5:J8" si="0">H5-I5</f>
        <v>8</v>
      </c>
      <c r="K5" s="676">
        <f>M5*3+N5</f>
        <v>6</v>
      </c>
      <c r="L5" s="665">
        <f>M5+N5+O5</f>
        <v>2</v>
      </c>
      <c r="M5" s="665">
        <f>SUMPRODUCT(($P$22:$P$27=D5)*($R$22:$R$27&gt;$S$22:$S$27))+SUMPRODUCT(($Q$22:$Q$27=D5)*($R$22:$R$27&lt;$S$22:$S$27))</f>
        <v>2</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Cape Verde</v>
      </c>
      <c r="E6" s="875"/>
      <c r="F6" s="675"/>
      <c r="G6" s="686"/>
      <c r="H6" s="665">
        <f>SUMIFS($R$22:$R$27,$P$22:$P$27,$D6)+SUMIFS($S$22:$S$27,$Q$22:$Q$27,$D6)</f>
        <v>0</v>
      </c>
      <c r="I6" s="665">
        <f>SUMIFS($S$22:$S$27,$P$22:$P$27,$D6)+SUMIFS($R$22:$R$27,$Q$22:$Q$27,$D6)</f>
        <v>10</v>
      </c>
      <c r="J6" s="664">
        <f t="shared" si="0"/>
        <v>-10</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Saudi Arabia</v>
      </c>
      <c r="E7" s="875"/>
      <c r="F7" s="675"/>
      <c r="G7" s="686"/>
      <c r="H7" s="665">
        <f>SUMIFS($R$22:$R$27,$P$22:$P$27,$D7)+SUMIFS($S$22:$S$27,$Q$22:$Q$27,$D7)</f>
        <v>3</v>
      </c>
      <c r="I7" s="665">
        <f>SUMIFS($S$22:$S$27,$P$22:$P$27,$D7)+SUMIFS($R$22:$R$27,$Q$22:$Q$27,$D7)</f>
        <v>5</v>
      </c>
      <c r="J7" s="664">
        <f t="shared" si="0"/>
        <v>-2</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Uruguay</v>
      </c>
      <c r="E8" s="875"/>
      <c r="F8" s="675"/>
      <c r="G8" s="686"/>
      <c r="H8" s="665">
        <f>SUMIFS($R$22:$R$27,$P$22:$P$27,$D8)+SUMIFS($S$22:$S$27,$Q$22:$Q$27,$D8)</f>
        <v>5</v>
      </c>
      <c r="I8" s="665">
        <f>SUMIFS($S$22:$S$27,$P$22:$P$27,$D8)+SUMIFS($R$22:$R$27,$Q$22:$Q$27,$D8)</f>
        <v>1</v>
      </c>
      <c r="J8" s="664">
        <f t="shared" si="0"/>
        <v>4</v>
      </c>
      <c r="K8" s="676">
        <f t="shared" si="1"/>
        <v>6</v>
      </c>
      <c r="L8" s="665">
        <f t="shared" si="2"/>
        <v>2</v>
      </c>
      <c r="M8" s="665">
        <f>SUMPRODUCT(($P$22:$P$27=D8)*($R$22:$R$27&gt;$S$22:$S$27))+SUMPRODUCT(($Q$22:$Q$27=D8)*($R$22:$R$27&lt;$S$22:$S$27))</f>
        <v>2</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5</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Spain</v>
      </c>
      <c r="BF13" s="693" t="str">
        <v>Uruguay</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Spain</v>
      </c>
      <c r="BA14" s="703">
        <f t="array" ref="BA14:BA17">IFERROR(VLOOKUP($BA$5:$BA$8,$C$14:$K$17,9,0),"")</f>
        <v>0</v>
      </c>
      <c r="BB14" s="703">
        <f t="array" ref="BB14:BB17">IFERROR(VLOOKUP($BA$5:$BA$8,$C$14:$O$17,13,0),"")</f>
        <v>0</v>
      </c>
      <c r="BC14" s="705">
        <f t="array" ref="BC14:BC17">IFERROR(VLOOKUP($BA$5:$BA$8,$C$14:$S$17,17,0),"")</f>
        <v>0</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Uruguay</v>
      </c>
      <c r="BA15" s="686">
        <v>0</v>
      </c>
      <c r="BB15" s="686">
        <v>0</v>
      </c>
      <c r="BC15" s="706">
        <v>0</v>
      </c>
      <c r="BE15" s="711" t="str">
        <v/>
      </c>
      <c r="BF15" s="712" t="str">
        <v/>
      </c>
      <c r="BG15" s="713" t="str">
        <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Saudi Arabia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Uruguay</v>
      </c>
      <c r="E17" s="685">
        <f t="shared" si="19"/>
        <v>2</v>
      </c>
      <c r="F17" s="675">
        <f t="shared" si="20"/>
        <v>2.0169999999999999</v>
      </c>
      <c r="G17" s="814">
        <f t="shared" si="21"/>
        <v>2</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1</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2</v>
      </c>
      <c r="AZ17" s="702" t="str">
        <v/>
      </c>
      <c r="BA17" s="704" t="str">
        <v/>
      </c>
      <c r="BB17" s="704" t="str">
        <v/>
      </c>
      <c r="BC17" s="707" t="str">
        <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Spain</v>
      </c>
      <c r="I21" s="722" t="str">
        <v>Uruguay</v>
      </c>
      <c r="J21" s="722" t="str">
        <v>Saudi Arabia</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Spain</v>
      </c>
      <c r="E22" s="796">
        <f>VLOOKUP($D22,$D$5:$K$8,8,0)</f>
        <v>6</v>
      </c>
      <c r="F22" s="727">
        <f>VLOOKUP($D22,$D$5:$K$8,5,0)</f>
        <v>8</v>
      </c>
      <c r="G22" s="797">
        <f>VLOOKUP($D22,$D$5:$K$8,6,0)</f>
        <v>0</v>
      </c>
      <c r="H22" s="726" t="str">
        <f t="array" ref="H22:K25">IFERROR(VLOOKUP($D$22:$D$25&amp;$H$21:$K$21,$Z$22:$AA$33,2,0),"")</f>
        <v/>
      </c>
      <c r="I22" s="727" t="str">
        <v/>
      </c>
      <c r="J22" s="727" t="str">
        <v>3 - 0</v>
      </c>
      <c r="K22" s="793" t="str">
        <v>5 - 0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5</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5</v>
      </c>
      <c r="X22" s="738">
        <f t="shared" ref="X22:X25" si="32">IF(OR(R22="",S22=""),0,R22)</f>
        <v>5</v>
      </c>
      <c r="Y22" s="739">
        <f t="shared" ref="Y22:Y25" si="33">IF(OR(R22="",S22=""),0,S22)</f>
        <v>0</v>
      </c>
      <c r="Z22" s="740" t="str">
        <f t="shared" ref="Z22:Z25" si="34">P22&amp;Q22</f>
        <v>SpainCape Verde</v>
      </c>
      <c r="AA22" s="741" t="str">
        <f>IF($T22,$X22&amp;Language!$E$197&amp;$Y22,"")</f>
        <v>5 - 0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Uruguay</v>
      </c>
      <c r="E23" s="791">
        <f t="shared" ref="E23:E25" si="36">VLOOKUP($D23,$D$5:$K$8,8,0)</f>
        <v>6</v>
      </c>
      <c r="F23" s="664">
        <f t="shared" ref="F23:F25" si="37">VLOOKUP($D23,$D$5:$K$8,5,0)</f>
        <v>5</v>
      </c>
      <c r="G23" s="798">
        <f t="shared" ref="G23:G25" si="38">VLOOKUP($D23,$D$5:$K$8,6,0)</f>
        <v>1</v>
      </c>
      <c r="H23" s="728" t="str">
        <v/>
      </c>
      <c r="I23" s="729" t="str">
        <v/>
      </c>
      <c r="J23" s="664" t="str">
        <v>2 - 1</v>
      </c>
      <c r="K23" s="794" t="str">
        <v>3 - 0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Saudi ArabiaUruguay</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Saudi Arabia</v>
      </c>
      <c r="E24" s="791">
        <f t="shared" si="36"/>
        <v>3</v>
      </c>
      <c r="F24" s="664">
        <f t="shared" si="37"/>
        <v>3</v>
      </c>
      <c r="G24" s="798">
        <f t="shared" si="38"/>
        <v>5</v>
      </c>
      <c r="H24" s="728" t="str">
        <v>0 - 3</v>
      </c>
      <c r="I24" s="664" t="str">
        <v>1 - 2</v>
      </c>
      <c r="J24" s="729" t="str">
        <v/>
      </c>
      <c r="K24" s="794" t="str">
        <v>2 - 0</v>
      </c>
      <c r="L24" s="781" t="b">
        <f t="shared" si="39"/>
        <v>1</v>
      </c>
      <c r="M24" s="781" t="b">
        <v>0</v>
      </c>
      <c r="N24" s="665">
        <f t="shared" si="40"/>
        <v>61</v>
      </c>
      <c r="O24" s="744" t="s">
        <v>28</v>
      </c>
      <c r="P24" s="771" t="str">
        <f>INDEX('World Cup'!$B$13:$AJ$38,11,1+(CODE($B$1)-65)*3)</f>
        <v>Spain</v>
      </c>
      <c r="Q24" s="772" t="str">
        <f>INDEX('World Cup'!$B$13:$AJ$38,11,2+(CODE($B$1)-65)*3)</f>
        <v>Saudi Arabia</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SpainSaudi Arabia</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Cape Verde</v>
      </c>
      <c r="E25" s="799">
        <f t="shared" si="36"/>
        <v>0</v>
      </c>
      <c r="F25" s="731">
        <f t="shared" si="37"/>
        <v>0</v>
      </c>
      <c r="G25" s="800">
        <f t="shared" si="38"/>
        <v>10</v>
      </c>
      <c r="H25" s="730" t="str">
        <v>0 - 5</v>
      </c>
      <c r="I25" s="731" t="str">
        <v>0 - 3</v>
      </c>
      <c r="J25" s="731" t="str">
        <v>0 - 2</v>
      </c>
      <c r="K25" s="795" t="str">
        <v/>
      </c>
      <c r="L25" s="781" t="b">
        <f t="shared" si="39"/>
        <v>1</v>
      </c>
      <c r="M25" s="781" t="b">
        <v>0</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UruguayCape Verde</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Cape VerdeSaudi Arabia</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Uruguay</v>
      </c>
      <c r="Q27" s="775" t="str">
        <f>INDEX('World Cup'!$B$13:$AJ$38,26,2+(CODE($B$1)-65)*3)</f>
        <v>Spain</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UruguaySpain</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0 - 5</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2 - 0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France</v>
      </c>
      <c r="E5" s="874"/>
      <c r="F5" s="675"/>
      <c r="G5" s="686"/>
      <c r="H5" s="665">
        <f>SUMIFS($R$22:$R$27,$P$22:$P$27,$D5)+SUMIFS($S$22:$S$27,$Q$22:$Q$27,$D5)</f>
        <v>7</v>
      </c>
      <c r="I5" s="665">
        <f>SUMIFS($S$22:$S$27,$P$22:$P$27,$D5)+SUMIFS($R$22:$R$27,$Q$22:$Q$27,$D5)</f>
        <v>1</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Senegal</v>
      </c>
      <c r="E6" s="875"/>
      <c r="F6" s="675"/>
      <c r="G6" s="686"/>
      <c r="H6" s="665">
        <f>SUMIFS($R$22:$R$27,$P$22:$P$27,$D6)+SUMIFS($S$22:$S$27,$Q$22:$Q$27,$D6)</f>
        <v>1</v>
      </c>
      <c r="I6" s="665">
        <f>SUMIFS($S$22:$S$27,$P$22:$P$27,$D6)+SUMIFS($R$22:$R$27,$Q$22:$Q$27,$D6)</f>
        <v>4</v>
      </c>
      <c r="J6" s="664">
        <f t="shared" si="0"/>
        <v>-3</v>
      </c>
      <c r="K6" s="676">
        <f t="shared" ref="K6:K8" si="1">M6*3+N6</f>
        <v>0</v>
      </c>
      <c r="L6" s="665">
        <f t="shared" ref="L6:L8" si="2">M6+N6+O6</f>
        <v>2</v>
      </c>
      <c r="M6" s="665">
        <f>SUMPRODUCT(($P$22:$P$27=D6)*($R$22:$R$27&gt;$S$22:$S$27))+SUMPRODUCT(($Q$22:$Q$27=D6)*($R$22:$R$27&lt;$S$22:$S$27))</f>
        <v>0</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Iraq</v>
      </c>
      <c r="E7" s="875"/>
      <c r="F7" s="675"/>
      <c r="G7" s="686"/>
      <c r="H7" s="665">
        <f>SUMIFS($R$22:$R$27,$P$22:$P$27,$D7)+SUMIFS($S$22:$S$27,$Q$22:$Q$27,$D7)</f>
        <v>1</v>
      </c>
      <c r="I7" s="665">
        <f>SUMIFS($S$22:$S$27,$P$22:$P$27,$D7)+SUMIFS($R$22:$R$27,$Q$22:$Q$27,$D7)</f>
        <v>6</v>
      </c>
      <c r="J7" s="664">
        <f t="shared" si="0"/>
        <v>-5</v>
      </c>
      <c r="K7" s="676">
        <f t="shared" si="1"/>
        <v>0</v>
      </c>
      <c r="L7" s="665">
        <f t="shared" si="2"/>
        <v>2</v>
      </c>
      <c r="M7" s="665">
        <f>SUMPRODUCT(($P$22:$P$27=D7)*($R$22:$R$27&gt;$S$22:$S$27))+SUMPRODUCT(($Q$22:$Q$27=D7)*($R$22:$R$27&lt;$S$22:$S$27))</f>
        <v>0</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Norway</v>
      </c>
      <c r="E8" s="875"/>
      <c r="F8" s="675"/>
      <c r="G8" s="686"/>
      <c r="H8" s="665">
        <f>SUMIFS($R$22:$R$27,$P$22:$P$27,$D8)+SUMIFS($S$22:$S$27,$Q$22:$Q$27,$D8)</f>
        <v>6</v>
      </c>
      <c r="I8" s="665">
        <f>SUMIFS($S$22:$S$27,$P$22:$P$27,$D8)+SUMIFS($R$22:$R$27,$Q$22:$Q$27,$D8)</f>
        <v>4</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3</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5</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Senegal</v>
      </c>
      <c r="BH13" s="694" t="str">
        <v>Iraq</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Iraq</v>
      </c>
      <c r="E16" s="682">
        <f t="shared" si="19"/>
        <v>4</v>
      </c>
      <c r="F16" s="675">
        <f t="shared" si="20"/>
        <v>4.016</v>
      </c>
      <c r="G16" s="814">
        <f t="shared" si="21"/>
        <v>4</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1</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4</v>
      </c>
      <c r="AZ16" s="701" t="str">
        <v>Senegal</v>
      </c>
      <c r="BA16" s="686">
        <v>0</v>
      </c>
      <c r="BB16" s="686">
        <v>0</v>
      </c>
      <c r="BC16" s="706">
        <v>0</v>
      </c>
      <c r="BE16" s="711" t="str">
        <v/>
      </c>
      <c r="BF16" s="713" t="str">
        <v/>
      </c>
      <c r="BG16" s="712" t="str">
        <v/>
      </c>
      <c r="BH16" s="714" t="str">
        <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Norway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Iraq</v>
      </c>
      <c r="BA17" s="704">
        <v>0</v>
      </c>
      <c r="BB17" s="704">
        <v>0</v>
      </c>
      <c r="BC17" s="707">
        <v>0</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France</v>
      </c>
      <c r="E22" s="796">
        <f>VLOOKUP($D22,$D$5:$K$8,8,0)</f>
        <v>9</v>
      </c>
      <c r="F22" s="727">
        <f>VLOOKUP($D22,$D$5:$K$8,5,0)</f>
        <v>7</v>
      </c>
      <c r="G22" s="797">
        <f>VLOOKUP($D22,$D$5:$K$8,6,0)</f>
        <v>1</v>
      </c>
      <c r="H22" s="726" t="str">
        <f t="array" ref="H22:K25">IFERROR(VLOOKUP($D$22:$D$25&amp;$H$21:$K$21,$Z$22:$AA$33,2,0),"")</f>
        <v/>
      </c>
      <c r="I22" s="727" t="str">
        <v>2 - 1</v>
      </c>
      <c r="J22" s="727" t="str">
        <v>2 - 0</v>
      </c>
      <c r="K22" s="793" t="str">
        <v>3 - 0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FranceSenegal</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Norway</v>
      </c>
      <c r="E23" s="791">
        <f t="shared" ref="E23:E25" si="36">VLOOKUP($D23,$D$5:$K$8,8,0)</f>
        <v>6</v>
      </c>
      <c r="F23" s="664">
        <f t="shared" ref="F23:F25" si="37">VLOOKUP($D23,$D$5:$K$8,5,0)</f>
        <v>6</v>
      </c>
      <c r="G23" s="798">
        <f t="shared" ref="G23:G25" si="38">VLOOKUP($D23,$D$5:$K$8,6,0)</f>
        <v>4</v>
      </c>
      <c r="H23" s="728" t="str">
        <v>1 - 2</v>
      </c>
      <c r="I23" s="729" t="str">
        <v/>
      </c>
      <c r="J23" s="664" t="str">
        <v>2 - 1</v>
      </c>
      <c r="K23" s="794" t="str">
        <v>3 - 1</v>
      </c>
      <c r="L23" s="781" t="b">
        <f t="shared" ref="L23:L25" si="39">OR($E23&gt;0,$G23&gt;0)</f>
        <v>1</v>
      </c>
      <c r="M23" s="781" t="b">
        <v>0</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IraqNorway</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Senegal</v>
      </c>
      <c r="E24" s="791">
        <f t="shared" si="36"/>
        <v>0</v>
      </c>
      <c r="F24" s="664">
        <f t="shared" si="37"/>
        <v>1</v>
      </c>
      <c r="G24" s="798">
        <f t="shared" si="38"/>
        <v>4</v>
      </c>
      <c r="H24" s="728" t="str">
        <v>0 - 2</v>
      </c>
      <c r="I24" s="664" t="str">
        <v>1 - 2</v>
      </c>
      <c r="J24" s="729" t="str">
        <v/>
      </c>
      <c r="K24" s="794" t="str">
        <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FranceIraq</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Iraq</v>
      </c>
      <c r="E25" s="799">
        <f t="shared" si="36"/>
        <v>0</v>
      </c>
      <c r="F25" s="731">
        <f t="shared" si="37"/>
        <v>1</v>
      </c>
      <c r="G25" s="800">
        <f t="shared" si="38"/>
        <v>6</v>
      </c>
      <c r="H25" s="730" t="str">
        <v>0 - 3</v>
      </c>
      <c r="I25" s="731" t="str">
        <v>1 - 3</v>
      </c>
      <c r="J25" s="731" t="str">
        <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NorwaySenegal</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NorwayFrance</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Senegal</v>
      </c>
      <c r="Q27" s="775" t="str">
        <f>INDEX('World Cup'!$B$13:$AJ$38,26,2+(CODE($B$1)-65)*3)</f>
        <v>Iraq</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SenegalIraq</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1 - 2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2 - 1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841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Argentina</v>
      </c>
      <c r="E5" s="874"/>
      <c r="F5" s="675"/>
      <c r="G5" s="686"/>
      <c r="H5" s="665">
        <f>SUMIFS($R$22:$R$27,$P$22:$P$27,$D5)+SUMIFS($S$22:$S$27,$Q$22:$Q$27,$D5)</f>
        <v>5</v>
      </c>
      <c r="I5" s="665">
        <f>SUMIFS($S$22:$S$27,$P$22:$P$27,$D5)+SUMIFS($R$22:$R$27,$Q$22:$Q$27,$D5)</f>
        <v>3</v>
      </c>
      <c r="J5" s="664">
        <f t="shared" ref="J5:J8" si="0">H5-I5</f>
        <v>2</v>
      </c>
      <c r="K5" s="676">
        <f>M5*3+N5</f>
        <v>3</v>
      </c>
      <c r="L5" s="665">
        <f>M5+N5+O5</f>
        <v>2</v>
      </c>
      <c r="M5" s="665">
        <f>SUMPRODUCT(($P$22:$P$27=D5)*($R$22:$R$27&gt;$S$22:$S$27))+SUMPRODUCT(($Q$22:$Q$27=D5)*($R$22:$R$27&lt;$S$22:$S$27))</f>
        <v>1</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Algeria</v>
      </c>
      <c r="E6" s="875"/>
      <c r="F6" s="675"/>
      <c r="G6" s="686"/>
      <c r="H6" s="665">
        <f>SUMIFS($R$22:$R$27,$P$22:$P$27,$D6)+SUMIFS($S$22:$S$27,$Q$22:$Q$27,$D6)</f>
        <v>1</v>
      </c>
      <c r="I6" s="665">
        <f>SUMIFS($S$22:$S$27,$P$22:$P$27,$D6)+SUMIFS($R$22:$R$27,$Q$22:$Q$27,$D6)</f>
        <v>4</v>
      </c>
      <c r="J6" s="664">
        <f t="shared" si="0"/>
        <v>-3</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1</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Austria</v>
      </c>
      <c r="E7" s="875"/>
      <c r="F7" s="675"/>
      <c r="G7" s="686"/>
      <c r="H7" s="665">
        <f>SUMIFS($R$22:$R$27,$P$22:$P$27,$D7)+SUMIFS($S$22:$S$27,$Q$22:$Q$27,$D7)</f>
        <v>6</v>
      </c>
      <c r="I7" s="665">
        <f>SUMIFS($S$22:$S$27,$P$22:$P$27,$D7)+SUMIFS($R$22:$R$27,$Q$22:$Q$27,$D7)</f>
        <v>2</v>
      </c>
      <c r="J7" s="664">
        <f t="shared" si="0"/>
        <v>4</v>
      </c>
      <c r="K7" s="676">
        <f t="shared" si="1"/>
        <v>9</v>
      </c>
      <c r="L7" s="665">
        <f t="shared" si="2"/>
        <v>3</v>
      </c>
      <c r="M7" s="665">
        <f>SUMPRODUCT(($P$22:$P$27=D7)*($R$22:$R$27&gt;$S$22:$S$27))+SUMPRODUCT(($Q$22:$Q$27=D7)*($R$22:$R$27&lt;$S$22:$S$27))</f>
        <v>3</v>
      </c>
      <c r="N7" s="665">
        <f>SUMPRODUCT(($P$22:$Q$27=D7)*($R$22:$R$27=$S$22:$S$27)*($R$22:$R$27&lt;&gt;"")*($S$22:$S$27&lt;&gt;""))</f>
        <v>0</v>
      </c>
      <c r="O7" s="665">
        <f>SUMPRODUCT(($P$22:$P$27=D7)*($R$22:$R$27&lt;$S$22:$S$27))+SUMPRODUCT(($Q$22:$Q$27=D7)*($R$22:$R$27&gt;$S$22:$S$27))</f>
        <v>0</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Jordan</v>
      </c>
      <c r="E8" s="875"/>
      <c r="F8" s="675"/>
      <c r="G8" s="686"/>
      <c r="H8" s="665">
        <f>SUMIFS($R$22:$R$27,$P$22:$P$27,$D8)+SUMIFS($S$22:$S$27,$Q$22:$Q$27,$D8)</f>
        <v>0</v>
      </c>
      <c r="I8" s="665">
        <f>SUMIFS($S$22:$S$27,$P$22:$P$27,$D8)+SUMIFS($R$22:$R$27,$Q$22:$Q$27,$D8)</f>
        <v>3</v>
      </c>
      <c r="J8" s="664">
        <f t="shared" si="0"/>
        <v>-3</v>
      </c>
      <c r="K8" s="676">
        <f t="shared" si="1"/>
        <v>0</v>
      </c>
      <c r="L8" s="665">
        <f t="shared" si="2"/>
        <v>2</v>
      </c>
      <c r="M8" s="665">
        <f>SUMPRODUCT(($P$22:$P$27=D8)*($R$22:$R$27&gt;$S$22:$S$27))+SUMPRODUCT(($Q$22:$Q$27=D8)*($R$22:$R$27&lt;$S$22:$S$27))</f>
        <v>0</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5</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Argentina</v>
      </c>
      <c r="BG13" s="693" t="str">
        <v>Algeria</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Argentina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3</v>
      </c>
      <c r="L14" s="697">
        <f>COUNTIFS($K$14:$K$17,"&gt;"&amp;$K14,$I$14:$I$17,"="&amp;$I14)</f>
        <v>0</v>
      </c>
      <c r="M14" s="681">
        <f t="shared" ref="M14:M17" si="10">I14+L14</f>
        <v>2</v>
      </c>
      <c r="N14" s="679"/>
      <c r="O14" s="696">
        <f t="array" ref="O14">SUMPRODUCT($W$22:$W$27*($P$22:$P$27=$D14)*ISNUMBER(MATCH($Q$22:$Q$27,IF($I$14:$I$17=$I14,$D$14:$D$17,""),0)))+SUMPRODUCT(-$W$22:$W$27*($Q$22:$Q$27=$D14)*ISNUMBER(MATCH($P$22:$P$27,IF($I$14:$I$17=$I14,$D$14:$D$17,""),0)))</f>
        <v>3</v>
      </c>
      <c r="P14" s="697">
        <f>COUNTIFS($O$14:$O$17,"&gt;"&amp;$O14,$M$14:$M$17,"="&amp;$M14)</f>
        <v>0</v>
      </c>
      <c r="Q14" s="681">
        <f t="shared" ref="Q14:Q17" si="11">M14+P14</f>
        <v>2</v>
      </c>
      <c r="R14" s="679"/>
      <c r="S14" s="696">
        <f t="array" ref="S14">SUMPRODUCT($X$22:$X$27*($P$22:$P$27=$D14)*ISNUMBER(MATCH($Q$22:$Q$27,IF($I$14:$I$17=$I14,$D$14:$D$17,""),0)))+SUMPRODUCT($Y$22:$Y$27*($Q$22:$Q$27=$D14)*ISNUMBER(MATCH($P$22:$P$27,IF($I$14:$I$17=$I14,$D$14:$D$17,""),0)))</f>
        <v>3</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2</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2</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Algeria</v>
      </c>
      <c r="E15" s="682">
        <f t="shared" ref="E15:E17" si="19">RANK(F15,$F$14:$F$17,1)</f>
        <v>3</v>
      </c>
      <c r="F15" s="675">
        <f t="shared" ref="F15:F17" si="20">G15+ROW()/1000+(D15="")*10</f>
        <v>3.0150000000000001</v>
      </c>
      <c r="G15" s="814">
        <f t="shared" ref="G15:G17" si="21">AS15</f>
        <v>3</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1</v>
      </c>
      <c r="M15" s="680">
        <f t="shared" si="10"/>
        <v>3</v>
      </c>
      <c r="N15" s="679"/>
      <c r="O15" s="665">
        <f t="array" ref="O15">SUMPRODUCT($W$22:$W$27*($P$22:$P$27=$D15)*ISNUMBER(MATCH($Q$22:$Q$27,IF($I$14:$I$17=$I15,$D$14:$D$17,""),0)))+SUMPRODUCT(-$W$22:$W$27*($Q$22:$Q$27=$D15)*ISNUMBER(MATCH($P$22:$P$27,IF($I$14:$I$17=$I15,$D$14:$D$17,""),0)))</f>
        <v>-3</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Argentina</v>
      </c>
      <c r="BA15" s="686">
        <v>3</v>
      </c>
      <c r="BB15" s="686">
        <v>3</v>
      </c>
      <c r="BC15" s="706">
        <v>3</v>
      </c>
      <c r="BE15" s="711" t="str">
        <v/>
      </c>
      <c r="BF15" s="712" t="str">
        <v/>
      </c>
      <c r="BG15" s="713" t="str">
        <v>3 - 0</v>
      </c>
      <c r="BH15" s="714" t="str">
        <v/>
      </c>
      <c r="BI15" s="713"/>
      <c r="BK15" s="683">
        <v>3</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Austria</v>
      </c>
      <c r="E16" s="682">
        <f t="shared" si="19"/>
        <v>1</v>
      </c>
      <c r="F16" s="675">
        <f t="shared" si="20"/>
        <v>1.016</v>
      </c>
      <c r="G16" s="814">
        <f t="shared" si="21"/>
        <v>1</v>
      </c>
      <c r="H16" s="679"/>
      <c r="I16" s="684">
        <f t="shared" si="22"/>
        <v>1</v>
      </c>
      <c r="J16" s="790"/>
      <c r="K16" s="665">
        <f t="array" ref="K16">SUMPRODUCT($U$22:$U$27*($P$22:$P$27=$D16)*ISNUMBER(MATCH($Q$22:$Q$27,IF($I$14:$I$17=$I16,$D$14:$D$17,""),0)))+SUMPRODUCT($V$22:$V$27*($Q$22:$Q$27=$D16)*ISNUMBER(MATCH($P$22:$P$27,IF($I$14:$I$17=$I16,$D$14:$D$17,""),0)))</f>
        <v>0</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0</v>
      </c>
      <c r="T16" s="664">
        <f>COUNTIFS($S$14:$S$17,"&gt;"&amp;$S16,$Q$14:$Q$17,"="&amp;$Q16)</f>
        <v>0</v>
      </c>
      <c r="U16" s="680">
        <f t="shared" si="12"/>
        <v>1</v>
      </c>
      <c r="V16" s="790"/>
      <c r="W16" s="665">
        <f t="array" ref="W16">SUMPRODUCT($U$22:$U$27*($P$22:$P$27=$D16)*ISNUMBER(MATCH($Q$22:$Q$27,IF($U$14:$U$17=$U16,$D$14:$D$17,""),0)))+SUMPRODUCT($V$22:$V$27*($Q$22:$Q$27=$D16)*ISNUMBER(MATCH($P$22:$P$27,IF($U$14:$U$17=$U16,$D$14:$D$17,""),0)))</f>
        <v>0</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0</v>
      </c>
      <c r="AF16" s="664">
        <f>COUNTIFS($AE$14:$AE$17,"&gt;"&amp;$AE16,$AC$14:$AC$17,"="&amp;$AC16)</f>
        <v>0</v>
      </c>
      <c r="AG16" s="680">
        <f t="shared" si="15"/>
        <v>1</v>
      </c>
      <c r="AH16" s="790"/>
      <c r="AI16" s="686">
        <f>COUNTIFS($J$5:$J$8,"&gt;"&amp;$J7,$AG$14:$AG$17,"="&amp;$AG16)</f>
        <v>0</v>
      </c>
      <c r="AJ16" s="680">
        <f t="shared" si="23"/>
        <v>1</v>
      </c>
      <c r="AK16" s="679"/>
      <c r="AL16" s="686">
        <f>COUNTIFS($H$5:$H$8,"&gt;"&amp;$H7,$AJ$14:$AJ$17,"="&amp;$AJ16)</f>
        <v>0</v>
      </c>
      <c r="AM16" s="680">
        <f t="shared" si="24"/>
        <v>1</v>
      </c>
      <c r="AN16" s="679"/>
      <c r="AO16" s="686">
        <f>COUNTIFS($P$5:$P$8,"&gt;"&amp;$P7,$AM$14:$AM$17,"="&amp;$AM16)</f>
        <v>0</v>
      </c>
      <c r="AP16" s="680">
        <f t="shared" si="16"/>
        <v>1</v>
      </c>
      <c r="AQ16" s="679"/>
      <c r="AR16" s="686">
        <f t="shared" si="25"/>
        <v>0</v>
      </c>
      <c r="AS16" s="680">
        <f t="shared" si="17"/>
        <v>1</v>
      </c>
      <c r="AT16" s="679"/>
      <c r="AV16" s="713" t="b">
        <f t="shared" si="26"/>
        <v>0</v>
      </c>
      <c r="AX16" s="686"/>
      <c r="AY16" s="713">
        <f t="shared" si="27"/>
        <v>0</v>
      </c>
      <c r="AZ16" s="701" t="str">
        <v>Algeria</v>
      </c>
      <c r="BA16" s="686">
        <v>0</v>
      </c>
      <c r="BB16" s="686">
        <v>-3</v>
      </c>
      <c r="BC16" s="706">
        <v>0</v>
      </c>
      <c r="BE16" s="711" t="str">
        <v/>
      </c>
      <c r="BF16" s="713" t="str">
        <v>0 - 3</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Jordan</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Austria</v>
      </c>
      <c r="I21" s="722" t="str">
        <v>Argentina</v>
      </c>
      <c r="J21" s="722" t="str">
        <v>Algeria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Austria</v>
      </c>
      <c r="E22" s="796">
        <f>VLOOKUP($D22,$D$5:$K$8,8,0)</f>
        <v>9</v>
      </c>
      <c r="F22" s="727">
        <f>VLOOKUP($D22,$D$5:$K$8,5,0)</f>
        <v>6</v>
      </c>
      <c r="G22" s="797">
        <f>VLOOKUP($D22,$D$5:$K$8,6,0)</f>
        <v>2</v>
      </c>
      <c r="H22" s="726" t="str">
        <f t="array" ref="H22:K25">IFERROR(VLOOKUP($D$22:$D$25&amp;$H$21:$K$21,$Z$22:$AA$33,2,0),"")</f>
        <v/>
      </c>
      <c r="I22" s="727" t="str">
        <v>3 - 2</v>
      </c>
      <c r="J22" s="727" t="str">
        <v>1 - 0</v>
      </c>
      <c r="K22" s="793" t="str">
        <v>2 - 0</v>
      </c>
      <c r="L22" s="781" t="b">
        <f>OR($E22&gt;0,$G22&gt;0)</f>
        <v>1</v>
      </c>
      <c r="M22" s="781" t="b">
        <f t="array" ref="M22:M25">VLOOKUP($D$22:$D$25,$D$14:$AV$17,45,0)</f>
        <v>0</v>
      </c>
      <c r="N22" s="665">
        <f>VLOOKUP($D22,$D$5:$Q$8,14,0)</f>
        <v>24</v>
      </c>
      <c r="O22" s="732" t="s">
        <v>26</v>
      </c>
      <c r="P22" s="768" t="str">
        <f>INDEX('World Cup'!$B$13:$AJ$38,1,1+(CODE($B$1)-65)*3)</f>
        <v>Argentina</v>
      </c>
      <c r="Q22" s="769" t="str">
        <f>INDEX('World Cup'!$B$13:$AJ$38,1,2+(CODE($B$1)-65)*3)</f>
        <v>Algeria</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ArgentinaAlgeria</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Argentina</v>
      </c>
      <c r="E23" s="791">
        <f t="shared" ref="E23:E25" si="36">VLOOKUP($D23,$D$5:$K$8,8,0)</f>
        <v>3</v>
      </c>
      <c r="F23" s="664">
        <f t="shared" ref="F23:F25" si="37">VLOOKUP($D23,$D$5:$K$8,5,0)</f>
        <v>5</v>
      </c>
      <c r="G23" s="798">
        <f t="shared" ref="G23:G25" si="38">VLOOKUP($D23,$D$5:$K$8,6,0)</f>
        <v>3</v>
      </c>
      <c r="H23" s="728" t="str">
        <v>2 - 3</v>
      </c>
      <c r="I23" s="729" t="str">
        <v/>
      </c>
      <c r="J23" s="664" t="str">
        <v>3 - 0</v>
      </c>
      <c r="K23" s="794" t="str">
        <v/>
      </c>
      <c r="L23" s="781" t="b">
        <f t="shared" ref="L23:L25" si="39">OR($E23&gt;0,$G23&gt;0)</f>
        <v>1</v>
      </c>
      <c r="M23" s="781" t="b">
        <v>0</v>
      </c>
      <c r="N23" s="665">
        <f t="shared" ref="N23:N25" si="40">VLOOKUP($D23,$D$5:$Q$8,14,0)</f>
        <v>3</v>
      </c>
      <c r="O23" s="744" t="s">
        <v>27</v>
      </c>
      <c r="P23" s="771" t="str">
        <f>INDEX('World Cup'!$B$13:$AJ$38,6,1+(CODE($B$1)-65)*3)</f>
        <v>Austria</v>
      </c>
      <c r="Q23" s="772" t="str">
        <f>INDEX('World Cup'!$B$13:$AJ$38,6,2+(CODE($B$1)-65)*3)</f>
        <v>Jordan</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AustriaJordan</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Algeria</v>
      </c>
      <c r="E24" s="791">
        <f t="shared" si="36"/>
        <v>3</v>
      </c>
      <c r="F24" s="664">
        <f t="shared" si="37"/>
        <v>1</v>
      </c>
      <c r="G24" s="798">
        <f t="shared" si="38"/>
        <v>4</v>
      </c>
      <c r="H24" s="728" t="str">
        <v>0 - 1</v>
      </c>
      <c r="I24" s="664" t="str">
        <v>0 - 3</v>
      </c>
      <c r="J24" s="729" t="str">
        <v/>
      </c>
      <c r="K24" s="794" t="str">
        <v>1 - 0</v>
      </c>
      <c r="L24" s="781" t="b">
        <f t="shared" si="39"/>
        <v>1</v>
      </c>
      <c r="M24" s="781" t="b">
        <v>0</v>
      </c>
      <c r="N24" s="665">
        <f t="shared" si="40"/>
        <v>28</v>
      </c>
      <c r="O24" s="744" t="s">
        <v>28</v>
      </c>
      <c r="P24" s="771" t="str">
        <f>INDEX('World Cup'!$B$13:$AJ$38,11,1+(CODE($B$1)-65)*3)</f>
        <v>Argentina</v>
      </c>
      <c r="Q24" s="772" t="str">
        <f>INDEX('World Cup'!$B$13:$AJ$38,11,2+(CODE($B$1)-65)*3)</f>
        <v>Austria</v>
      </c>
      <c r="R24" s="772">
        <f>IF(OR(INDEX('World Cup'!$B$14:$AJ$39,11,1+(CODE($B$1)-65)*3)="",INDEX('World Cup'!$B$14:$AJ$39,11,2+(CODE($B$1)-65)*3)=""),"",INDEX('World Cup'!$B$14:$AJ$39,11,1+(CODE($B$1)-65)*3))</f>
        <v>2</v>
      </c>
      <c r="S24" s="773">
        <f>IF(OR(INDEX('World Cup'!$B$14:$AJ$39,11,1+(CODE($B$1)-65)*3)="",INDEX('World Cup'!$B$14:$AJ$39,11,2+(CODE($B$1)-65)*3)=""),"",INDEX('World Cup'!$B$14:$AJ$39,11,2+(CODE($B$1)-65)*3))</f>
        <v>3</v>
      </c>
      <c r="T24" s="664">
        <f t="shared" si="28"/>
        <v>1</v>
      </c>
      <c r="U24" s="746">
        <f t="shared" si="29"/>
        <v>0</v>
      </c>
      <c r="V24" s="664">
        <f t="shared" si="30"/>
        <v>3</v>
      </c>
      <c r="W24" s="747">
        <f t="shared" si="31"/>
        <v>-1</v>
      </c>
      <c r="X24" s="748">
        <f t="shared" si="32"/>
        <v>2</v>
      </c>
      <c r="Y24" s="749">
        <f t="shared" si="33"/>
        <v>3</v>
      </c>
      <c r="Z24" s="750" t="str">
        <f t="shared" si="34"/>
        <v>ArgentinaAustria</v>
      </c>
      <c r="AA24" s="751" t="str">
        <f>IF($T24,$X24&amp;Language!$E$197&amp;$Y24,"")</f>
        <v>2 - 3</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Jordan</v>
      </c>
      <c r="E25" s="799">
        <f t="shared" si="36"/>
        <v>0</v>
      </c>
      <c r="F25" s="731">
        <f t="shared" si="37"/>
        <v>0</v>
      </c>
      <c r="G25" s="800">
        <f t="shared" si="38"/>
        <v>3</v>
      </c>
      <c r="H25" s="730" t="str">
        <v>0 - 2</v>
      </c>
      <c r="I25" s="731" t="str">
        <v/>
      </c>
      <c r="J25" s="731" t="str">
        <v>0 - 1</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0</v>
      </c>
      <c r="S25" s="773">
        <f>IF(OR(INDEX('World Cup'!$B$14:$AJ$39,16,1+(CODE($B$1)-65)*3)="",INDEX('World Cup'!$B$14:$AJ$39,16,2+(CODE($B$1)-65)*3)=""),"",INDEX('World Cup'!$B$14:$AJ$39,16,2+(CODE($B$1)-65)*3))</f>
        <v>1</v>
      </c>
      <c r="T25" s="664">
        <f t="shared" si="28"/>
        <v>1</v>
      </c>
      <c r="U25" s="746">
        <f t="shared" si="29"/>
        <v>0</v>
      </c>
      <c r="V25" s="664">
        <f t="shared" si="30"/>
        <v>3</v>
      </c>
      <c r="W25" s="747">
        <f t="shared" si="31"/>
        <v>-1</v>
      </c>
      <c r="X25" s="748">
        <f t="shared" si="32"/>
        <v>0</v>
      </c>
      <c r="Y25" s="749">
        <f t="shared" si="33"/>
        <v>1</v>
      </c>
      <c r="Z25" s="750" t="str">
        <f t="shared" si="34"/>
        <v>JordanAlgeria</v>
      </c>
      <c r="AA25" s="751" t="str">
        <f>IF($T25,$X25&amp;Language!$E$197&amp;$Y25,"")</f>
        <v>0 - 1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0</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0</v>
      </c>
      <c r="Y26" s="749">
        <f t="shared" ref="Y26:Y27" si="47">IF(OR(R26="",S26=""),0,S26)</f>
        <v>1</v>
      </c>
      <c r="Z26" s="750" t="str">
        <f t="shared" ref="Z26:Z27" si="48">P26&amp;Q26</f>
        <v>AlgeriaAustria</v>
      </c>
      <c r="AA26" s="751" t="str">
        <f>IF($T26,$X26&amp;Language!$E$197&amp;$Y26,"")</f>
        <v>0 - 1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Jordan</v>
      </c>
      <c r="Q27" s="775" t="str">
        <f>INDEX('World Cup'!$B$13:$AJ$38,26,2+(CODE($B$1)-65)*3)</f>
        <v>Argentina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JordanArgentina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3 - 2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1 - 0</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1 - 0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Portugal</v>
      </c>
      <c r="E5" s="874"/>
      <c r="F5" s="675"/>
      <c r="G5" s="686"/>
      <c r="H5" s="665">
        <f>SUMIFS($R$22:$R$27,$P$22:$P$27,$D5)+SUMIFS($S$22:$S$27,$Q$22:$Q$27,$D5)</f>
        <v>9</v>
      </c>
      <c r="I5" s="665">
        <f>SUMIFS($S$22:$S$27,$P$22:$P$27,$D5)+SUMIFS($R$22:$R$27,$Q$22:$Q$27,$D5)</f>
        <v>0</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DR Congo</v>
      </c>
      <c r="E6" s="875"/>
      <c r="F6" s="675"/>
      <c r="G6" s="686"/>
      <c r="H6" s="665">
        <f>SUMIFS($R$22:$R$27,$P$22:$P$27,$D6)+SUMIFS($S$22:$S$27,$Q$22:$Q$27,$D6)</f>
        <v>0</v>
      </c>
      <c r="I6" s="665">
        <f>SUMIFS($S$22:$S$27,$P$22:$P$27,$D6)+SUMIFS($R$22:$R$27,$Q$22:$Q$27,$D6)</f>
        <v>5</v>
      </c>
      <c r="J6" s="664">
        <f t="shared" si="0"/>
        <v>-5</v>
      </c>
      <c r="K6" s="676">
        <f t="shared" ref="K6:K8" si="1">M6*3+N6</f>
        <v>0</v>
      </c>
      <c r="L6" s="665">
        <f t="shared" ref="L6:L8" si="2">M6+N6+O6</f>
        <v>2</v>
      </c>
      <c r="M6" s="665">
        <f>SUMPRODUCT(($P$22:$P$27=D6)*($R$22:$R$27&gt;$S$22:$S$27))+SUMPRODUCT(($Q$22:$Q$27=D6)*($R$22:$R$27&lt;$S$22:$S$27))</f>
        <v>0</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Uzbekistan</v>
      </c>
      <c r="E7" s="875"/>
      <c r="F7" s="675"/>
      <c r="G7" s="686"/>
      <c r="H7" s="665">
        <f>SUMIFS($R$22:$R$27,$P$22:$P$27,$D7)+SUMIFS($S$22:$S$27,$Q$22:$Q$27,$D7)</f>
        <v>0</v>
      </c>
      <c r="I7" s="665">
        <f>SUMIFS($S$22:$S$27,$P$22:$P$27,$D7)+SUMIFS($R$22:$R$27,$Q$22:$Q$27,$D7)</f>
        <v>4</v>
      </c>
      <c r="J7" s="664">
        <f t="shared" si="0"/>
        <v>-4</v>
      </c>
      <c r="K7" s="676">
        <f t="shared" si="1"/>
        <v>0</v>
      </c>
      <c r="L7" s="665">
        <f t="shared" si="2"/>
        <v>2</v>
      </c>
      <c r="M7" s="665">
        <f>SUMPRODUCT(($P$22:$P$27=D7)*($R$22:$R$27&gt;$S$22:$S$27))+SUMPRODUCT(($Q$22:$Q$27=D7)*($R$22:$R$27&lt;$S$22:$S$27))</f>
        <v>0</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Colombia</v>
      </c>
      <c r="E8" s="875"/>
      <c r="F8" s="675"/>
      <c r="G8" s="686"/>
      <c r="H8" s="665">
        <f>SUMIFS($R$22:$R$27,$P$22:$P$27,$D8)+SUMIFS($S$22:$S$27,$Q$22:$Q$27,$D8)</f>
        <v>3</v>
      </c>
      <c r="I8" s="665">
        <f>SUMIFS($S$22:$S$27,$P$22:$P$27,$D8)+SUMIFS($R$22:$R$27,$Q$22:$Q$27,$D8)</f>
        <v>3</v>
      </c>
      <c r="J8" s="664">
        <f t="shared" si="0"/>
        <v>0</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2</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5</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Uzbekistan</v>
      </c>
      <c r="BH13" s="694" t="str">
        <v>DR Congo</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DR Congo</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1</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4</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Uzbekistan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Uzbekistan</v>
      </c>
      <c r="BA16" s="686">
        <v>0</v>
      </c>
      <c r="BB16" s="686">
        <v>0</v>
      </c>
      <c r="BC16" s="706">
        <v>0</v>
      </c>
      <c r="BE16" s="711" t="str">
        <v/>
      </c>
      <c r="BF16" s="713" t="str">
        <v/>
      </c>
      <c r="BG16" s="712" t="str">
        <v/>
      </c>
      <c r="BH16" s="714" t="str">
        <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DR Congo</v>
      </c>
      <c r="BA17" s="704">
        <v>0</v>
      </c>
      <c r="BB17" s="704">
        <v>0</v>
      </c>
      <c r="BC17" s="707">
        <v>0</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Portugal</v>
      </c>
      <c r="I21" s="722" t="str">
        <v>Colombia</v>
      </c>
      <c r="J21" s="722" t="str">
        <v>Uzbekistan</v>
      </c>
      <c r="K21" s="723" t="str">
        <v>DR Congo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Portugal</v>
      </c>
      <c r="E22" s="796">
        <f>VLOOKUP($D22,$D$5:$K$8,8,0)</f>
        <v>9</v>
      </c>
      <c r="F22" s="727">
        <f>VLOOKUP($D22,$D$5:$K$8,5,0)</f>
        <v>9</v>
      </c>
      <c r="G22" s="797">
        <f>VLOOKUP($D22,$D$5:$K$8,6,0)</f>
        <v>0</v>
      </c>
      <c r="H22" s="726" t="str">
        <f t="array" ref="H22:K25">IFERROR(VLOOKUP($D$22:$D$25&amp;$H$21:$K$21,$Z$22:$AA$33,2,0),"")</f>
        <v/>
      </c>
      <c r="I22" s="727" t="str">
        <v>3 - 0</v>
      </c>
      <c r="J22" s="727" t="str">
        <v>3 - 0</v>
      </c>
      <c r="K22" s="793" t="str">
        <v>3 - 0</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PortugalDR Congo</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Colombia</v>
      </c>
      <c r="E23" s="791">
        <f t="shared" ref="E23:E25" si="36">VLOOKUP($D23,$D$5:$K$8,8,0)</f>
        <v>6</v>
      </c>
      <c r="F23" s="664">
        <f t="shared" ref="F23:F25" si="37">VLOOKUP($D23,$D$5:$K$8,5,0)</f>
        <v>3</v>
      </c>
      <c r="G23" s="798">
        <f t="shared" ref="G23:G25" si="38">VLOOKUP($D23,$D$5:$K$8,6,0)</f>
        <v>3</v>
      </c>
      <c r="H23" s="728" t="str">
        <v>0 - 3</v>
      </c>
      <c r="I23" s="729" t="str">
        <v/>
      </c>
      <c r="J23" s="664" t="str">
        <v>1 - 0</v>
      </c>
      <c r="K23" s="794" t="str">
        <v>2 - 0</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0</v>
      </c>
      <c r="S23" s="773">
        <f>IF(OR(INDEX('World Cup'!$B$14:$AJ$39,6,1+(CODE($B$1)-65)*3)="",INDEX('World Cup'!$B$14:$AJ$39,6,2+(CODE($B$1)-65)*3)=""),"",INDEX('World Cup'!$B$14:$AJ$39,6,2+(CODE($B$1)-65)*3))</f>
        <v>1</v>
      </c>
      <c r="T23" s="664">
        <f t="shared" si="28"/>
        <v>1</v>
      </c>
      <c r="U23" s="746">
        <f t="shared" si="29"/>
        <v>0</v>
      </c>
      <c r="V23" s="664">
        <f t="shared" si="30"/>
        <v>3</v>
      </c>
      <c r="W23" s="747">
        <f t="shared" si="31"/>
        <v>-1</v>
      </c>
      <c r="X23" s="748">
        <f t="shared" si="32"/>
        <v>0</v>
      </c>
      <c r="Y23" s="749">
        <f t="shared" si="33"/>
        <v>1</v>
      </c>
      <c r="Z23" s="750" t="str">
        <f t="shared" si="34"/>
        <v>UzbekistanColombia</v>
      </c>
      <c r="AA23" s="751" t="str">
        <f>IF($T23,$X23&amp;Language!$E$197&amp;$Y23,"")</f>
        <v>0 - 1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Uzbekistan</v>
      </c>
      <c r="E24" s="791">
        <f t="shared" si="36"/>
        <v>0</v>
      </c>
      <c r="F24" s="664">
        <f t="shared" si="37"/>
        <v>0</v>
      </c>
      <c r="G24" s="798">
        <f t="shared" si="38"/>
        <v>4</v>
      </c>
      <c r="H24" s="728" t="str">
        <v>0 - 3</v>
      </c>
      <c r="I24" s="664" t="str">
        <v>0 - 1</v>
      </c>
      <c r="J24" s="729" t="str">
        <v/>
      </c>
      <c r="K24" s="794" t="str">
        <v/>
      </c>
      <c r="L24" s="781" t="b">
        <f t="shared" si="39"/>
        <v>1</v>
      </c>
      <c r="M24" s="781" t="b">
        <v>0</v>
      </c>
      <c r="N24" s="665">
        <f t="shared" si="40"/>
        <v>50</v>
      </c>
      <c r="O24" s="744" t="s">
        <v>28</v>
      </c>
      <c r="P24" s="771" t="str">
        <f>INDEX('World Cup'!$B$13:$AJ$38,11,1+(CODE($B$1)-65)*3)</f>
        <v>Portugal</v>
      </c>
      <c r="Q24" s="772" t="str">
        <f>INDEX('World Cup'!$B$13:$AJ$38,11,2+(CODE($B$1)-65)*3)</f>
        <v>Uzbekistan</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PortugalUzbekistan</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DR Congo</v>
      </c>
      <c r="E25" s="799">
        <f t="shared" si="36"/>
        <v>0</v>
      </c>
      <c r="F25" s="731">
        <f t="shared" si="37"/>
        <v>0</v>
      </c>
      <c r="G25" s="800">
        <f t="shared" si="38"/>
        <v>5</v>
      </c>
      <c r="H25" s="730" t="str">
        <v>0 - 3</v>
      </c>
      <c r="I25" s="731" t="str">
        <v>0 - 2</v>
      </c>
      <c r="J25" s="731" t="str">
        <v/>
      </c>
      <c r="K25" s="795" t="str">
        <v/>
      </c>
      <c r="L25" s="781" t="b">
        <f t="shared" si="39"/>
        <v>1</v>
      </c>
      <c r="M25" s="781" t="b">
        <v>0</v>
      </c>
      <c r="N25" s="665">
        <f t="shared" si="40"/>
        <v>46</v>
      </c>
      <c r="O25" s="744" t="s">
        <v>29</v>
      </c>
      <c r="P25" s="771" t="str">
        <f>INDEX('World Cup'!$B$13:$AJ$38,16,1+(CODE($B$1)-65)*3)</f>
        <v>Colombia</v>
      </c>
      <c r="Q25" s="772" t="str">
        <f>INDEX('World Cup'!$B$13:$AJ$38,16,2+(CODE($B$1)-65)*3)</f>
        <v>DR Congo</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ColombiaDR Congo</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0</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-3</v>
      </c>
      <c r="X26" s="748">
        <f t="shared" ref="X26:X27" si="46">IF(OR(R26="",S26=""),0,R26)</f>
        <v>0</v>
      </c>
      <c r="Y26" s="749">
        <f t="shared" ref="Y26:Y27" si="47">IF(OR(R26="",S26=""),0,S26)</f>
        <v>3</v>
      </c>
      <c r="Z26" s="750" t="str">
        <f t="shared" ref="Z26:Z27" si="48">P26&amp;Q26</f>
        <v>ColombiaPortugal</v>
      </c>
      <c r="AA26" s="751" t="str">
        <f>IF($T26,$X26&amp;Language!$E$197&amp;$Y26,"")</f>
        <v>0 - 3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DR Congo</v>
      </c>
      <c r="Q27" s="775" t="str">
        <f>INDEX('World Cup'!$B$13:$AJ$38,26,2+(CODE($B$1)-65)*3)</f>
        <v>Uzbekistan</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DR CongoUzbekistan</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1 - 0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0 - 2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3 - 0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England</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Croatia</v>
      </c>
      <c r="E6" s="875"/>
      <c r="F6" s="675"/>
      <c r="G6" s="686"/>
      <c r="H6" s="665">
        <f>SUMIFS($R$22:$R$27,$P$22:$P$27,$D6)+SUMIFS($S$22:$S$27,$Q$22:$Q$27,$D6)</f>
        <v>4</v>
      </c>
      <c r="I6" s="665">
        <f>SUMIFS($S$22:$S$27,$P$22:$P$27,$D6)+SUMIFS($R$22:$R$27,$Q$22:$Q$27,$D6)</f>
        <v>4</v>
      </c>
      <c r="J6" s="664">
        <f t="shared" si="0"/>
        <v>0</v>
      </c>
      <c r="K6" s="676">
        <f t="shared" ref="K6:K8" si="1">M6*3+N6</f>
        <v>3</v>
      </c>
      <c r="L6" s="665">
        <f t="shared" ref="L6:L8" si="2">M6+N6+O6</f>
        <v>2</v>
      </c>
      <c r="M6" s="665">
        <f>SUMPRODUCT(($P$22:$P$27=D6)*($R$22:$R$27&gt;$S$22:$S$27))+SUMPRODUCT(($Q$22:$Q$27=D6)*($R$22:$R$27&lt;$S$22:$S$27))</f>
        <v>1</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Ghana</v>
      </c>
      <c r="E7" s="875"/>
      <c r="F7" s="675"/>
      <c r="G7" s="686"/>
      <c r="H7" s="665">
        <f>SUMIFS($R$22:$R$27,$P$22:$P$27,$D7)+SUMIFS($S$22:$S$27,$Q$22:$Q$27,$D7)</f>
        <v>3</v>
      </c>
      <c r="I7" s="665">
        <f>SUMIFS($S$22:$S$27,$P$22:$P$27,$D7)+SUMIFS($R$22:$R$27,$Q$22:$Q$27,$D7)</f>
        <v>3</v>
      </c>
      <c r="J7" s="664">
        <f t="shared" si="0"/>
        <v>0</v>
      </c>
      <c r="K7" s="676">
        <f t="shared" si="1"/>
        <v>3</v>
      </c>
      <c r="L7" s="665">
        <f t="shared" si="2"/>
        <v>2</v>
      </c>
      <c r="M7" s="665">
        <f>SUMPRODUCT(($P$22:$P$27=D7)*($R$22:$R$27&gt;$S$22:$S$27))+SUMPRODUCT(($Q$22:$Q$27=D7)*($R$22:$R$27&lt;$S$22:$S$27))</f>
        <v>1</v>
      </c>
      <c r="N7" s="665">
        <f>SUMPRODUCT(($P$22:$Q$27=D7)*($R$22:$R$27=$S$22:$S$27)*($R$22:$R$27&lt;&gt;"")*($S$22:$S$27&lt;&gt;""))</f>
        <v>0</v>
      </c>
      <c r="O7" s="665">
        <f>SUMPRODUCT(($P$22:$P$27=D7)*($R$22:$R$27&lt;$S$22:$S$27))+SUMPRODUCT(($Q$22:$Q$27=D7)*($R$22:$R$27&gt;$S$22:$S$27))</f>
        <v>1</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Panama</v>
      </c>
      <c r="E8" s="875"/>
      <c r="F8" s="675"/>
      <c r="G8" s="686"/>
      <c r="H8" s="665">
        <f>SUMIFS($R$22:$R$27,$P$22:$P$27,$D8)+SUMIFS($S$22:$S$27,$Q$22:$Q$27,$D8)</f>
        <v>1</v>
      </c>
      <c r="I8" s="665">
        <f>SUMIFS($S$22:$S$27,$P$22:$P$27,$D8)+SUMIFS($R$22:$R$27,$Q$22:$Q$27,$D8)</f>
        <v>7</v>
      </c>
      <c r="J8" s="664">
        <f t="shared" si="0"/>
        <v>-6</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5</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Croatia</v>
      </c>
      <c r="BG13" s="693" t="str">
        <v>Ghana</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Croatia</v>
      </c>
      <c r="BA15" s="686">
        <v>0</v>
      </c>
      <c r="BB15" s="686">
        <v>0</v>
      </c>
      <c r="BC15" s="706">
        <v>0</v>
      </c>
      <c r="BE15" s="711" t="str">
        <v/>
      </c>
      <c r="BF15" s="712" t="str">
        <v/>
      </c>
      <c r="BG15" s="713" t="str">
        <v/>
      </c>
      <c r="BH15" s="714" t="str">
        <v/>
      </c>
      <c r="BI15" s="713"/>
      <c r="BK15" s="683">
        <v>2</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Ghana</v>
      </c>
      <c r="E16" s="682">
        <f t="shared" si="19"/>
        <v>3</v>
      </c>
      <c r="F16" s="675">
        <f t="shared" si="20"/>
        <v>3.016</v>
      </c>
      <c r="G16" s="814">
        <f t="shared" si="21"/>
        <v>3</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1</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Ghana</v>
      </c>
      <c r="BA16" s="686">
        <v>0</v>
      </c>
      <c r="BB16" s="686">
        <v>0</v>
      </c>
      <c r="BC16" s="706">
        <v>0</v>
      </c>
      <c r="BE16" s="711" t="str">
        <v/>
      </c>
      <c r="BF16" s="713" t="str">
        <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England</v>
      </c>
      <c r="E22" s="796">
        <f>VLOOKUP($D22,$D$5:$K$8,8,0)</f>
        <v>9</v>
      </c>
      <c r="F22" s="727">
        <f>VLOOKUP($D22,$D$5:$K$8,5,0)</f>
        <v>8</v>
      </c>
      <c r="G22" s="797">
        <f>VLOOKUP($D22,$D$5:$K$8,6,0)</f>
        <v>2</v>
      </c>
      <c r="H22" s="726" t="str">
        <f t="array" ref="H22:K25">IFERROR(VLOOKUP($D$22:$D$25&amp;$H$21:$K$21,$Z$22:$AA$33,2,0),"")</f>
        <v/>
      </c>
      <c r="I22" s="727" t="str">
        <v>3 - 1</v>
      </c>
      <c r="J22" s="727" t="str">
        <v>3 - 1</v>
      </c>
      <c r="K22" s="793" t="str">
        <v>2 - 0</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EnglandCroatia</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Croatia</v>
      </c>
      <c r="E23" s="791">
        <f t="shared" ref="E23:E25" si="36">VLOOKUP($D23,$D$5:$K$8,8,0)</f>
        <v>3</v>
      </c>
      <c r="F23" s="664">
        <f t="shared" ref="F23:F25" si="37">VLOOKUP($D23,$D$5:$K$8,5,0)</f>
        <v>4</v>
      </c>
      <c r="G23" s="798">
        <f t="shared" ref="G23:G25" si="38">VLOOKUP($D23,$D$5:$K$8,6,0)</f>
        <v>4</v>
      </c>
      <c r="H23" s="728" t="str">
        <v>1 - 3</v>
      </c>
      <c r="I23" s="729" t="str">
        <v/>
      </c>
      <c r="J23" s="664" t="str">
        <v/>
      </c>
      <c r="K23" s="794" t="str">
        <v>3 - 1</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GhanaPanama</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Ghana</v>
      </c>
      <c r="E24" s="791">
        <f t="shared" si="36"/>
        <v>3</v>
      </c>
      <c r="F24" s="664">
        <f t="shared" si="37"/>
        <v>3</v>
      </c>
      <c r="G24" s="798">
        <f t="shared" si="38"/>
        <v>3</v>
      </c>
      <c r="H24" s="728" t="str">
        <v>1 - 3</v>
      </c>
      <c r="I24" s="664" t="str">
        <v/>
      </c>
      <c r="J24" s="729" t="str">
        <v/>
      </c>
      <c r="K24" s="794" t="str">
        <v>2 - 0</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EnglandGhana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Panama</v>
      </c>
      <c r="E25" s="799">
        <f t="shared" si="36"/>
        <v>0</v>
      </c>
      <c r="F25" s="731">
        <f t="shared" si="37"/>
        <v>1</v>
      </c>
      <c r="G25" s="800">
        <f t="shared" si="38"/>
        <v>7</v>
      </c>
      <c r="H25" s="730" t="str">
        <v>0 - 2</v>
      </c>
      <c r="I25" s="731" t="str">
        <v>1 - 3</v>
      </c>
      <c r="J25" s="731" t="str">
        <v>0 - 2</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1</v>
      </c>
      <c r="S25" s="773">
        <f>IF(OR(INDEX('World Cup'!$B$14:$AJ$39,16,1+(CODE($B$1)-65)*3)="",INDEX('World Cup'!$B$14:$AJ$39,16,2+(CODE($B$1)-65)*3)=""),"",INDEX('World Cup'!$B$14:$AJ$39,16,2+(CODE($B$1)-65)*3))</f>
        <v>3</v>
      </c>
      <c r="T25" s="664">
        <f t="shared" si="28"/>
        <v>1</v>
      </c>
      <c r="U25" s="746">
        <f t="shared" si="29"/>
        <v>0</v>
      </c>
      <c r="V25" s="664">
        <f t="shared" si="30"/>
        <v>3</v>
      </c>
      <c r="W25" s="747">
        <f t="shared" si="31"/>
        <v>-2</v>
      </c>
      <c r="X25" s="748">
        <f t="shared" si="32"/>
        <v>1</v>
      </c>
      <c r="Y25" s="749">
        <f t="shared" si="33"/>
        <v>3</v>
      </c>
      <c r="Z25" s="750" t="str">
        <f t="shared" si="34"/>
        <v>PanamaCroatia</v>
      </c>
      <c r="AA25" s="751" t="str">
        <f>IF($T25,$X25&amp;Language!$E$197&amp;$Y25,"")</f>
        <v>1 - 3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PanamaEngland</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Croatia</v>
      </c>
      <c r="Q27" s="775" t="str">
        <f>INDEX('World Cup'!$B$13:$AJ$38,26,2+(CODE($B$1)-65)*3)</f>
        <v>Ghana</v>
      </c>
      <c r="R27" s="775" t="str">
        <f>IF(OR(INDEX('World Cup'!$B$14:$AJ$39,26,1+(CODE($B$1)-65)*3)="",INDEX('World Cup'!$B$14:$AJ$39,26,2+(CODE($B$1)-65)*3)=""),"",INDEX('World Cup'!$B$14:$AJ$39,26,1+(CODE($B$1)-65)*3))</f>
        <v/>
      </c>
      <c r="S27" s="776" t="str">
        <f>IF(OR(INDEX('World Cup'!$B$14:$AJ$39,26,1+(CODE($B$1)-65)*3)="",INDEX('World Cup'!$B$14:$AJ$39,26,2+(CODE($B$1)-65)*3)=""),"",INDEX('World Cup'!$B$14:$AJ$39,26,2+(CODE($B$1)-65)*3))</f>
        <v/>
      </c>
      <c r="T27" s="756">
        <f t="shared" si="42"/>
        <v>0</v>
      </c>
      <c r="U27" s="757">
        <f t="shared" si="43"/>
        <v>0</v>
      </c>
      <c r="V27" s="756">
        <f t="shared" si="44"/>
        <v>0</v>
      </c>
      <c r="W27" s="758">
        <f t="shared" si="45"/>
        <v>0</v>
      </c>
      <c r="X27" s="759">
        <f t="shared" si="46"/>
        <v>0</v>
      </c>
      <c r="Y27" s="760">
        <f t="shared" si="47"/>
        <v>0</v>
      </c>
      <c r="Z27" s="761" t="str">
        <f t="shared" si="48"/>
        <v>CroatiaGhana</v>
      </c>
      <c r="AA27" s="762" t="str">
        <f>IF($T27,$X27&amp;Language!$E$197&amp;$Y27,"")</f>
        <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3 - 1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2 - 0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Excel Android</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2026-04-10T09:18:38Z</dcterms:modified>
</cp:coreProperties>
</file>