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sutaja\Desktop\MM 2022 Ennustus\"/>
    </mc:Choice>
  </mc:AlternateContent>
  <bookViews>
    <workbookView xWindow="-120" yWindow="-120" windowWidth="29040" windowHeight="15840" firstSheet="1" activeTab="2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34" i="3" l="1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W40" i="3" s="1"/>
  <c r="U39" i="3"/>
  <c r="W39" i="3" s="1"/>
  <c r="U24" i="3"/>
  <c r="W24" i="3" s="1"/>
  <c r="U8" i="3"/>
  <c r="V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V40" i="3" l="1"/>
  <c r="U20" i="3"/>
  <c r="V39" i="3"/>
  <c r="V24" i="3"/>
  <c r="W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N33" i="3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AO45" i="3"/>
  <c r="L9" i="3"/>
  <c r="O52" i="3"/>
  <c r="N53" i="3"/>
  <c r="J51" i="3"/>
  <c r="P15" i="3" l="1"/>
  <c r="K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<sst xmlns="http://schemas.openxmlformats.org/spreadsheetml/2006/main" count="4374" uniqueCount="2540">
  <si>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</si>
  <si>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</si>
  <si>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</si>
  <si>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</si>
  <si>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</si>
  <si>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</si>
  <si>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</si>
  <si>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</si>
  <si>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</si>
  <si>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</si>
  <si>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</si>
  <si>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</si>
  <si>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</si>
  <si>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</si>
  <si>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</si>
  <si>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</si>
  <si>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</si>
  <si>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</si>
  <si>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</si>
  <si>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</si>
  <si>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</si>
  <si>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</si>
  <si>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</si>
  <si>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</si>
  <si>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</si>
  <si>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</si>
  <si>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</si>
  <si>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</si>
  <si>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</si>
  <si>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</si>
  <si>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</si>
  <si>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</si>
  <si>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</si>
  <si>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</si>
  <si>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</si>
  <si>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</si>
  <si>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</si>
  <si>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</si>
  <si>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</si>
  <si>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</si>
  <si>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</si>
  <si>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</si>
  <si>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</si>
  <si>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</si>
  <si>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</si>
  <si>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</si>
  <si>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</si>
  <si>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</si>
  <si>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</si>
  <si>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</si>
  <si>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</si>
  <si>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</si>
  <si>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</si>
  <si>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</si>
  <si>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</si>
  <si>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</si>
  <si>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</si>
  <si>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</si>
  <si>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</si>
  <si>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</si>
  <si>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</si>
  <si>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</si>
  <si>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</si>
  <si>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</si>
  <si>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</si>
  <si>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</si>
  <si>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</si>
  <si>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</si>
  <si>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</si>
  <si>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</si>
  <si>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</si>
  <si>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</si>
  <si>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</si>
  <si>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</si>
  <si>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</si>
  <si>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</si>
  <si>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</si>
  <si>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</si>
  <si>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</si>
  <si>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</si>
  <si>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</si>
  <si>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</si>
  <si>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</si>
  <si>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</si>
  <si>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</si>
  <si>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</si>
  <si>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</si>
  <si>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</si>
  <si>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</si>
  <si>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</si>
  <si>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</si>
  <si>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</si>
  <si>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</si>
  <si>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</si>
  <si>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</si>
  <si>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</si>
  <si>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</si>
  <si>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</si>
  <si>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</si>
  <si>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</si>
  <si>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</si>
  <si>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</si>
  <si>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</si>
  <si>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</si>
  <si>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</si>
  <si>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</si>
  <si>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</si>
  <si>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</si>
  <si>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</si>
  <si>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</si>
  <si>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</si>
  <si>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</si>
  <si>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</si>
  <si>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</si>
  <si>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</si>
  <si>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</si>
  <si>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</si>
  <si>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</si>
  <si>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</si>
  <si>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</si>
  <si>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</si>
  <si>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</si>
  <si>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</si>
  <si>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</si>
  <si>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</si>
  <si>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</si>
  <si>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</si>
  <si>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</si>
  <si>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</si>
  <si>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</si>
  <si>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</si>
  <si>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</si>
  <si>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</si>
  <si>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</si>
  <si>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</si>
  <si>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</si>
  <si>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</si>
  <si>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</si>
  <si>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</si>
  <si>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</si>
  <si>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</si>
  <si>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</si>
  <si>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</si>
  <si>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</si>
  <si>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</si>
  <si>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</si>
  <si>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</si>
  <si>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</si>
  <si>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</si>
  <si>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</si>
  <si>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</si>
  <si>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</si>
  <si>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</si>
  <si>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</si>
  <si>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</si>
  <si>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</si>
  <si>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</si>
  <si>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</si>
  <si>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</si>
  <si>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</si>
  <si>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</si>
  <si>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</si>
  <si>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</si>
  <si>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</si>
  <si>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</si>
  <si>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</si>
  <si>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</si>
  <si>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</si>
  <si>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</si>
  <si>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</si>
  <si>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</si>
  <si>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</si>
  <si>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</si>
  <si>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</si>
  <si>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</si>
  <si>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</si>
  <si>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</si>
  <si>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</si>
  <si>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</si>
  <si>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</si>
  <si>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</si>
  <si>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</si>
  <si>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</si>
  <si>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</si>
  <si>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</si>
  <si>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</si>
  <si>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</si>
  <si>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</si>
  <si>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</si>
  <si>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</si>
  <si>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</si>
  <si>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</si>
  <si>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</si>
  <si>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</si>
  <si>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</si>
  <si>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</si>
  <si>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</si>
  <si>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</si>
  <si>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</si>
  <si>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</si>
  <si>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</si>
  <si>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</si>
  <si>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</si>
  <si>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</si>
  <si>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</si>
  <si>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</si>
  <si>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</si>
  <si>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</si>
  <si>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</si>
  <si>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</si>
  <si>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</si>
  <si>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</si>
  <si>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</si>
  <si>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</si>
  <si>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</si>
  <si>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</si>
  <si>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</si>
  <si>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</si>
  <si>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</si>
  <si>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</si>
  <si>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</si>
  <si>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</si>
  <si>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</si>
  <si>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</si>
  <si>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</si>
  <si>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</si>
  <si>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</si>
  <si>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</si>
  <si>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</si>
  <si>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</si>
  <si>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</si>
  <si>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</si>
  <si>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</si>
  <si>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</si>
  <si>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</si>
  <si>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</si>
  <si>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</si>
  <si>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</si>
  <si>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</si>
  <si>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</si>
  <si>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</si>
  <si>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</si>
  <si>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</si>
  <si>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</si>
  <si>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</si>
  <si>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</si>
  <si>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</si>
  <si>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</si>
  <si>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</si>
  <si>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</si>
  <si>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</si>
  <si>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</si>
  <si>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</si>
  <si>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</si>
  <si>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</si>
  <si>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</si>
  <si>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</si>
  <si>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</si>
  <si>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</si>
  <si>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</si>
  <si>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</si>
  <si>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</si>
  <si>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</si>
  <si>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</si>
  <si>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</si>
  <si>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</si>
  <si>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</si>
  <si>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</si>
  <si>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</si>
  <si>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</si>
  <si>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</si>
  <si>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</si>
  <si>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</si>
  <si>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</si>
  <si>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</si>
  <si>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</si>
  <si>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</si>
  <si>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</si>
  <si>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</si>
  <si>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</si>
  <si>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</si>
  <si>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</si>
  <si>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</si>
  <si>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</si>
  <si>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</si>
  <si>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</si>
  <si>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</si>
  <si>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</si>
  <si>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</si>
  <si>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</si>
  <si>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</si>
  <si>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</si>
  <si>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</si>
  <si>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</si>
  <si>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</si>
  <si>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</si>
  <si>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</si>
  <si>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</si>
  <si>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</si>
  <si>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</si>
  <si>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</si>
  <si>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</si>
  <si>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</si>
  <si>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</si>
  <si>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</si>
  <si>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</si>
  <si>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</si>
  <si>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</si>
  <si>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</si>
  <si>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</si>
  <si>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</si>
  <si>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</si>
  <si>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</si>
  <si>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</si>
  <si>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</si>
  <si>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</si>
  <si>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</si>
  <si>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</si>
  <si>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</si>
  <si>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</si>
  <si>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</si>
  <si>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</si>
  <si>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</si>
  <si>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</si>
  <si>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</si>
  <si>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</si>
  <si>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</si>
  <si>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</si>
  <si>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</si>
  <si>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</si>
  <si>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</si>
  <si>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</si>
  <si>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</si>
  <si>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</si>
  <si>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</si>
  <si>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</si>
  <si>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</si>
  <si>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</si>
  <si>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</si>
  <si>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</si>
  <si>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</si>
  <si>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</si>
  <si>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</si>
  <si>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</si>
  <si>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</si>
  <si>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</si>
  <si>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</si>
  <si>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</si>
  <si>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</si>
  <si>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</si>
  <si>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</si>
  <si>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</si>
  <si>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</si>
  <si>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</si>
  <si>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</si>
  <si>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</si>
  <si>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</si>
  <si>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</si>
  <si>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</si>
  <si>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</si>
  <si>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</si>
  <si>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</si>
  <si>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</si>
  <si>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</si>
  <si>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</si>
  <si>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</si>
  <si>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</si>
  <si>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</si>
  <si>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</si>
  <si>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</si>
  <si>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</si>
  <si>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</si>
  <si>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</si>
  <si>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</si>
  <si>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</si>
  <si>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</si>
  <si>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</si>
  <si>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</si>
  <si>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</si>
  <si>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</si>
  <si>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</si>
  <si>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</si>
  <si>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</si>
  <si>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</si>
  <si>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</si>
  <si>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</si>
  <si>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</si>
  <si>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</si>
  <si>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</si>
  <si>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</si>
  <si>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</si>
  <si>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</si>
  <si>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</si>
  <si>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</si>
  <si>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</si>
  <si>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</si>
  <si>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</si>
  <si>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</si>
  <si>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</si>
  <si>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</si>
  <si>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</si>
  <si>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</si>
  <si>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</si>
  <si>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</si>
  <si>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</si>
  <si>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</si>
  <si>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</si>
  <si>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</si>
  <si>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</si>
  <si>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</si>
  <si>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</si>
  <si>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</si>
  <si>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</si>
  <si>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</si>
  <si>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</si>
  <si>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</si>
  <si>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</si>
  <si>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</si>
  <si>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</si>
  <si>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</si>
  <si>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</si>
  <si>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</si>
  <si>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</si>
  <si>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</si>
  <si>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</si>
  <si>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</si>
  <si>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</si>
  <si>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</si>
  <si>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</si>
  <si>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</si>
  <si>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</si>
  <si>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</si>
  <si>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</si>
  <si>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</si>
  <si>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</si>
  <si>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</si>
  <si>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</si>
  <si>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</si>
  <si>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</si>
  <si>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</si>
  <si>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</si>
  <si>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</si>
  <si>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</si>
  <si>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</si>
  <si>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</si>
  <si>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</si>
  <si>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</si>
  <si>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</si>
  <si>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</si>
  <si>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</si>
  <si>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</si>
  <si>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</si>
  <si>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</si>
  <si>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</si>
  <si>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</si>
  <si>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</si>
  <si>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</si>
  <si>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</si>
  <si>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</si>
  <si>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</si>
  <si>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</si>
  <si>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</si>
  <si>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</si>
  <si>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</si>
  <si>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</si>
  <si>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</si>
  <si>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</si>
  <si>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</si>
  <si>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</si>
  <si>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</si>
  <si>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</si>
  <si>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</si>
  <si>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</si>
  <si>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</si>
  <si>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</si>
  <si>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</si>
  <si>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</si>
  <si>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</si>
  <si>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</si>
  <si>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</si>
  <si>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</si>
  <si>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</si>
  <si>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</si>
  <si>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</si>
  <si>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</si>
  <si>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</si>
  <si>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</si>
  <si>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</si>
  <si>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</si>
  <si>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</si>
  <si>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</si>
  <si>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</si>
  <si>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</si>
  <si>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</si>
  <si>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</si>
  <si>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</si>
  <si>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</si>
  <si>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</si>
  <si>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</si>
  <si>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</si>
  <si>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</si>
  <si>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</si>
  <si>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</si>
  <si>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</si>
  <si>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</si>
  <si>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</si>
  <si>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</si>
  <si>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</si>
  <si>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</si>
  <si>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</si>
  <si>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</si>
  <si>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</si>
  <si>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</si>
  <si>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</si>
  <si>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</si>
  <si>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</si>
  <si>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</si>
  <si>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</si>
  <si>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</si>
  <si>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</si>
  <si>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</si>
  <si>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</si>
  <si>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</si>
  <si>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</si>
  <si>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</si>
  <si>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</si>
  <si>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</si>
  <si>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</si>
  <si>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</si>
  <si>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</si>
  <si>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</si>
  <si>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</si>
  <si>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</si>
  <si>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</si>
  <si>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</si>
  <si>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</si>
  <si>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</si>
  <si>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</si>
  <si>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</si>
  <si>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</si>
  <si>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</si>
  <si>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</si>
  <si>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</si>
  <si>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</si>
  <si>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</si>
  <si>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</si>
  <si>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</si>
  <si>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</si>
  <si>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</si>
  <si>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</si>
  <si>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</si>
  <si>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</si>
  <si>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</si>
  <si>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</si>
  <si>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</si>
  <si>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</si>
  <si>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</si>
  <si>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</si>
  <si>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</si>
  <si>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</si>
  <si>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</si>
  <si>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</si>
  <si>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</si>
  <si>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</si>
  <si>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</si>
  <si>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</si>
  <si>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</si>
  <si>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</si>
  <si>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</si>
  <si>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</si>
  <si>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</si>
  <si>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</si>
  <si>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</si>
  <si>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</si>
  <si>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</si>
  <si>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</si>
  <si>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</si>
  <si>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</si>
  <si>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</si>
  <si>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</si>
  <si>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</si>
  <si>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</si>
  <si>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</si>
  <si>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</si>
  <si>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</si>
  <si>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</si>
  <si>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</si>
  <si>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</si>
  <si>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</si>
  <si>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</si>
  <si>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</si>
  <si>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</si>
  <si>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</si>
  <si>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</si>
  <si>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</si>
  <si>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</si>
  <si>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</si>
  <si>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</si>
  <si>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</si>
  <si>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</si>
  <si>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</si>
  <si>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</si>
  <si>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</si>
  <si>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</si>
  <si>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</si>
  <si>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</si>
  <si>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</si>
  <si>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</si>
  <si>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</si>
  <si>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</si>
  <si>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</si>
  <si>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</si>
  <si>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</si>
  <si>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</si>
  <si>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</si>
  <si>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</si>
  <si>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</si>
  <si>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</si>
  <si>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</si>
  <si>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</si>
  <si>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</si>
  <si>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</si>
  <si>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</si>
  <si>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</si>
  <si>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</si>
  <si>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</si>
  <si>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</si>
  <si>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</si>
  <si>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</si>
  <si>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</si>
  <si>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</si>
  <si>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</si>
  <si>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</si>
  <si>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</si>
  <si>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</si>
  <si>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</si>
  <si>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</si>
  <si>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</si>
  <si>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</si>
  <si>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</si>
  <si>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</si>
  <si>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</si>
  <si>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</si>
  <si>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</si>
  <si>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</si>
  <si>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</si>
  <si>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</si>
  <si>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</si>
  <si>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</si>
  <si>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</si>
  <si>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</si>
  <si>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</si>
  <si>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</si>
  <si>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</si>
  <si>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</si>
  <si>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</si>
  <si>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</si>
  <si>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</si>
  <si>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</si>
  <si>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</si>
  <si>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</si>
  <si>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</si>
  <si>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</si>
  <si>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</si>
  <si>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</si>
  <si>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</si>
  <si>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</si>
  <si>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</si>
  <si>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</si>
  <si>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</si>
  <si>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</si>
  <si>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</si>
  <si>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</si>
  <si>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</si>
  <si>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</si>
  <si>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</si>
  <si>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</si>
  <si>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</si>
  <si>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</si>
  <si>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</si>
  <si>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</si>
  <si>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</si>
  <si>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</si>
  <si>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</si>
  <si>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</si>
  <si>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</si>
  <si>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</si>
  <si>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</si>
  <si>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</si>
  <si>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</si>
  <si>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</si>
  <si>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</si>
  <si>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</si>
  <si>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</si>
  <si>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</si>
  <si>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</si>
  <si>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</si>
  <si>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</si>
  <si>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</si>
  <si>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</si>
  <si>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</si>
  <si>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</si>
  <si>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</si>
  <si>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</si>
  <si>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</si>
  <si>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</si>
  <si>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</si>
  <si>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</si>
  <si>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</si>
  <si>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</si>
  <si>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</si>
  <si>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</si>
  <si>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</si>
  <si>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</si>
  <si>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</si>
  <si>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</si>
  <si>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</si>
  <si>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</si>
  <si>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</si>
  <si>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</si>
  <si>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</si>
  <si>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</si>
  <si>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</si>
  <si>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</si>
  <si>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</si>
  <si>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</si>
  <si>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</si>
  <si>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</si>
  <si>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</si>
  <si>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</si>
  <si>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</si>
  <si>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</si>
  <si>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</si>
  <si>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</si>
  <si>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</si>
  <si>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</si>
  <si>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</si>
  <si>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</si>
  <si>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</si>
  <si>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</si>
  <si>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</si>
  <si>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</si>
  <si>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</si>
  <si>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</si>
  <si>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</si>
  <si>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</si>
  <si>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</si>
  <si>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</si>
  <si>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</si>
  <si>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</si>
  <si>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</si>
  <si>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</si>
  <si>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</si>
  <si>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</si>
  <si>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</si>
  <si>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</si>
  <si>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</si>
  <si>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</si>
  <si>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</si>
  <si>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</si>
  <si>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</si>
  <si>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</si>
  <si>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</si>
  <si>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</si>
  <si>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</si>
  <si>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</si>
  <si>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</si>
  <si>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</si>
  <si>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</si>
  <si>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</si>
  <si>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</si>
  <si>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</si>
  <si>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</si>
  <si>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</si>
  <si>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</si>
  <si>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</si>
  <si>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</si>
  <si>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</si>
  <si>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</si>
  <si>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</si>
  <si>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</si>
  <si>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</si>
  <si>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</si>
  <si>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</si>
  <si>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</si>
  <si>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</si>
  <si>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</si>
  <si>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</si>
  <si>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</si>
  <si>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</si>
  <si>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</si>
  <si>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</si>
  <si>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</si>
  <si>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</si>
  <si>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</si>
  <si>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</si>
  <si>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</si>
  <si>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</si>
  <si>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</si>
  <si>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</si>
  <si>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</si>
  <si>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</si>
  <si>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</si>
  <si>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</si>
  <si>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</si>
  <si>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</si>
  <si>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</si>
  <si>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</si>
  <si>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</si>
  <si>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</si>
  <si>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</si>
  <si>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</si>
  <si>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</si>
  <si>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</si>
  <si>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</si>
  <si>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</si>
  <si>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</si>
  <si>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</si>
  <si>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</si>
  <si>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</si>
  <si>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</si>
  <si>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</si>
  <si>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</si>
  <si>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</si>
  <si>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</si>
  <si>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</si>
  <si>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</si>
  <si>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</si>
  <si>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</si>
  <si>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</si>
  <si>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</si>
  <si>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</si>
  <si>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</si>
  <si>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</si>
  <si>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</si>
  <si>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</si>
  <si>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</si>
  <si>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</si>
  <si>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</si>
  <si>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</si>
  <si>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</si>
  <si>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</si>
  <si>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</si>
  <si>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</si>
  <si>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</si>
  <si>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</si>
  <si>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</si>
  <si>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</si>
  <si>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</si>
  <si>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</si>
  <si>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</si>
  <si>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</si>
  <si>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</si>
  <si>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</si>
  <si>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</si>
  <si>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</si>
  <si>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</si>
  <si>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</si>
  <si>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</si>
  <si>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</si>
  <si>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</si>
  <si>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</si>
  <si>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</si>
  <si>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</si>
  <si>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</si>
  <si>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</si>
  <si>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</si>
  <si>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</si>
  <si>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</si>
  <si>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</si>
  <si>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</si>
  <si>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</si>
  <si>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</si>
  <si>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</si>
  <si>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</si>
  <si>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</si>
  <si>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</si>
  <si>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</si>
  <si>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</si>
  <si>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</si>
  <si>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</si>
  <si>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</si>
  <si>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</si>
  <si>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</si>
  <si>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</si>
  <si>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</si>
  <si>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</si>
  <si>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</si>
  <si>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</si>
  <si>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</si>
  <si>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</si>
  <si>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</si>
  <si>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</si>
  <si>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</si>
  <si>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</si>
  <si>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</si>
  <si>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</si>
  <si>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</si>
  <si>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</si>
  <si>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</si>
  <si>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</si>
  <si>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</si>
  <si>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</si>
  <si>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</si>
  <si>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</si>
  <si>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</si>
  <si>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</si>
  <si>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</si>
  <si>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</si>
  <si>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</si>
  <si>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</si>
  <si>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</si>
  <si>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</si>
  <si>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</si>
  <si>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</si>
  <si>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</si>
  <si>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</si>
  <si>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</si>
  <si>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</si>
  <si>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</si>
  <si>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</si>
  <si>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</si>
  <si>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</si>
  <si>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</si>
  <si>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</si>
  <si>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</si>
  <si>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</si>
  <si>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</si>
  <si>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</si>
  <si>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</si>
  <si>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</si>
  <si>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</si>
  <si>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</si>
  <si>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</si>
  <si>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</si>
  <si>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</si>
  <si>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</si>
  <si>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</si>
  <si>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</si>
  <si>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</si>
  <si>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</si>
  <si>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</si>
  <si>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</si>
  <si>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</si>
  <si>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</si>
  <si>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</si>
  <si>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</si>
  <si>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</si>
  <si>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</si>
  <si>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</si>
  <si>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</si>
  <si>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</si>
  <si>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</si>
  <si>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</si>
  <si>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</si>
  <si>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</si>
  <si>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</si>
  <si>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</si>
  <si>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</si>
  <si>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</si>
  <si>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</si>
  <si>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</si>
  <si>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</si>
  <si>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</si>
  <si>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</si>
  <si>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</si>
  <si>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</si>
  <si>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</si>
  <si>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</si>
  <si>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</si>
  <si>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</si>
  <si>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</si>
  <si>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</si>
  <si>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</si>
  <si>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</si>
  <si>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</si>
  <si>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</si>
  <si>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</si>
  <si>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</si>
  <si>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</si>
  <si>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</si>
  <si>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</si>
  <si>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</si>
  <si>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</si>
  <si>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</si>
  <si>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</si>
  <si>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</si>
  <si>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</si>
  <si>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</si>
  <si>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</si>
  <si>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</si>
  <si>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</si>
  <si>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</si>
  <si>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</si>
  <si>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</si>
  <si>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</si>
  <si>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</si>
  <si>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</si>
  <si>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</si>
  <si>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</si>
  <si>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</si>
  <si>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</si>
  <si>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</si>
  <si>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</si>
  <si>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</si>
  <si>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</si>
  <si>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</si>
  <si>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</si>
  <si>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</si>
  <si>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</si>
  <si>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</si>
  <si>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</si>
  <si>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</si>
  <si>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</si>
  <si>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</si>
  <si>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</si>
  <si>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</si>
  <si>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</si>
  <si>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</si>
  <si>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</si>
  <si>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</si>
  <si>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</si>
  <si>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</si>
  <si>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</si>
  <si>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</si>
  <si>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</si>
  <si>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</si>
  <si>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</si>
  <si>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</si>
  <si>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</si>
  <si>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</si>
  <si>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</si>
  <si>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</si>
  <si>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</si>
  <si>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</si>
  <si>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</si>
  <si>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</si>
  <si>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</si>
  <si>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</si>
  <si>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</si>
  <si>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</si>
  <si>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</si>
  <si>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</si>
  <si>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</si>
  <si>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</si>
  <si>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</si>
  <si>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</si>
  <si>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</si>
  <si>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</si>
  <si>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</si>
  <si>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</si>
  <si>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</si>
  <si>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</si>
  <si>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</si>
  <si>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</si>
  <si>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</si>
  <si>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</si>
  <si>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</si>
  <si>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</si>
  <si>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</si>
  <si>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</si>
  <si>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</si>
  <si>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</si>
  <si>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</si>
  <si>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</si>
  <si>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</si>
  <si>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</si>
  <si>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</si>
  <si>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</si>
  <si>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</si>
  <si>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</si>
  <si>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</si>
  <si>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</si>
  <si>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</si>
  <si>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</si>
  <si>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</si>
  <si>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</si>
  <si>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</si>
  <si>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</si>
  <si>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</si>
  <si>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</si>
  <si>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</si>
  <si>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</si>
  <si>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</si>
  <si>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</si>
  <si>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</si>
  <si>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</si>
  <si>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</si>
  <si>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</si>
  <si>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</si>
  <si>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</si>
  <si>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</si>
  <si>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</si>
  <si>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</si>
  <si>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</si>
  <si>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</si>
  <si>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</si>
  <si>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</si>
  <si>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</si>
  <si>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</si>
  <si>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</si>
  <si>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</si>
  <si>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</si>
  <si>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</si>
  <si>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</si>
  <si>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</si>
  <si>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</si>
  <si>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</si>
  <si>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</si>
  <si>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</si>
  <si>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</si>
  <si>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</si>
  <si>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</si>
  <si>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</si>
  <si>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</si>
  <si>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</si>
  <si>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</si>
  <si>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</si>
  <si>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</si>
  <si>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</si>
  <si>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</si>
  <si>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</si>
  <si>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</si>
  <si>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</si>
  <si>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</si>
  <si>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</si>
  <si>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</si>
  <si>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</si>
  <si>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</si>
  <si>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</si>
  <si>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</si>
  <si>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</si>
  <si>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</si>
  <si>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</si>
  <si>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</si>
  <si>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</si>
  <si>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</si>
  <si>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</si>
  <si>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</si>
  <si>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</si>
  <si>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</si>
  <si>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</si>
  <si>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</si>
  <si>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</si>
  <si>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</si>
  <si>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</si>
  <si>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</si>
  <si>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</si>
  <si>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</si>
  <si>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</si>
  <si>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</si>
  <si>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</si>
  <si>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</si>
  <si>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</si>
  <si>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</si>
  <si>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</si>
  <si>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</si>
  <si>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</si>
  <si>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</si>
  <si>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</si>
  <si>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</si>
  <si>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</si>
  <si>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</si>
  <si>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</si>
  <si>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</si>
  <si>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</si>
  <si>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</si>
  <si>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</si>
  <si>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</si>
  <si>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</si>
  <si>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</si>
  <si>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</si>
  <si>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</si>
  <si>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</si>
  <si>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</si>
  <si>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</si>
  <si>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</si>
  <si>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</si>
  <si>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</si>
  <si>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</si>
  <si>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</si>
  <si>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</si>
  <si>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</si>
  <si>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</si>
  <si>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</si>
  <si>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</si>
  <si>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</si>
  <si>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</si>
  <si>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</si>
  <si>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</si>
  <si>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</si>
  <si>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</si>
  <si>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</si>
  <si>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</si>
  <si>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</si>
  <si>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</si>
  <si>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</si>
  <si>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</si>
  <si>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</si>
  <si>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</si>
  <si>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</si>
  <si>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</si>
  <si>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</si>
  <si>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</si>
  <si>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</si>
  <si>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</si>
  <si>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</si>
  <si>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</si>
  <si>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</si>
  <si>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</si>
  <si>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</si>
  <si>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</si>
  <si>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</si>
  <si>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</si>
  <si>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</si>
  <si>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</si>
  <si>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</si>
  <si>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</si>
  <si>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</si>
  <si>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</si>
  <si>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</si>
  <si>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</si>
  <si>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</si>
  <si>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</si>
  <si>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</si>
  <si>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</si>
  <si>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</si>
  <si>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</si>
  <si>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</si>
  <si>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</si>
  <si>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</si>
  <si>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</si>
  <si>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</si>
  <si>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</si>
  <si>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</si>
  <si>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</si>
  <si>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</si>
  <si>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</si>
  <si>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</si>
  <si>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</si>
  <si>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</si>
  <si>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</si>
  <si>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</si>
  <si>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</si>
  <si>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</si>
  <si>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</si>
  <si>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</si>
  <si>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</si>
  <si>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</si>
  <si>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</si>
  <si>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</si>
  <si>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</si>
  <si>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</si>
  <si>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</si>
  <si>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</si>
  <si>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</si>
  <si>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</si>
  <si>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</si>
  <si>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</si>
  <si>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</si>
  <si>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</si>
  <si>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</si>
  <si>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</si>
  <si>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</si>
  <si>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</si>
  <si>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</si>
  <si>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</si>
  <si>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</si>
  <si>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</si>
  <si>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</si>
  <si>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</si>
  <si>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</si>
  <si>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</si>
  <si>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</si>
  <si>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</si>
  <si>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</si>
  <si>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</si>
  <si>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</si>
  <si>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</si>
  <si>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</si>
  <si>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</si>
  <si>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</si>
  <si>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</si>
  <si>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</si>
  <si>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</si>
  <si>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</si>
  <si>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</si>
  <si>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</si>
  <si>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</si>
  <si>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</si>
  <si>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</si>
  <si>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</si>
  <si>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</si>
  <si>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</si>
  <si>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</si>
  <si>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</si>
  <si>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</si>
  <si>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</si>
  <si>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</si>
  <si>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</si>
  <si>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</si>
  <si>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</si>
  <si>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</si>
  <si>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</si>
  <si>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</si>
  <si>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</si>
  <si>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</si>
  <si>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</si>
  <si>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</si>
  <si>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</si>
  <si>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</si>
  <si>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</si>
  <si>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</si>
  <si>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</si>
  <si>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</si>
  <si>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</si>
  <si>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</si>
  <si>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</si>
  <si>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</si>
  <si>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</si>
  <si>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</si>
  <si>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</si>
  <si>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</si>
  <si>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</si>
  <si>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</si>
  <si>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</si>
  <si>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</si>
  <si>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</si>
  <si>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</si>
  <si>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</si>
  <si>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</si>
  <si>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</si>
  <si>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</si>
  <si>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</si>
  <si>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</si>
  <si>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</si>
  <si>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</si>
  <si>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</si>
  <si>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</si>
  <si>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</si>
  <si>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</si>
  <si>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</si>
  <si>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</si>
  <si>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</si>
  <si>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</si>
  <si>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</si>
  <si>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</si>
  <si>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</si>
  <si>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</si>
  <si>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</si>
  <si>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</si>
  <si>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</si>
  <si>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</si>
  <si>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</si>
  <si>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</si>
  <si>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</si>
  <si>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</si>
  <si>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</si>
  <si>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</si>
  <si>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</si>
  <si>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</si>
  <si>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</si>
  <si>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</si>
  <si>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</si>
  <si>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</si>
  <si>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</si>
  <si>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</si>
  <si>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</si>
  <si>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</si>
  <si>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</si>
  <si>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</si>
  <si>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</si>
  <si>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</si>
  <si>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</si>
  <si>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</si>
  <si>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</si>
  <si>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</si>
  <si>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</si>
  <si>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</si>
  <si>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</si>
  <si>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</si>
  <si>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</si>
  <si>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</si>
  <si>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</si>
  <si>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</si>
  <si>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</si>
  <si>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</si>
  <si>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</si>
  <si>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</si>
  <si>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</si>
  <si>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</si>
  <si>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</si>
  <si>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</si>
  <si>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</si>
  <si>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</si>
  <si>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</si>
  <si>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</si>
  <si>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</si>
  <si>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</si>
  <si>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</si>
  <si>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</si>
  <si>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</si>
  <si>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</si>
  <si>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</si>
  <si>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</si>
  <si>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</si>
  <si>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</si>
  <si>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</si>
  <si>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</si>
  <si>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</si>
  <si>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</si>
  <si>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</si>
  <si>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</si>
  <si>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</si>
  <si>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</si>
  <si>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</si>
  <si>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</si>
  <si>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</si>
  <si>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</si>
  <si>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</si>
  <si>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</si>
  <si>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</si>
  <si>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</si>
  <si>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</si>
  <si>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</si>
  <si>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</si>
  <si>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</si>
  <si>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</si>
  <si>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</si>
  <si>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</si>
  <si>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</si>
  <si>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</si>
  <si>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</si>
  <si>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</si>
  <si>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</si>
  <si>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</si>
  <si>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</si>
  <si>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</si>
  <si>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</si>
  <si>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</si>
  <si>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</si>
  <si>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</si>
  <si>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</si>
  <si>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</si>
  <si>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</si>
  <si>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</si>
  <si>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</si>
  <si>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</si>
  <si>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</si>
  <si>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</si>
  <si>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</si>
  <si>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</si>
  <si>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</si>
  <si>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</si>
  <si>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</si>
  <si>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</si>
  <si>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</si>
  <si>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</si>
  <si>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</si>
  <si>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</si>
  <si>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</si>
  <si>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</si>
  <si>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</si>
  <si>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</si>
  <si>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</si>
  <si>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</si>
  <si>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</si>
  <si>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</si>
  <si>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</si>
  <si>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</si>
  <si>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</si>
  <si>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</si>
  <si>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</si>
  <si>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</si>
  <si>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</si>
  <si>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</si>
  <si>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</si>
  <si>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</si>
  <si>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</si>
  <si>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</si>
  <si>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</si>
  <si>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</si>
  <si>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</si>
  <si>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</si>
  <si>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</si>
  <si>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</si>
  <si>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</si>
  <si>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</si>
  <si>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</si>
  <si>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</si>
  <si>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</si>
  <si>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</si>
  <si>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</si>
  <si>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</si>
  <si>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</si>
  <si>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</si>
  <si>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</si>
  <si>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</si>
  <si>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</si>
  <si>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</si>
  <si>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</si>
  <si>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</si>
  <si>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</si>
  <si>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</si>
  <si>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</si>
  <si>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</si>
  <si>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</si>
  <si>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</si>
  <si>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</si>
  <si>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</si>
  <si>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</si>
  <si>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</si>
  <si>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</si>
  <si>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</si>
  <si>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</si>
  <si>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</si>
  <si>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</si>
  <si>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</si>
  <si>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</si>
  <si>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</si>
  <si>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</si>
  <si>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</si>
  <si>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</si>
  <si>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</si>
  <si>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</si>
  <si>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</si>
  <si>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</si>
  <si>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</si>
  <si>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</si>
  <si>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</si>
  <si>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</si>
  <si>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</si>
  <si>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</si>
  <si>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</si>
  <si>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</si>
  <si>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</si>
  <si>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</si>
  <si>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</si>
  <si>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</si>
  <si>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</si>
  <si>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</si>
  <si>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</si>
  <si>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</si>
  <si>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</si>
  <si>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</si>
  <si>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</si>
  <si>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</si>
  <si>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</si>
  <si>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</si>
  <si>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</si>
  <si>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</si>
  <si>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</si>
  <si>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</si>
  <si>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</si>
  <si>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</si>
  <si>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</si>
  <si>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</si>
  <si>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</si>
  <si>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</si>
  <si>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</si>
  <si>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</si>
  <si>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</si>
  <si>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</si>
  <si>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</si>
  <si>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</si>
  <si>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</si>
  <si>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</si>
  <si>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</si>
  <si>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</si>
  <si>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</si>
  <si>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</si>
  <si>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</si>
  <si>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</si>
  <si>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</si>
  <si>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</si>
  <si>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</si>
  <si>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</si>
  <si>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</si>
  <si>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</si>
  <si>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</si>
  <si>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</si>
  <si>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</si>
  <si>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</si>
  <si>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</si>
  <si>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</si>
  <si>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</si>
  <si>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</si>
  <si>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</si>
  <si>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</si>
  <si>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</si>
  <si>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</si>
  <si>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</si>
  <si>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</si>
  <si>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</si>
  <si>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</si>
  <si>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</si>
  <si>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</si>
  <si>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</si>
  <si>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</si>
  <si>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</si>
  <si>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</si>
  <si>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</si>
  <si>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</si>
  <si>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</si>
  <si>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</si>
  <si>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</si>
  <si>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</si>
  <si>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</si>
  <si>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</si>
  <si>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</si>
  <si>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</si>
  <si>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</si>
  <si>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</si>
  <si>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</si>
  <si>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</si>
  <si>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</si>
  <si>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</si>
  <si>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</si>
  <si>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</si>
  <si>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</si>
  <si>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</si>
  <si>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</si>
  <si>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</si>
  <si>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</si>
  <si>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</si>
  <si>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</si>
  <si>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</si>
  <si>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</si>
  <si>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</si>
  <si>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</si>
  <si>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</si>
  <si>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</si>
  <si>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</si>
  <si>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</si>
  <si>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</si>
  <si>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</si>
  <si>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</si>
  <si>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</si>
  <si>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</si>
  <si>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</si>
  <si>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</si>
  <si>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</si>
  <si>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</si>
  <si>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</si>
  <si>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</si>
  <si>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</si>
  <si>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</si>
  <si>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</si>
  <si>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</si>
  <si>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</si>
  <si>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</si>
  <si>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</si>
  <si>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</si>
  <si>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</si>
  <si>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</si>
  <si>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</si>
  <si>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</si>
  <si>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</si>
  <si>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</si>
  <si>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</si>
  <si>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</si>
  <si>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</si>
  <si>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</si>
  <si>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</si>
  <si>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</si>
  <si>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</si>
  <si>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</si>
  <si>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</si>
  <si>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</si>
  <si>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</si>
  <si>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</si>
  <si>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</si>
  <si>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</si>
  <si>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</si>
  <si>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</si>
  <si>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</si>
  <si>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</si>
  <si>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</si>
  <si>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</si>
  <si>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</si>
  <si>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</si>
  <si>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</si>
  <si>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</si>
  <si>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</si>
  <si>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</si>
  <si>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</si>
  <si>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</si>
  <si>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</si>
  <si>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</si>
  <si>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</si>
  <si>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</si>
  <si>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</si>
  <si>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</si>
  <si>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</si>
  <si>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</si>
  <si>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</si>
  <si>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</si>
  <si>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</si>
  <si>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</si>
  <si>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</si>
  <si>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</si>
  <si>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</si>
  <si>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</si>
  <si>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</si>
  <si>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</si>
  <si>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</si>
  <si>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</si>
  <si>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</si>
  <si>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</si>
  <si>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</si>
  <si>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</si>
  <si>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</si>
  <si>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</si>
  <si>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</si>
  <si>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</si>
  <si>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</si>
  <si>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</si>
  <si>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</si>
  <si>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</si>
  <si>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</si>
  <si>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</si>
  <si>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</si>
  <si>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</si>
  <si>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</si>
  <si>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</si>
  <si>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</si>
  <si>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</si>
  <si>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</si>
  <si>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</si>
  <si>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</si>
  <si>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</si>
  <si>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</si>
  <si>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</si>
  <si>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</si>
  <si>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</si>
  <si>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</si>
  <si>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</si>
  <si>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</si>
  <si>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</si>
  <si>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</si>
  <si>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</si>
  <si>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</si>
  <si>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</si>
  <si>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</si>
  <si>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</si>
  <si>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</si>
  <si>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</si>
  <si>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</si>
  <si>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</si>
  <si>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</si>
  <si>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</si>
  <si>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</si>
  <si>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</si>
  <si>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</si>
  <si>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</si>
  <si>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</si>
  <si>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</si>
  <si>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</si>
  <si>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</si>
  <si>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</si>
  <si>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</si>
  <si>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</si>
  <si>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</si>
  <si>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</si>
  <si>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</si>
  <si>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</si>
  <si>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</si>
  <si>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</si>
  <si>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</si>
  <si>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</si>
  <si>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</si>
  <si>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</si>
  <si>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</si>
  <si>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</si>
  <si>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</si>
  <si>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</si>
  <si>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</si>
  <si>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</si>
  <si>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</si>
  <si>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</si>
  <si>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</si>
  <si>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</si>
  <si>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</si>
  <si>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</si>
  <si>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</si>
  <si>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</si>
  <si>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</si>
  <si>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</si>
  <si>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</si>
  <si>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</si>
  <si>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</si>
  <si>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</si>
  <si>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</si>
  <si>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</si>
  <si>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</si>
  <si>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</si>
  <si>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</si>
  <si>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</si>
  <si>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</si>
  <si>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</si>
  <si>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</si>
  <si>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</si>
  <si>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</si>
  <si>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</si>
  <si>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</si>
  <si>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</si>
  <si>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</si>
  <si>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</si>
  <si>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</si>
  <si>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</si>
  <si>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</si>
  <si>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</si>
  <si>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</si>
  <si>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</si>
  <si>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</si>
  <si>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</si>
  <si>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</si>
  <si>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</si>
  <si>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</si>
  <si>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</si>
  <si>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</si>
  <si>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</si>
  <si>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</si>
  <si>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</si>
  <si>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</si>
  <si>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</si>
  <si>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</si>
  <si>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</si>
  <si>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</si>
  <si>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</si>
  <si>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</si>
  <si>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</si>
  <si>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</si>
  <si>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</si>
  <si>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</si>
  <si>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</si>
  <si>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</si>
  <si>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</si>
  <si>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</si>
  <si>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</si>
  <si>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</si>
  <si>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</si>
  <si>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</si>
  <si>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</si>
  <si>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</si>
  <si>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</si>
  <si>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</si>
  <si>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</si>
  <si>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</si>
  <si>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</si>
  <si>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</si>
  <si>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</si>
  <si>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</si>
  <si>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</si>
  <si>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</si>
  <si>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</si>
  <si>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</si>
  <si>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</si>
  <si>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</si>
  <si>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</si>
  <si>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</si>
  <si>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</si>
  <si>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</si>
  <si>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</si>
  <si>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</si>
  <si>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</si>
  <si>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</si>
  <si>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</si>
  <si>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</si>
  <si>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</si>
  <si>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</si>
  <si>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</si>
  <si>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</si>
  <si>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</si>
  <si>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</si>
  <si>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</si>
  <si>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</si>
  <si>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</si>
  <si>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</si>
  <si>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</si>
  <si>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</si>
  <si>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</si>
  <si>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</si>
  <si>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</si>
  <si>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</si>
  <si>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</si>
  <si>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</si>
  <si>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</si>
  <si>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</si>
  <si>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</si>
  <si>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</si>
  <si>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</si>
  <si>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</si>
  <si>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</si>
  <si>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</si>
  <si>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</si>
  <si>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</si>
  <si>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</si>
  <si>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</si>
  <si>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</si>
  <si>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</si>
  <si>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</si>
  <si>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</si>
  <si>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</si>
  <si>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</si>
  <si>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</si>
  <si>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</si>
  <si>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</si>
  <si>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</si>
  <si>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</si>
  <si>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</si>
  <si>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</si>
  <si>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</si>
  <si>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</si>
  <si>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</si>
  <si>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</si>
  <si>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</si>
  <si>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</si>
  <si>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</si>
  <si>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</si>
  <si>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</si>
  <si>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</si>
  <si>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</si>
  <si>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</si>
  <si>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</si>
  <si>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</si>
  <si>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</si>
  <si>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</si>
  <si>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</si>
  <si>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</si>
  <si>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</si>
  <si>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</si>
  <si>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</si>
  <si>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</si>
  <si>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</si>
  <si>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</si>
  <si>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</si>
  <si>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</si>
  <si>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</si>
  <si>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</si>
  <si>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</si>
  <si>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</si>
  <si>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</si>
  <si>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</si>
  <si>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</si>
  <si>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</si>
  <si>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</si>
  <si>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</si>
  <si>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</si>
  <si>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</si>
  <si>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</si>
  <si>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</si>
  <si>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</si>
  <si>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</si>
  <si>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</si>
  <si>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</si>
  <si>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</si>
  <si>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</si>
  <si>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</si>
  <si>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</si>
  <si>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</si>
  <si>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</si>
  <si>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</si>
  <si>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</si>
  <si>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</si>
  <si>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</si>
  <si>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</si>
  <si>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</si>
  <si>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</si>
  <si>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</si>
  <si>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</si>
  <si>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</si>
  <si>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</si>
  <si>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</si>
  <si>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</si>
  <si>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</si>
  <si>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</si>
  <si>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</si>
  <si>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</si>
  <si>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</si>
  <si>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</si>
  <si>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</si>
  <si>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</si>
  <si>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</si>
  <si>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</si>
  <si>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</si>
  <si>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</si>
  <si>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</si>
  <si>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</si>
  <si>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</si>
  <si>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</si>
  <si>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</si>
  <si>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</si>
  <si>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</si>
  <si>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</si>
  <si>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</si>
  <si>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</si>
  <si>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</si>
  <si>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</si>
  <si>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</si>
  <si>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</si>
  <si>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</si>
  <si>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</si>
  <si>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</si>
  <si>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</si>
  <si>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</si>
  <si>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</si>
  <si>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</si>
  <si>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</si>
  <si>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</si>
  <si>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</si>
  <si>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</si>
  <si>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</si>
  <si>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</si>
  <si>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</si>
  <si>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</si>
  <si>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</si>
  <si>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</si>
  <si>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</si>
  <si>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</si>
  <si>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</si>
  <si>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</si>
  <si>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</si>
  <si>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</si>
  <si>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</si>
  <si>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</si>
  <si>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</si>
  <si>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</si>
  <si>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</si>
  <si>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</si>
  <si>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</si>
  <si>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</si>
  <si>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</si>
  <si>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</si>
  <si>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</si>
  <si>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</si>
  <si>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</si>
  <si>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</si>
  <si>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</si>
  <si>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</si>
  <si>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</si>
  <si>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</si>
  <si>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</si>
  <si>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</si>
  <si>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</si>
  <si>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</si>
  <si>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</si>
  <si>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</si>
  <si>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</si>
  <si>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</si>
  <si>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</si>
  <si>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</si>
  <si>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</si>
  <si>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</si>
  <si>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</si>
  <si>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</si>
  <si>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</si>
  <si>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</si>
  <si>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</si>
  <si>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</si>
  <si>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</si>
  <si>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</si>
  <si>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</si>
  <si>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</si>
  <si>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</si>
  <si>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</si>
  <si>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</si>
  <si>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</si>
  <si>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</si>
  <si>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</si>
  <si>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</si>
  <si>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</si>
  <si>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</si>
  <si>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</si>
  <si>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</si>
  <si>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</si>
  <si>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</si>
  <si>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</si>
  <si>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</si>
  <si>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</si>
  <si>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</si>
  <si>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</si>
  <si>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</si>
  <si>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</si>
  <si>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</si>
  <si>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</si>
  <si>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</si>
  <si>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</si>
  <si>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</si>
  <si>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</si>
  <si>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</si>
  <si>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</si>
  <si>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</si>
  <si>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</si>
  <si>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</si>
  <si>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</si>
  <si>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</si>
  <si>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</si>
  <si>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</si>
  <si>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</si>
  <si>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</si>
  <si>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</si>
  <si>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</si>
  <si>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</si>
  <si>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</si>
  <si>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</si>
  <si>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</si>
  <si>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</si>
  <si>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</si>
  <si>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</si>
  <si>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</si>
  <si>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</si>
  <si>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</si>
  <si>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</si>
  <si>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</si>
  <si>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</si>
  <si>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</si>
  <si>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</si>
  <si>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</si>
  <si>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</si>
  <si>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</si>
  <si>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</si>
  <si>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</si>
  <si>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</si>
  <si>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</si>
  <si>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</si>
  <si>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</si>
  <si>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</si>
  <si>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</si>
  <si>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</si>
  <si>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</si>
  <si>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</si>
  <si>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</si>
  <si>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</si>
  <si>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</si>
  <si>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</si>
  <si>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</si>
  <si>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</si>
  <si>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</si>
  <si>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</si>
  <si>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</si>
  <si>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</si>
  <si>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</si>
  <si>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</si>
  <si>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</si>
  <si>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</si>
  <si>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</si>
  <si>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</si>
  <si>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</si>
  <si>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</si>
  <si>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</si>
  <si>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</si>
  <si>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</si>
  <si>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</si>
  <si>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</si>
  <si>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</si>
  <si>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</si>
  <si>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</si>
  <si>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</si>
  <si>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</si>
  <si>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</si>
  <si>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</si>
  <si>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</si>
  <si>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</si>
  <si>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</si>
  <si>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</si>
  <si>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</si>
  <si>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</si>
  <si>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</si>
  <si>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</si>
  <si>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</si>
  <si>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</si>
  <si>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</si>
  <si>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</si>
  <si>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</si>
  <si>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</si>
  <si>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</si>
  <si>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</si>
  <si>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</si>
  <si>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</si>
  <si>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</si>
  <si>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</si>
  <si>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</si>
  <si>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</si>
  <si>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</si>
  <si>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</si>
  <si>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</si>
  <si>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</si>
  <si>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</si>
  <si>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</si>
  <si>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</si>
  <si>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</si>
  <si>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</si>
  <si>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</si>
  <si>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</si>
  <si>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</si>
  <si>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</si>
  <si>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</si>
  <si>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</si>
  <si>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</si>
  <si>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</si>
  <si>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</si>
  <si>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</si>
  <si>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</si>
  <si>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</si>
  <si>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</si>
  <si>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</si>
  <si>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</si>
  <si>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</si>
  <si>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</si>
  <si>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</si>
  <si>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</si>
  <si>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</si>
  <si>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</si>
  <si>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</si>
  <si>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</si>
  <si>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</si>
  <si>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</si>
  <si>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</si>
  <si>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</si>
  <si>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</si>
  <si>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</si>
  <si>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</si>
  <si>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</si>
  <si>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</si>
  <si>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</si>
  <si>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</si>
  <si>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</si>
  <si>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</si>
  <si>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</si>
  <si>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</si>
  <si>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</si>
  <si>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</si>
  <si>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</si>
  <si>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</si>
  <si>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</si>
  <si>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</si>
  <si>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</si>
  <si>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</si>
  <si>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</si>
  <si>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</si>
  <si>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</si>
  <si>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</si>
  <si>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</si>
  <si>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</si>
  <si>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</si>
  <si>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</si>
  <si>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</si>
  <si>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</si>
  <si>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</si>
  <si>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</si>
  <si>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</si>
  <si>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</si>
  <si>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</si>
  <si>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</si>
  <si>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</si>
  <si>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</si>
  <si>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</si>
  <si>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</si>
  <si>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</si>
  <si>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</si>
  <si>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</si>
  <si>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</si>
  <si>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</si>
  <si>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</si>
  <si>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</si>
  <si>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</si>
  <si>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</si>
  <si>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</si>
  <si>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</si>
  <si>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</si>
  <si>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</si>
  <si>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</si>
  <si>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</si>
  <si>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</si>
  <si>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</si>
  <si>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</si>
  <si>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</si>
  <si>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</si>
  <si>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</si>
  <si>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</si>
  <si>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</si>
  <si>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</si>
  <si>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</si>
  <si>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</si>
  <si>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</si>
  <si>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</si>
  <si>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</si>
  <si>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</si>
  <si>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</si>
  <si>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</si>
  <si>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</si>
  <si>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</si>
  <si>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</si>
  <si>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</si>
  <si>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</si>
  <si>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</si>
  <si>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</si>
  <si>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</si>
  <si>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</si>
  <si>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</si>
  <si>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</si>
  <si>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</si>
  <si>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</si>
  <si>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</si>
  <si>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</si>
  <si>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</si>
  <si>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</si>
  <si>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</si>
  <si>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</si>
  <si>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</si>
  <si>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</si>
  <si>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</si>
  <si>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</si>
  <si>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</si>
  <si>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</si>
  <si>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</si>
  <si>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</si>
  <si>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</si>
  <si>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</si>
  <si>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</si>
  <si>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</si>
  <si>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</si>
  <si>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</si>
  <si>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</si>
  <si>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</si>
  <si>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</si>
  <si>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</si>
  <si>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</si>
  <si>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</si>
  <si>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</si>
  <si>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</si>
  <si>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</si>
  <si>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</si>
  <si>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</si>
  <si>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</si>
  <si>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</si>
  <si>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</si>
  <si>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</si>
  <si>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</si>
  <si>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</si>
  <si>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</si>
  <si>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</si>
  <si>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</si>
  <si>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</si>
  <si>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</si>
  <si>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</si>
  <si>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</si>
  <si>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</si>
  <si>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</si>
  <si>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</si>
  <si>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</si>
  <si>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</si>
  <si>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</si>
  <si>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</si>
  <si>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</si>
  <si>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</si>
  <si>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</si>
  <si>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</si>
  <si>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</si>
  <si>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</si>
  <si>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</si>
  <si>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</si>
  <si>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</si>
  <si>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</si>
  <si>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</si>
  <si>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</si>
  <si>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</si>
  <si>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</si>
  <si>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</si>
  <si>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</si>
  <si>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</si>
  <si>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</si>
  <si>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</si>
  <si>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</si>
  <si>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</si>
  <si>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</si>
  <si>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</si>
  <si>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</si>
  <si>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</si>
  <si>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</si>
  <si>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</si>
  <si>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</si>
  <si>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</si>
  <si>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</si>
  <si>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</si>
  <si>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</si>
  <si>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</si>
  <si>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</si>
  <si>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</si>
  <si>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</si>
  <si>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</si>
  <si>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</si>
  <si>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</si>
  <si>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</si>
  <si>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</si>
  <si>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</si>
  <si>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</si>
  <si>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</si>
  <si>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</si>
  <si>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</si>
  <si>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</si>
  <si>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</si>
  <si>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</si>
  <si>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</si>
  <si>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</si>
  <si>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</si>
  <si>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</si>
  <si>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</si>
  <si>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</si>
  <si>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</si>
  <si>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</si>
  <si>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</si>
  <si>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</si>
  <si>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</si>
  <si>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</si>
  <si>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</si>
  <si>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</si>
  <si>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</si>
  <si>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</si>
  <si>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</si>
  <si>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</si>
  <si>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</si>
  <si>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</si>
  <si>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</si>
  <si>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</si>
  <si>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</si>
  <si>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</si>
  <si>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</si>
  <si>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</si>
  <si>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</si>
  <si>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</si>
  <si>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</si>
  <si>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</si>
  <si>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</si>
  <si>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</si>
  <si>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</si>
  <si>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</si>
  <si>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</si>
  <si>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</si>
  <si>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</si>
  <si>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</si>
  <si>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</si>
  <si>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</si>
  <si>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</si>
  <si>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</si>
  <si>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</si>
  <si>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</si>
  <si>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</si>
  <si>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</si>
  <si>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</si>
  <si>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</si>
  <si>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</si>
  <si>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</si>
  <si>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</si>
  <si>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</si>
  <si>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</si>
  <si>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</si>
  <si>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</si>
  <si>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</si>
  <si>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</si>
  <si>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</si>
  <si>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</si>
  <si>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</si>
  <si>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</si>
  <si>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</si>
  <si>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</si>
  <si>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</si>
  <si>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</si>
  <si>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</si>
  <si>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</si>
  <si>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</si>
  <si>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</si>
  <si>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</si>
  <si>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</si>
  <si>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</si>
  <si>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</si>
  <si>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</si>
  <si>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</si>
  <si>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</si>
  <si>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</si>
  <si>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</si>
  <si>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</si>
  <si>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</si>
  <si>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</si>
  <si>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</si>
  <si>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</si>
  <si>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</si>
  <si>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</si>
  <si>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</si>
  <si>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</si>
  <si>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</si>
  <si>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</si>
  <si>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</si>
  <si>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</si>
  <si>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</si>
  <si>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</si>
  <si>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</si>
  <si>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</si>
  <si>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</si>
  <si>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</si>
  <si>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</si>
  <si>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</si>
  <si>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</si>
  <si>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</si>
  <si>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</si>
  <si>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</si>
  <si>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</si>
  <si>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</si>
  <si>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</si>
  <si>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</si>
  <si>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</si>
  <si>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</si>
  <si>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</si>
  <si>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</si>
  <si>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</si>
  <si>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</si>
  <si>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</si>
  <si>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</si>
  <si>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</si>
  <si>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</si>
  <si>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</si>
  <si>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</si>
  <si>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</si>
  <si>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</si>
  <si>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</si>
  <si>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</si>
  <si>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</si>
  <si>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</si>
  <si>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</si>
  <si>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Memphis Depay</t>
  </si>
  <si>
    <t>2. Iraan</t>
  </si>
  <si>
    <t>3. Inglismaa</t>
  </si>
  <si>
    <t>4. Üks</t>
  </si>
  <si>
    <t>5. Mbappe</t>
  </si>
  <si>
    <t>6. Argentina</t>
  </si>
  <si>
    <t>7. Saudi-Arabia</t>
  </si>
  <si>
    <t>8. Prantsusmaa</t>
  </si>
  <si>
    <t>9. DeBruyne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</si>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</sst>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61" Type="http://schemas.openxmlformats.org/officeDocument/2006/relationships/image" Target="../media/image32.png"/><Relationship Id="rId19" Type="http://schemas.openxmlformats.org/officeDocument/2006/relationships/image" Target="../media/image11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Relationship Id="rId20" Type="http://schemas.openxmlformats.org/officeDocument/2006/relationships/image" Target="../media/image21.sv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image" Target="../media/image11.sv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workbookViewId="0">
      <selection activeCell="C4" sqref="C4"/>
    </sheetView>
  </sheetViews>
  <sheetFormatPr defaultColWidth="9.1796875" defaultRowHeight="14.5" x14ac:dyDescent="0.35"/>
  <cols>
    <col min="1" max="1" width="1.1796875" style="10" customWidth="1"/>
    <col min="2" max="2" width="18.81640625" style="10" bestFit="1" customWidth="1"/>
    <col min="3" max="3" width="20.26953125" style="10" customWidth="1"/>
    <col min="4" max="4" width="9.1796875" style="10"/>
    <col min="5" max="5" width="1.1796875" style="10" customWidth="1"/>
    <col min="6" max="6" width="9.1796875" style="10"/>
    <col min="7" max="7" width="27.54296875" style="10" bestFit="1" customWidth="1"/>
    <col min="8" max="8" width="2.7265625" style="10" customWidth="1"/>
    <col min="9" max="9" width="1.1796875" style="10" customWidth="1"/>
    <col min="10" max="16384" width="9.179687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abSelected="1" topLeftCell="N1" zoomScaleNormal="100" workbookViewId="0">
      <selection activeCell="BO37" sqref="BO37"/>
    </sheetView>
  </sheetViews>
  <sheetFormatPr defaultColWidth="9.1796875" defaultRowHeight="14.5" x14ac:dyDescent="0.35"/>
  <cols>
    <col min="1" max="1" width="4.81640625" style="3" customWidth="1"/>
    <col min="2" max="2" width="6.1796875" style="3" customWidth="1"/>
    <col min="3" max="3" width="11.7265625" style="3" bestFit="1" customWidth="1"/>
    <col min="4" max="4" width="7.26953125" style="4" customWidth="1"/>
    <col min="5" max="5" width="22.54296875" style="5" customWidth="1"/>
    <col min="6" max="7" width="4.26953125" style="6" customWidth="1"/>
    <col min="8" max="8" width="22.54296875" style="7" customWidth="1"/>
    <col min="9" max="9" width="3.453125" style="2" customWidth="1"/>
    <col min="10" max="10" width="14" style="8" customWidth="1"/>
    <col min="11" max="14" width="5.453125" style="9" customWidth="1"/>
    <col min="15" max="15" width="7.7265625" style="9" customWidth="1"/>
    <col min="16" max="16" width="6.7265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26953125" style="48" hidden="1" customWidth="1"/>
    <col min="27" max="27" width="5.453125" style="47" hidden="1" customWidth="1"/>
    <col min="28" max="28" width="13.453125" style="48" hidden="1" customWidth="1"/>
    <col min="29" max="33" width="5.453125" style="47" hidden="1" customWidth="1"/>
    <col min="34" max="36" width="6" style="47" hidden="1" customWidth="1"/>
    <col min="37" max="37" width="5.453125" style="47" hidden="1" customWidth="1"/>
    <col min="38" max="38" width="6" style="47" hidden="1" customWidth="1"/>
    <col min="39" max="39" width="7.1796875" style="48" hidden="1" customWidth="1"/>
    <col min="40" max="40" width="10" style="48" hidden="1" customWidth="1"/>
    <col min="41" max="41" width="15.26953125" style="48" hidden="1" customWidth="1"/>
    <col min="42" max="46" width="4.7265625" style="47" hidden="1" customWidth="1"/>
    <col min="47" max="49" width="9.1796875" style="48" hidden="1" customWidth="1"/>
    <col min="50" max="50" width="9.1796875" style="49" hidden="1" customWidth="1"/>
    <col min="51" max="51" width="3.26953125" style="2" customWidth="1"/>
    <col min="52" max="52" width="19.7265625" style="2" customWidth="1"/>
    <col min="53" max="55" width="3" style="2" customWidth="1"/>
    <col min="56" max="57" width="2" style="2" customWidth="1"/>
    <col min="58" max="58" width="3.26953125" style="2" customWidth="1"/>
    <col min="59" max="59" width="19.7265625" style="2" customWidth="1"/>
    <col min="60" max="62" width="3" style="2" customWidth="1"/>
    <col min="63" max="64" width="2" style="2" customWidth="1"/>
    <col min="65" max="65" width="3.26953125" style="2" customWidth="1"/>
    <col min="66" max="66" width="19.7265625" style="2" customWidth="1"/>
    <col min="67" max="69" width="3" style="2" customWidth="1"/>
    <col min="70" max="71" width="2" style="2" customWidth="1"/>
    <col min="72" max="72" width="3.26953125" style="2" customWidth="1"/>
    <col min="73" max="73" width="19.7265625" style="2" customWidth="1"/>
    <col min="74" max="76" width="3" style="2" customWidth="1"/>
    <col min="77" max="16384" width="9.1796875" style="2"/>
  </cols>
  <sheetData>
    <row r="1" spans="1:76" ht="46" x14ac:dyDescent="0.3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4</v>
      </c>
      <c r="AH8" s="47">
        <f>(AF8-AG8)*100+AK8*10000+AF8</f>
        <v>60105</v>
      </c>
      <c r="AI8" s="47">
        <f>AF8-AG8</f>
        <v>1</v>
      </c>
      <c r="AJ8" s="47">
        <f>(AI8-AI13)/AI12</f>
        <v>0.5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655.00079208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4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9 - 2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6</v>
      </c>
      <c r="AH9" s="47">
        <f>(AF9-AG9)*100+AK9*10000+AF9</f>
        <v>-600</v>
      </c>
      <c r="AI9" s="47">
        <f>AF9-AG9</f>
        <v>-6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0</v>
      </c>
      <c r="G10" s="22">
        <v>2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5</v>
      </c>
      <c r="AH10" s="47">
        <f>(AF10-AG10)*100+AK10*10000+AF10</f>
        <v>29803</v>
      </c>
      <c r="AI10" s="47">
        <f>AF10-AG10</f>
        <v>-2</v>
      </c>
      <c r="AJ10" s="47">
        <f>(AI10-AI13)/AI12</f>
        <v>0.2857142857142857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331.57215507142854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3 - 5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9</v>
      </c>
      <c r="AG11" s="47">
        <f>SUMIF($E$7:$E$54,$AB11,$G$7:$G$54) + SUMIF($H$7:$H$54,$AB11,$F$7:$F$54)</f>
        <v>2</v>
      </c>
      <c r="AH11" s="47">
        <f>(AF11-AG11)*100+AK11*10000+AF11</f>
        <v>90709</v>
      </c>
      <c r="AI11" s="47">
        <f>AF11-AG11</f>
        <v>7</v>
      </c>
      <c r="AJ11" s="47">
        <f>(AI11-AI13)/AI12</f>
        <v>0.9285714285714286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1001.8579721871429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10</v>
      </c>
      <c r="AG12" s="47">
        <f t="shared" si="10"/>
        <v>5</v>
      </c>
      <c r="AH12" s="47">
        <f>MAX(AH8:AH11)-AH13+1</f>
        <v>91310</v>
      </c>
      <c r="AI12" s="47">
        <f>MAX(AI8:AI11)-AI13+1</f>
        <v>14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-600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10</v>
      </c>
      <c r="AG14" s="47">
        <f>SUMIF($E$7:$E$54,$AB14,$G$7:$G$54) + SUMIF($H$7:$H$54,$AB14,$F$7:$F$54)</f>
        <v>0</v>
      </c>
      <c r="AH14" s="47">
        <f>(AF14-AG14)*100+AK14*10000+AF14</f>
        <v>91010</v>
      </c>
      <c r="AI14" s="47">
        <f>AF14-AG14</f>
        <v>10</v>
      </c>
      <c r="AJ14" s="47">
        <f>(AI14-AI19)/AI18</f>
        <v>0.94117647058823528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1103.2094371497324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10 - 0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3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5</v>
      </c>
      <c r="AH15" s="47">
        <f>(AF15-AG15)*100+AK15*10000+AF15</f>
        <v>9500</v>
      </c>
      <c r="AI15" s="47">
        <f>AF15-AG15</f>
        <v>-5</v>
      </c>
      <c r="AJ15" s="47">
        <f>(AI15-AI19)/AI18</f>
        <v>5.8823529411764705E-2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116.99424605228758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3 - 2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4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1</v>
      </c>
      <c r="AE16" s="47">
        <f>COUNTIF($S$7:$T$54,"=" &amp; AB16 &amp; "_lose")</f>
        <v>2</v>
      </c>
      <c r="AF16" s="47">
        <f>SUMIF($E$7:$E$54,$AB16,$F$7:$F$54) + SUMIF($H$7:$H$54,$AB16,$G$7:$G$54)</f>
        <v>0</v>
      </c>
      <c r="AG16" s="47">
        <f>SUMIF($E$7:$E$54,$AB16,$G$7:$G$54) + SUMIF($H$7:$H$54,$AB16,$F$7:$F$54)</f>
        <v>6</v>
      </c>
      <c r="AH16" s="47">
        <f>(AF16-AG16)*100+AK16*10000+AF16</f>
        <v>9400</v>
      </c>
      <c r="AI16" s="47">
        <f>AF16-AG16</f>
        <v>-6</v>
      </c>
      <c r="AJ16" s="47">
        <f>(AI16-AI19)/AI18</f>
        <v>0</v>
      </c>
      <c r="AK16" s="47">
        <f>AC16*3+AD16</f>
        <v>1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111.11192797111111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Iran</v>
      </c>
      <c r="K17" s="25">
        <f>L17+M17+N17</f>
        <v>3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2</v>
      </c>
      <c r="O17" s="25" t="str">
        <f>VLOOKUP(3,AA14:AK17,6,FALSE) &amp; " - " &amp; VLOOKUP(3,AA14:AK17,7,FALSE)</f>
        <v>0 - 5</v>
      </c>
      <c r="P17" s="54">
        <f>L17*3+M17</f>
        <v>1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2</v>
      </c>
      <c r="AD17" s="47">
        <f>COUNTIF($S$7:$T$54,"=" &amp; AB17 &amp; "_draw")</f>
        <v>0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2</v>
      </c>
      <c r="AH17" s="47">
        <f>(AF17-AG17)*100+AK17*10000+AF17</f>
        <v>60103</v>
      </c>
      <c r="AI17" s="47">
        <f>AF17-AG17</f>
        <v>1</v>
      </c>
      <c r="AJ17" s="47">
        <f>(AI17-AI19)/AI18</f>
        <v>0.41176470588235292</v>
      </c>
      <c r="AK17" s="47">
        <f>AC17*3+AD17</f>
        <v>6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710.57120104717467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United States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0 - 6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3</v>
      </c>
      <c r="AF18" s="47">
        <f t="shared" si="11"/>
        <v>11</v>
      </c>
      <c r="AG18" s="47">
        <f t="shared" si="11"/>
        <v>7</v>
      </c>
      <c r="AH18" s="47">
        <f>MAX(AH14:AH17)-AH19+1</f>
        <v>81611</v>
      </c>
      <c r="AI18" s="47">
        <f>MAX(AI14:AI17)-AI19+1</f>
        <v>17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9400</v>
      </c>
      <c r="AI19" s="47">
        <f>MIN(AI14:AI17)</f>
        <v>-6</v>
      </c>
      <c r="AY19" s="125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10</v>
      </c>
      <c r="AG20" s="47">
        <f>SUMIF($E$7:$E$54,$AB20,$G$7:$G$54) + SUMIF($H$7:$H$54,$AB20,$F$7:$F$54)</f>
        <v>1</v>
      </c>
      <c r="AH20" s="47">
        <f>(AF20-AG20)*100+AK20*10000+AF20</f>
        <v>90910</v>
      </c>
      <c r="AI20" s="47">
        <f>AF20-AG20</f>
        <v>9</v>
      </c>
      <c r="AJ20" s="47">
        <f>(AI20-AI25)/AI24</f>
        <v>0.94444444444444442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1003.5362360353536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0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10 - 1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8</v>
      </c>
      <c r="AH21" s="47">
        <f>(AF21-AG21)*100+AK21*10000+AF21</f>
        <v>-800</v>
      </c>
      <c r="AI21" s="47">
        <f>AF21-AG21</f>
        <v>-8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0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5 - 5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5</v>
      </c>
      <c r="AH22" s="47">
        <f>(AF22-AG22)*100+AK22*10000+AF22</f>
        <v>39904</v>
      </c>
      <c r="AI22" s="47">
        <f>AF22-AG22</f>
        <v>-1</v>
      </c>
      <c r="AJ22" s="47">
        <f>(AI22-AI25)/AI24</f>
        <v>0.3888888888888889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442.52608193525253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4 - 5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5</v>
      </c>
      <c r="AH23" s="47">
        <f>(AF23-AG23)*100+AK23*10000+AF23</f>
        <v>40005</v>
      </c>
      <c r="AI23" s="47">
        <f>AF23-AG23</f>
        <v>0</v>
      </c>
      <c r="AJ23" s="47">
        <f>(AI23-AI25)/AI24</f>
        <v>0.44444444444444442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448.990670989899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0 - 8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11</v>
      </c>
      <c r="AG24" s="47">
        <f t="shared" si="12"/>
        <v>8</v>
      </c>
      <c r="AH24" s="47">
        <f>MAX(AH20:AH23)-AH25+1</f>
        <v>91711</v>
      </c>
      <c r="AI24" s="47">
        <f>MAX(AI20:AI23)-AI25+1</f>
        <v>18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1</v>
      </c>
      <c r="BW24" s="87"/>
      <c r="BX24" s="30"/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-800</v>
      </c>
      <c r="AI25" s="47">
        <f>MIN(AI20:AI23)</f>
        <v>-8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4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2</v>
      </c>
      <c r="AH26" s="47">
        <f>(AF26-AG26)*100+AK26*10000+AF26</f>
        <v>70608</v>
      </c>
      <c r="AI26" s="47">
        <f>AF26-AG26</f>
        <v>6</v>
      </c>
      <c r="AJ26" s="47">
        <f>(AI26-AI31)/AI30</f>
        <v>0.91666666666666663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1100.5564505555556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0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8 - 2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1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0</v>
      </c>
      <c r="AG27" s="47">
        <f>SUMIF($E$7:$E$54,$AB27,$G$7:$G$54) + SUMIF($H$7:$H$54,$AB27,$F$7:$F$54)</f>
        <v>5</v>
      </c>
      <c r="AH27" s="47">
        <f>(AF27-AG27)*100+AK27*10000+AF27</f>
        <v>9500</v>
      </c>
      <c r="AI27" s="47">
        <f>AF27-AG27</f>
        <v>-5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50</v>
      </c>
      <c r="AM27" s="47">
        <f>VLOOKUP(AB27,db_fifarank,2,FALSE)/2000000</f>
        <v>7.4186499999999997E-4</v>
      </c>
      <c r="AN27" s="48">
        <f>1000*AK27/AK30+100*AJ27+10*AF27/AF30+1*AL27/AL30+AM27</f>
        <v>143.8382768790056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1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6 - 2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2</v>
      </c>
      <c r="AH28" s="47">
        <f>(AF28-AG28)*100+AK28*10000+AF28</f>
        <v>70406</v>
      </c>
      <c r="AI28" s="47">
        <f>AF28-AG28</f>
        <v>4</v>
      </c>
      <c r="AJ28" s="47">
        <f>(AI28-AI31)/AI30</f>
        <v>0.75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1081.6674934666667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2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0 - 5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5</v>
      </c>
      <c r="AH29" s="47">
        <f>(AF29-AG29)*100+AK29*10000+AF29</f>
        <v>9500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50</v>
      </c>
      <c r="AM29" s="47">
        <f>VLOOKUP(AB29,db_fifarank,2,FALSE)/2000000</f>
        <v>7.4989999999999996E-4</v>
      </c>
      <c r="AN29" s="48">
        <f>1000*AK29/AK30+100*AJ29+10*AF29/AF30+1*AL29/AL30+AM29</f>
        <v>143.83828491400558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1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0 - 5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1</v>
      </c>
      <c r="AE30" s="47">
        <f t="shared" si="13"/>
        <v>3</v>
      </c>
      <c r="AF30" s="47">
        <f t="shared" si="13"/>
        <v>9</v>
      </c>
      <c r="AG30" s="47">
        <f t="shared" si="13"/>
        <v>4</v>
      </c>
      <c r="AH30" s="47">
        <f>MAX(AH26:AH29)-AH31+1</f>
        <v>61109</v>
      </c>
      <c r="AI30" s="47">
        <f>MAX(AI26:AI29)-AI31+1</f>
        <v>12</v>
      </c>
      <c r="AK30" s="47">
        <f t="shared" si="13"/>
        <v>7</v>
      </c>
      <c r="AL30" s="47">
        <f t="shared" si="13"/>
        <v>51</v>
      </c>
      <c r="AP30" s="47">
        <f>MAX(AP26:AP29)-MIN(AP26:AP29)+1</f>
        <v>1</v>
      </c>
      <c r="AQ30" s="47">
        <f>MAX(AQ26:AQ29)-MIN(AQ26:AQ29)+1</f>
        <v>2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9500</v>
      </c>
      <c r="AI31" s="47">
        <f>MIN(AI26:AI29)</f>
        <v>-5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2</v>
      </c>
      <c r="AH32" s="47">
        <f>(AF32-AG32)*100+AK32*10000+AF32</f>
        <v>60305</v>
      </c>
      <c r="AI32" s="47">
        <f>AF32-AG32</f>
        <v>3</v>
      </c>
      <c r="AJ32" s="47">
        <f>(AI32-AI37)/AI36</f>
        <v>0.7142857142857143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677.67942592857139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0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2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7 - 1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Croatia_draw</v>
      </c>
      <c r="T33" s="88" t="str">
        <f t="shared" si="4"/>
        <v>Canada_draw</v>
      </c>
      <c r="U33" s="48">
        <f t="shared" si="5"/>
        <v>1</v>
      </c>
      <c r="V33" s="47">
        <f t="shared" si="6"/>
        <v>2</v>
      </c>
      <c r="W33" s="47">
        <f t="shared" si="7"/>
        <v>2</v>
      </c>
      <c r="X33" s="47">
        <f t="shared" si="8"/>
        <v>0</v>
      </c>
      <c r="Y33" s="47">
        <f t="shared" si="9"/>
        <v>0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7</v>
      </c>
      <c r="AH33" s="47">
        <f>(AF33-AG33)*100+AK33*10000+AF33</f>
        <v>-700</v>
      </c>
      <c r="AI33" s="47">
        <f>AF33-AG33</f>
        <v>-7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5 - 2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7</v>
      </c>
      <c r="AG34" s="47">
        <f>SUMIF($E$7:$E$54,$AB34,$G$7:$G$54) + SUMIF($H$7:$H$54,$AB34,$F$7:$F$54)</f>
        <v>1</v>
      </c>
      <c r="AH34" s="47">
        <f>(AF34-AG34)*100+AK34*10000+AF34</f>
        <v>90607</v>
      </c>
      <c r="AI34" s="47">
        <f>AF34-AG34</f>
        <v>6</v>
      </c>
      <c r="AJ34" s="47">
        <f>(AI34-AI37)/AI36</f>
        <v>0.9285714285714286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1001.6079681221429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2 - 4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4</v>
      </c>
      <c r="AH35" s="47">
        <f>(AF35-AG35)*100+AK35*10000+AF35</f>
        <v>29802</v>
      </c>
      <c r="AI35" s="47">
        <f>AF35-AG35</f>
        <v>-2</v>
      </c>
      <c r="AJ35" s="47">
        <f>(AI35-AI37)/AI36</f>
        <v>0.35714285714285715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338.2150624342857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1</v>
      </c>
      <c r="BW35" s="86"/>
      <c r="BX35" s="27"/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0 - 7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8</v>
      </c>
      <c r="AG36" s="47">
        <f t="shared" si="14"/>
        <v>7</v>
      </c>
      <c r="AH36" s="47">
        <f>MAX(AH32:AH35)-AH37+1</f>
        <v>91308</v>
      </c>
      <c r="AI36" s="47">
        <f>MAX(AI32:AI35)-AI37+1</f>
        <v>14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0</v>
      </c>
      <c r="BW36" s="87"/>
      <c r="BX36" s="30"/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-700</v>
      </c>
      <c r="AI37" s="47">
        <f>MIN(AI32:AI35)</f>
        <v>-7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2</v>
      </c>
      <c r="AH38" s="47">
        <f>(AF38-AG38)*100+AK38*10000+AF38</f>
        <v>90507</v>
      </c>
      <c r="AI38" s="47">
        <f>AF38-AG38</f>
        <v>5</v>
      </c>
      <c r="AJ38" s="47">
        <f>(AI38-AI43)/AI42</f>
        <v>0.90909090909090906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999.6600044090909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3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7 - 2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1</v>
      </c>
      <c r="AE39" s="47">
        <f>COUNTIF($S$7:$T$54,"=" &amp; AB39 &amp; "_lose")</f>
        <v>1</v>
      </c>
      <c r="AF39" s="47">
        <f>SUMIF($E$7:$E$54,$AB39,$F$7:$F$54) + SUMIF($H$7:$H$54,$AB39,$G$7:$G$54)</f>
        <v>4</v>
      </c>
      <c r="AG39" s="47">
        <f>SUMIF($E$7:$E$54,$AB39,$G$7:$G$54) + SUMIF($H$7:$H$54,$AB39,$F$7:$F$54)</f>
        <v>4</v>
      </c>
      <c r="AH39" s="47">
        <f>(AF39-AG39)*100+AK39*10000+AF39</f>
        <v>40004</v>
      </c>
      <c r="AI39" s="47">
        <f>AF39-AG39</f>
        <v>0</v>
      </c>
      <c r="AJ39" s="47">
        <f>(AI39-AI43)/AI42</f>
        <v>0.45454545454545453</v>
      </c>
      <c r="AK39" s="47">
        <f>AC39*3+AD39</f>
        <v>4</v>
      </c>
      <c r="AL39" s="47">
        <f>AP39/AP42*1000+AQ39/AQ42*100+AT39/AT42*10+AR39/AR42</f>
        <v>50.666666666666664</v>
      </c>
      <c r="AM39" s="47">
        <f>VLOOKUP(AB39,db_fifarank,2,FALSE)/2000000</f>
        <v>7.3950000000000003E-4</v>
      </c>
      <c r="AN39" s="48">
        <f>1000*AK39/AK42+100*AJ39+10*AF39/AF42+1*AL39/AL42+AM39</f>
        <v>451.43593011583579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1</v>
      </c>
      <c r="AR39" s="47">
        <f>SUMPRODUCT(($E$7:$E$54=AB39)*($U$7:$U$54)*($F$7:$F$54))+SUMPRODUCT(($H$7:$H$54=AB39)*($U$7:$U$54)*($G$7:$G$54))</f>
        <v>2</v>
      </c>
      <c r="AS39" s="47">
        <f>SUMPRODUCT(($E$7:$E$54=AB39)*($U$7:$U$54)*($G$7:$G$54))+SUMPRODUCT(($H$7:$H$54=AB39)*($U$7:$U$54)*($F$7:$F$54))</f>
        <v>2</v>
      </c>
      <c r="AT39" s="47">
        <f>AR39-AS39</f>
        <v>0</v>
      </c>
      <c r="AY39" s="125"/>
      <c r="AZ39" s="28" t="str">
        <f>AO45</f>
        <v>Switzerland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1</v>
      </c>
      <c r="M40" s="25">
        <f>VLOOKUP(2,AA38:AK41,4,FALSE)</f>
        <v>1</v>
      </c>
      <c r="N40" s="25">
        <f>VLOOKUP(2,AA38:AK41,5,FALSE)</f>
        <v>1</v>
      </c>
      <c r="O40" s="25" t="str">
        <f>VLOOKUP(2,AA38:AK41,6,FALSE) &amp; " - " &amp; VLOOKUP(2,AA38:AK41,7,FALSE)</f>
        <v>4 - 4</v>
      </c>
      <c r="P40" s="54">
        <f>L40*3+M40</f>
        <v>4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5</v>
      </c>
      <c r="AH40" s="47">
        <f>(AF40-AG40)*100+AK40*10000+AF40</f>
        <v>-500</v>
      </c>
      <c r="AI40" s="47">
        <f>AF40-AG40</f>
        <v>-5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1</v>
      </c>
      <c r="N41" s="25">
        <f>VLOOKUP(3,AA38:AK41,5,FALSE)</f>
        <v>1</v>
      </c>
      <c r="O41" s="25" t="str">
        <f>VLOOKUP(3,AA38:AK41,6,FALSE) &amp; " - " &amp; VLOOKUP(3,AA38:AK41,7,FALSE)</f>
        <v>4 - 4</v>
      </c>
      <c r="P41" s="54">
        <f>L41*3+M41</f>
        <v>4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1</v>
      </c>
      <c r="AD41" s="47">
        <f>COUNTIF($S$7:$T$54,"=" &amp; AB41 &amp; "_draw")</f>
        <v>1</v>
      </c>
      <c r="AE41" s="47">
        <f>COUNTIF($S$7:$T$54,"=" &amp; AB41 &amp; "_lose")</f>
        <v>1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4</v>
      </c>
      <c r="AH41" s="47">
        <f>(AF41-AG41)*100+AK41*10000+AF41</f>
        <v>40004</v>
      </c>
      <c r="AI41" s="47">
        <f>AF41-AG41</f>
        <v>0</v>
      </c>
      <c r="AJ41" s="47">
        <f>(AI41-AI43)/AI42</f>
        <v>0.45454545454545453</v>
      </c>
      <c r="AK41" s="47">
        <f>AC41*3+AD41</f>
        <v>4</v>
      </c>
      <c r="AL41" s="47">
        <f>AP41/AP42*1000+AQ41/AQ42*100+AT41/AT42*10+AR41/AR42</f>
        <v>50.666666666666664</v>
      </c>
      <c r="AM41" s="47">
        <f>VLOOKUP(AB41,db_fifarank,2,FALSE)/2000000</f>
        <v>8.1055499999999991E-4</v>
      </c>
      <c r="AN41" s="48">
        <f>1000*AK41/AK42+100*AJ41+10*AF41/AF42+1*AL41/AL42+AM41</f>
        <v>451.43600117083577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1</v>
      </c>
      <c r="AR41" s="47">
        <f>SUMPRODUCT(($E$7:$E$54=AB41)*($U$7:$U$54)*($F$7:$F$54))+SUMPRODUCT(($H$7:$H$54=AB41)*($U$7:$U$54)*($G$7:$G$54))</f>
        <v>2</v>
      </c>
      <c r="AS41" s="47">
        <f>SUMPRODUCT(($E$7:$E$54=AB41)*($U$7:$U$54)*($G$7:$G$54))+SUMPRODUCT(($H$7:$H$54=AB41)*($U$7:$U$54)*($F$7:$F$54))</f>
        <v>2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0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0 - 5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4</v>
      </c>
      <c r="AF42" s="47">
        <f t="shared" si="15"/>
        <v>8</v>
      </c>
      <c r="AG42" s="47">
        <f t="shared" si="15"/>
        <v>4</v>
      </c>
      <c r="AH42" s="47">
        <f>MAX(AH38:AH41)-AH43+1</f>
        <v>91008</v>
      </c>
      <c r="AI42" s="47">
        <f>MAX(AI38:AI41)-AI43+1</f>
        <v>11</v>
      </c>
      <c r="AK42" s="47">
        <f t="shared" si="15"/>
        <v>10</v>
      </c>
      <c r="AL42" s="47">
        <f t="shared" si="15"/>
        <v>51.666666666666664</v>
      </c>
      <c r="AP42" s="47">
        <f>MAX(AP38:AP41)-MIN(AP38:AP41)+1</f>
        <v>1</v>
      </c>
      <c r="AQ42" s="47">
        <f>MAX(AQ38:AQ41)-MIN(AQ38:AQ41)+1</f>
        <v>2</v>
      </c>
      <c r="AR42" s="47">
        <f>MAX(AR38:AR41)-MIN(AR38:AR41)+1</f>
        <v>3</v>
      </c>
      <c r="AS42" s="47">
        <f>MAX(AS38:AS41)-MIN(AS38:AS41)+1</f>
        <v>3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-500</v>
      </c>
      <c r="AI43" s="47">
        <f>MIN(AI38:AI41)</f>
        <v>-5</v>
      </c>
      <c r="AY43" s="135"/>
      <c r="AZ43" s="136"/>
      <c r="BA43" s="136"/>
      <c r="BB43" s="136"/>
      <c r="BC43" s="137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10</v>
      </c>
      <c r="AG44" s="47">
        <f>SUMIF($E$7:$E$54,$AB44,$G$7:$G$54) + SUMIF($H$7:$H$54,$AB44,$F$7:$F$54)</f>
        <v>1</v>
      </c>
      <c r="AH44" s="47">
        <f>(AF44-AG44)*100+AK44*10000+AF44</f>
        <v>90910</v>
      </c>
      <c r="AI44" s="47">
        <f>AF44-AG44</f>
        <v>9</v>
      </c>
      <c r="AJ44" s="47">
        <f>(AI44-AI49)/AI48</f>
        <v>0.9375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1003.750916345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10 - 1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0</v>
      </c>
      <c r="AE45" s="47">
        <f>COUNTIF($S$7:$T$54,"=" &amp; AB45 &amp; "_lose")</f>
        <v>2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6</v>
      </c>
      <c r="AH45" s="47">
        <f>(AF45-AG45)*100+AK45*10000+AF45</f>
        <v>29602</v>
      </c>
      <c r="AI45" s="47">
        <f>AF45-AG45</f>
        <v>-4</v>
      </c>
      <c r="AJ45" s="47">
        <f>(AI45-AI49)/AI48</f>
        <v>0.125</v>
      </c>
      <c r="AK45" s="47">
        <f>AC45*3+AD45</f>
        <v>3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314.50077376500002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4 - 3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2</v>
      </c>
      <c r="AD46" s="47">
        <f>COUNTIF($S$7:$T$54,"=" &amp; AB46 &amp; "_draw")</f>
        <v>0</v>
      </c>
      <c r="AE46" s="47">
        <f>COUNTIF($S$7:$T$54,"=" &amp; AB46 &amp; "_lose")</f>
        <v>1</v>
      </c>
      <c r="AF46" s="47">
        <f>SUMIF($E$7:$E$54,$AB46,$F$7:$F$54) + SUMIF($H$7:$H$54,$AB46,$G$7:$G$54)</f>
        <v>4</v>
      </c>
      <c r="AG46" s="47">
        <f>SUMIF($E$7:$E$54,$AB46,$G$7:$G$54) + SUMIF($H$7:$H$54,$AB46,$F$7:$F$54)</f>
        <v>3</v>
      </c>
      <c r="AH46" s="47">
        <f>(AF46-AG46)*100+AK46*10000+AF46</f>
        <v>60104</v>
      </c>
      <c r="AI46" s="47">
        <f>AF46-AG46</f>
        <v>1</v>
      </c>
      <c r="AJ46" s="47">
        <f>(AI46-AI49)/AI48</f>
        <v>0.4375</v>
      </c>
      <c r="AK46" s="47">
        <f>AC46*3+AD46</f>
        <v>6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647.75081766000005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2 - 6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7</v>
      </c>
      <c r="AH47" s="47">
        <f>(AF47-AG47)*100+AK47*10000+AF47</f>
        <v>-599</v>
      </c>
      <c r="AI47" s="47">
        <f>AF47-AG47</f>
        <v>-6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1.0007402400000001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1 - 7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10</v>
      </c>
      <c r="AG48" s="47">
        <f t="shared" si="16"/>
        <v>7</v>
      </c>
      <c r="AH48" s="47">
        <f>MAX(AH44:AH47)-AH49+1</f>
        <v>91510</v>
      </c>
      <c r="AI48" s="47">
        <f>MAX(AI44:AI47)-AI49+1</f>
        <v>16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-599</v>
      </c>
      <c r="AI49" s="47">
        <f>MIN(AI44:AI47)</f>
        <v>-6</v>
      </c>
      <c r="AY49" s="135"/>
      <c r="AZ49" s="136"/>
      <c r="BA49" s="136"/>
      <c r="BB49" s="136"/>
      <c r="BC49" s="137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2</v>
      </c>
      <c r="AH50" s="47">
        <f>(AF50-AG50)*100+AK50*10000+AF50</f>
        <v>90406</v>
      </c>
      <c r="AI50" s="47">
        <f>AF50-AG50</f>
        <v>4</v>
      </c>
      <c r="AJ50" s="47">
        <f>(AI50-AI55)/AI54</f>
        <v>0.9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1002.00083739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3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6 - 2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7</v>
      </c>
      <c r="AH51" s="47">
        <f>(AF51-AG51)*100+AK51*10000+AF51</f>
        <v>-498</v>
      </c>
      <c r="AI51" s="47">
        <f>AF51-AG51</f>
        <v>-5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4.0006936800000004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5 - 4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1</v>
      </c>
      <c r="AE52" s="47">
        <f>COUNTIF($S$7:$T$54,"=" &amp; AB52 &amp; "_lose")</f>
        <v>1</v>
      </c>
      <c r="AF52" s="47">
        <f>SUMIF($E$7:$E$54,$AB52,$F$7:$F$54) + SUMIF($H$7:$H$54,$AB52,$G$7:$G$54)</f>
        <v>5</v>
      </c>
      <c r="AG52" s="47">
        <f>SUMIF($E$7:$E$54,$AB52,$G$7:$G$54) + SUMIF($H$7:$H$54,$AB52,$F$7:$F$54)</f>
        <v>4</v>
      </c>
      <c r="AH52" s="47">
        <f>(AF52-AG52)*100+AK52*10000+AF52</f>
        <v>40105</v>
      </c>
      <c r="AI52" s="47">
        <f>AF52-AG52</f>
        <v>1</v>
      </c>
      <c r="AJ52" s="47">
        <f>(AI52-AI55)/AI54</f>
        <v>0.6</v>
      </c>
      <c r="AK52" s="47">
        <f>AC52*3+AD52</f>
        <v>4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470.00081786499999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0</v>
      </c>
      <c r="G53" s="22">
        <v>2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1</v>
      </c>
      <c r="N53" s="25">
        <f>VLOOKUP(3,AA50:AK53,5,FALSE)</f>
        <v>1</v>
      </c>
      <c r="O53" s="25" t="str">
        <f>VLOOKUP(3,AA50:AK53,6,FALSE) &amp; " - " &amp; VLOOKUP(3,AA50:AK53,7,FALSE)</f>
        <v>3 - 3</v>
      </c>
      <c r="P53" s="54">
        <f>L53*3+M53</f>
        <v>4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1</v>
      </c>
      <c r="AE53" s="47">
        <f>COUNTIF($S$7:$T$54,"=" &amp; AB53 &amp; "_lose")</f>
        <v>1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3</v>
      </c>
      <c r="AH53" s="47">
        <f>(AF53-AG53)*100+AK53*10000+AF53</f>
        <v>40003</v>
      </c>
      <c r="AI53" s="47">
        <f>AF53-AG53</f>
        <v>0</v>
      </c>
      <c r="AJ53" s="47">
        <f>(AI53-AI55)/AI54</f>
        <v>0.5</v>
      </c>
      <c r="AK53" s="47">
        <f>AC53*3+AD53</f>
        <v>4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456.00075977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4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2 - 7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2</v>
      </c>
      <c r="AE54" s="47">
        <f t="shared" si="17"/>
        <v>4</v>
      </c>
      <c r="AF54" s="47">
        <f t="shared" si="17"/>
        <v>5</v>
      </c>
      <c r="AG54" s="47">
        <f t="shared" si="17"/>
        <v>6</v>
      </c>
      <c r="AH54" s="47">
        <f>MAX(AH50:AH53)-AH55+1</f>
        <v>90905</v>
      </c>
      <c r="AI54" s="47">
        <f>MAX(AI50:AI53)-AI55+1</f>
        <v>10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-498</v>
      </c>
      <c r="AI55" s="47">
        <f>MIN(AI50:AI53)</f>
        <v>-5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defaultRowHeight="14.5" x14ac:dyDescent="0.35"/>
  <cols>
    <col min="1" max="1" width="80.36328125" customWidth="1"/>
    <col min="2" max="2" width="63.90625" customWidth="1"/>
  </cols>
  <sheetData>
    <row r="1" spans="1:2" x14ac:dyDescent="0.35">
      <c r="A1" s="101" t="s">
        <v>2526</v>
      </c>
      <c r="B1" s="102" t="s">
        <v>2527</v>
      </c>
    </row>
    <row r="2" spans="1:2" x14ac:dyDescent="0.35">
      <c r="A2" s="103" t="s">
        <v>2518</v>
      </c>
      <c r="B2" s="100" t="s">
        <v>2530</v>
      </c>
    </row>
    <row r="3" spans="1:2" x14ac:dyDescent="0.35">
      <c r="A3" s="100" t="s">
        <v>2519</v>
      </c>
      <c r="B3" s="103" t="s">
        <v>2531</v>
      </c>
    </row>
    <row r="4" spans="1:2" x14ac:dyDescent="0.35">
      <c r="A4" s="103" t="s">
        <v>2520</v>
      </c>
      <c r="B4" s="100" t="s">
        <v>2532</v>
      </c>
    </row>
    <row r="5" spans="1:2" x14ac:dyDescent="0.35">
      <c r="A5" s="100" t="s">
        <v>2529</v>
      </c>
      <c r="B5" s="103" t="s">
        <v>2533</v>
      </c>
    </row>
    <row r="6" spans="1:2" x14ac:dyDescent="0.35">
      <c r="A6" s="103" t="s">
        <v>2521</v>
      </c>
      <c r="B6" s="100" t="s">
        <v>2534</v>
      </c>
    </row>
    <row r="7" spans="1:2" x14ac:dyDescent="0.35">
      <c r="A7" s="100" t="s">
        <v>2522</v>
      </c>
      <c r="B7" s="103" t="s">
        <v>2535</v>
      </c>
    </row>
    <row r="8" spans="1:2" x14ac:dyDescent="0.35">
      <c r="A8" s="103" t="s">
        <v>2523</v>
      </c>
      <c r="B8" s="100" t="s">
        <v>2536</v>
      </c>
    </row>
    <row r="9" spans="1:2" x14ac:dyDescent="0.35">
      <c r="A9" s="100" t="s">
        <v>2524</v>
      </c>
      <c r="B9" s="103" t="s">
        <v>2537</v>
      </c>
    </row>
    <row r="10" spans="1:2" x14ac:dyDescent="0.35">
      <c r="A10" s="103" t="s">
        <v>2525</v>
      </c>
      <c r="B10" s="100" t="s">
        <v>2538</v>
      </c>
    </row>
    <row r="11" spans="1:2" x14ac:dyDescent="0.35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2022-11-19T16:47:57Z</dcterms:modified>
</cp:coreProperties>
</file>