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0" yWindow="0" windowWidth="14380" windowHeight="4190" firstSheet="1" activeTab="3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U39" i="3"/>
  <c r="W39" i="3" s="1"/>
  <c r="U24" i="3"/>
  <c r="W24" i="3" s="1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49" i="3" s="1"/>
  <c r="W40" i="3"/>
  <c r="V39" i="3"/>
  <c r="V24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O15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6" i="3" l="1"/>
  <c r="P15" i="3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<sst xmlns="http://schemas.openxmlformats.org/spreadsheetml/2006/main" count="4373" uniqueCount="2537">
  <si>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</si>
  <si>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</si>
  <si>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</si>
  <si>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</si>
  <si>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</si>
  <si>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</si>
  <si>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</si>
  <si>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</si>
  <si>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</si>
  <si>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</si>
  <si>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</si>
  <si>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</si>
  <si>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</si>
  <si>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</si>
  <si>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</si>
  <si>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</si>
  <si>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</si>
  <si>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</si>
  <si>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</si>
  <si>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</si>
  <si>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</si>
  <si>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</si>
  <si>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</si>
  <si>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</si>
  <si>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</si>
  <si>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</si>
  <si>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</si>
  <si>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</si>
  <si>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</si>
  <si>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</si>
  <si>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</si>
  <si>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</si>
  <si>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</si>
  <si>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</si>
  <si>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</si>
  <si>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</si>
  <si>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</si>
  <si>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</si>
  <si>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</si>
  <si>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</si>
  <si>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</si>
  <si>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</si>
  <si>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</si>
  <si>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</si>
  <si>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</si>
  <si>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</si>
  <si>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</si>
  <si>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</si>
  <si>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</si>
  <si>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</si>
  <si>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</si>
  <si>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</si>
  <si>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</si>
  <si>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</si>
  <si>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</si>
  <si>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</si>
  <si>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</si>
  <si>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</si>
  <si>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</si>
  <si>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</si>
  <si>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</si>
  <si>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</si>
  <si>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</si>
  <si>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</si>
  <si>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</si>
  <si>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</si>
  <si>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</si>
  <si>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</si>
  <si>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</si>
  <si>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</si>
  <si>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</si>
  <si>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</si>
  <si>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</si>
  <si>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</si>
  <si>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</si>
  <si>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</si>
  <si>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</si>
  <si>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</si>
  <si>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</si>
  <si>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</si>
  <si>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</si>
  <si>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</si>
  <si>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</si>
  <si>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</si>
  <si>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</si>
  <si>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</si>
  <si>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</si>
  <si>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</si>
  <si>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</si>
  <si>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</si>
  <si>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</si>
  <si>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</si>
  <si>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</si>
  <si>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</si>
  <si>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</si>
  <si>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</si>
  <si>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</si>
  <si>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</si>
  <si>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</si>
  <si>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</si>
  <si>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</si>
  <si>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</si>
  <si>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</si>
  <si>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</si>
  <si>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</si>
  <si>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</si>
  <si>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</si>
  <si>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</si>
  <si>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</si>
  <si>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</si>
  <si>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</si>
  <si>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</si>
  <si>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</si>
  <si>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</si>
  <si>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</si>
  <si>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</si>
  <si>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</si>
  <si>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</si>
  <si>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</si>
  <si>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</si>
  <si>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</si>
  <si>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</si>
  <si>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</si>
  <si>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</si>
  <si>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</si>
  <si>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</si>
  <si>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</si>
  <si>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</si>
  <si>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</si>
  <si>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</si>
  <si>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</si>
  <si>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</si>
  <si>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</si>
  <si>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</si>
  <si>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</si>
  <si>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</si>
  <si>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</si>
  <si>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</si>
  <si>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</si>
  <si>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</si>
  <si>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</si>
  <si>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</si>
  <si>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</si>
  <si>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</si>
  <si>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</si>
  <si>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</si>
  <si>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</si>
  <si>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</si>
  <si>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</si>
  <si>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</si>
  <si>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</si>
  <si>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</si>
  <si>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</si>
  <si>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</si>
  <si>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</si>
  <si>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</si>
  <si>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</si>
  <si>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</si>
  <si>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</si>
  <si>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</si>
  <si>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</si>
  <si>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</si>
  <si>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</si>
  <si>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</si>
  <si>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</si>
  <si>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</si>
  <si>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</si>
  <si>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</si>
  <si>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</si>
  <si>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</si>
  <si>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</si>
  <si>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</si>
  <si>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</si>
  <si>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</si>
  <si>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</si>
  <si>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</si>
  <si>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</si>
  <si>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</si>
  <si>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</si>
  <si>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</si>
  <si>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</si>
  <si>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</si>
  <si>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</si>
  <si>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</si>
  <si>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</si>
  <si>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</si>
  <si>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</si>
  <si>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</si>
  <si>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</si>
  <si>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</si>
  <si>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</si>
  <si>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</si>
  <si>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</si>
  <si>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</si>
  <si>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</si>
  <si>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</si>
  <si>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</si>
  <si>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</si>
  <si>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</si>
  <si>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</si>
  <si>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</si>
  <si>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</si>
  <si>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</si>
  <si>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</si>
  <si>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</si>
  <si>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</si>
  <si>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</si>
  <si>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</si>
  <si>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</si>
  <si>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</si>
  <si>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</si>
  <si>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</si>
  <si>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</si>
  <si>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</si>
  <si>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</si>
  <si>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</si>
  <si>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</si>
  <si>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</si>
  <si>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</si>
  <si>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</si>
  <si>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</si>
  <si>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</si>
  <si>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</si>
  <si>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</si>
  <si>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</si>
  <si>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</si>
  <si>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</si>
  <si>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</si>
  <si>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</si>
  <si>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</si>
  <si>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</si>
  <si>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</si>
  <si>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</si>
  <si>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</si>
  <si>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</si>
  <si>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</si>
  <si>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</si>
  <si>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</si>
  <si>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</si>
  <si>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</si>
  <si>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</si>
  <si>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</si>
  <si>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</si>
  <si>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</si>
  <si>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</si>
  <si>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</si>
  <si>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</si>
  <si>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</si>
  <si>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</si>
  <si>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</si>
  <si>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</si>
  <si>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</si>
  <si>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</si>
  <si>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</si>
  <si>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</si>
  <si>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</si>
  <si>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</si>
  <si>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</si>
  <si>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</si>
  <si>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</si>
  <si>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</si>
  <si>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</si>
  <si>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</si>
  <si>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</si>
  <si>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</si>
  <si>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</si>
  <si>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</si>
  <si>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</si>
  <si>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</si>
  <si>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</si>
  <si>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</si>
  <si>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</si>
  <si>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</si>
  <si>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</si>
  <si>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</si>
  <si>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</si>
  <si>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</si>
  <si>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</si>
  <si>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</si>
  <si>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</si>
  <si>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</si>
  <si>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</si>
  <si>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</si>
  <si>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</si>
  <si>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</si>
  <si>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</si>
  <si>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</si>
  <si>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</si>
  <si>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</si>
  <si>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</si>
  <si>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</si>
  <si>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</si>
  <si>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</si>
  <si>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</si>
  <si>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</si>
  <si>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</si>
  <si>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</si>
  <si>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</si>
  <si>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</si>
  <si>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</si>
  <si>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</si>
  <si>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</si>
  <si>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</si>
  <si>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</si>
  <si>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</si>
  <si>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</si>
  <si>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</si>
  <si>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</si>
  <si>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</si>
  <si>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</si>
  <si>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</si>
  <si>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</si>
  <si>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</si>
  <si>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</si>
  <si>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</si>
  <si>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</si>
  <si>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</si>
  <si>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</si>
  <si>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</si>
  <si>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</si>
  <si>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</si>
  <si>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</si>
  <si>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</si>
  <si>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</si>
  <si>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</si>
  <si>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</si>
  <si>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</si>
  <si>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</si>
  <si>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</si>
  <si>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</si>
  <si>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</si>
  <si>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</si>
  <si>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</si>
  <si>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</si>
  <si>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</si>
  <si>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</si>
  <si>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</si>
  <si>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</si>
  <si>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</si>
  <si>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</si>
  <si>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</si>
  <si>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</si>
  <si>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</si>
  <si>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</si>
  <si>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</si>
  <si>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</si>
  <si>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</si>
  <si>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</si>
  <si>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</si>
  <si>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</si>
  <si>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</si>
  <si>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</si>
  <si>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</si>
  <si>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</si>
  <si>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</si>
  <si>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</si>
  <si>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</si>
  <si>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</si>
  <si>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</si>
  <si>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</si>
  <si>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</si>
  <si>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</si>
  <si>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</si>
  <si>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</si>
  <si>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</si>
  <si>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</si>
  <si>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</si>
  <si>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</si>
  <si>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</si>
  <si>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</si>
  <si>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</si>
  <si>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</si>
  <si>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</si>
  <si>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</si>
  <si>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</si>
  <si>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</si>
  <si>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</si>
  <si>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</si>
  <si>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</si>
  <si>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</si>
  <si>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</si>
  <si>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</si>
  <si>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</si>
  <si>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</si>
  <si>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</si>
  <si>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</si>
  <si>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</si>
  <si>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</si>
  <si>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</si>
  <si>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</si>
  <si>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</si>
  <si>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</si>
  <si>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</si>
  <si>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</si>
  <si>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</si>
  <si>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</si>
  <si>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</si>
  <si>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</si>
  <si>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</si>
  <si>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</si>
  <si>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</si>
  <si>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</si>
  <si>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</si>
  <si>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</si>
  <si>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</si>
  <si>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</si>
  <si>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</si>
  <si>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</si>
  <si>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</si>
  <si>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</si>
  <si>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</si>
  <si>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</si>
  <si>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</si>
  <si>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</si>
  <si>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</si>
  <si>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</si>
  <si>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</si>
  <si>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</si>
  <si>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</si>
  <si>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</si>
  <si>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</si>
  <si>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</si>
  <si>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</si>
  <si>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</si>
  <si>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</si>
  <si>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</si>
  <si>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</si>
  <si>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</si>
  <si>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</si>
  <si>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</si>
  <si>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</si>
  <si>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</si>
  <si>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</si>
  <si>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</si>
  <si>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</si>
  <si>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</si>
  <si>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</si>
  <si>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</si>
  <si>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</si>
  <si>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</si>
  <si>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</si>
  <si>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</si>
  <si>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</si>
  <si>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</si>
  <si>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</si>
  <si>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</si>
  <si>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</si>
  <si>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</si>
  <si>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</si>
  <si>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</si>
  <si>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</si>
  <si>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</si>
  <si>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</si>
  <si>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</si>
  <si>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</si>
  <si>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</si>
  <si>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</si>
  <si>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</si>
  <si>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</si>
  <si>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</si>
  <si>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</si>
  <si>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</si>
  <si>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</si>
  <si>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</si>
  <si>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</si>
  <si>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</si>
  <si>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</si>
  <si>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</si>
  <si>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</si>
  <si>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</si>
  <si>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</si>
  <si>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</si>
  <si>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</si>
  <si>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</si>
  <si>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</si>
  <si>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</si>
  <si>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</si>
  <si>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</si>
  <si>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</si>
  <si>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</si>
  <si>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</si>
  <si>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</si>
  <si>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</si>
  <si>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</si>
  <si>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</si>
  <si>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</si>
  <si>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</si>
  <si>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</si>
  <si>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</si>
  <si>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</si>
  <si>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</si>
  <si>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</si>
  <si>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</si>
  <si>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</si>
  <si>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</si>
  <si>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</si>
  <si>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</si>
  <si>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</si>
  <si>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</si>
  <si>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</si>
  <si>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</si>
  <si>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</si>
  <si>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</si>
  <si>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</si>
  <si>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</si>
  <si>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</si>
  <si>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</si>
  <si>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</si>
  <si>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</si>
  <si>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</si>
  <si>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</si>
  <si>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</si>
  <si>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</si>
  <si>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</si>
  <si>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</si>
  <si>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</si>
  <si>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</si>
  <si>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</si>
  <si>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</si>
  <si>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</si>
  <si>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</si>
  <si>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</si>
  <si>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</si>
  <si>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</si>
  <si>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</si>
  <si>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</si>
  <si>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</si>
  <si>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</si>
  <si>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</si>
  <si>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</si>
  <si>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</si>
  <si>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</si>
  <si>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</si>
  <si>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</si>
  <si>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</si>
  <si>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</si>
  <si>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</si>
  <si>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</si>
  <si>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</si>
  <si>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</si>
  <si>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</si>
  <si>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</si>
  <si>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</si>
  <si>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</si>
  <si>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</si>
  <si>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</si>
  <si>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</si>
  <si>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</si>
  <si>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</si>
  <si>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</si>
  <si>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</si>
  <si>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</si>
  <si>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</si>
  <si>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</si>
  <si>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</si>
  <si>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</si>
  <si>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</si>
  <si>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</si>
  <si>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</si>
  <si>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</si>
  <si>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</si>
  <si>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</si>
  <si>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</si>
  <si>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</si>
  <si>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</si>
  <si>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</si>
  <si>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</si>
  <si>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</si>
  <si>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</si>
  <si>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</si>
  <si>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</si>
  <si>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</si>
  <si>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</si>
  <si>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</si>
  <si>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</si>
  <si>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</si>
  <si>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</si>
  <si>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</si>
  <si>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</si>
  <si>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</si>
  <si>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</si>
  <si>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</si>
  <si>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</si>
  <si>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</si>
  <si>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</si>
  <si>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</si>
  <si>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</si>
  <si>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</si>
  <si>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</si>
  <si>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</si>
  <si>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</si>
  <si>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</si>
  <si>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</si>
  <si>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</si>
  <si>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</si>
  <si>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</si>
  <si>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</si>
  <si>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</si>
  <si>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</si>
  <si>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</si>
  <si>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</si>
  <si>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</si>
  <si>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</si>
  <si>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</si>
  <si>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</si>
  <si>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</si>
  <si>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</si>
  <si>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</si>
  <si>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</si>
  <si>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</si>
  <si>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</si>
  <si>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</si>
  <si>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</si>
  <si>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</si>
  <si>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</si>
  <si>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</si>
  <si>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</si>
  <si>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</si>
  <si>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</si>
  <si>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</si>
  <si>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</si>
  <si>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</si>
  <si>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</si>
  <si>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</si>
  <si>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</si>
  <si>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</si>
  <si>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</si>
  <si>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</si>
  <si>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</si>
  <si>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</si>
  <si>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</si>
  <si>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</si>
  <si>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</si>
  <si>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</si>
  <si>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</si>
  <si>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</si>
  <si>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</si>
  <si>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</si>
  <si>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</si>
  <si>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</si>
  <si>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</si>
  <si>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</si>
  <si>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</si>
  <si>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</si>
  <si>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</si>
  <si>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</si>
  <si>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</si>
  <si>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</si>
  <si>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</si>
  <si>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</si>
  <si>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</si>
  <si>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</si>
  <si>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</si>
  <si>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</si>
  <si>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</si>
  <si>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</si>
  <si>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</si>
  <si>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</si>
  <si>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</si>
  <si>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</si>
  <si>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</si>
  <si>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</si>
  <si>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</si>
  <si>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</si>
  <si>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</si>
  <si>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</si>
  <si>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</si>
  <si>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</si>
  <si>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</si>
  <si>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</si>
  <si>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</si>
  <si>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</si>
  <si>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</si>
  <si>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</si>
  <si>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</si>
  <si>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</si>
  <si>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</si>
  <si>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</si>
  <si>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</si>
  <si>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</si>
  <si>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</si>
  <si>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</si>
  <si>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</si>
  <si>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</si>
  <si>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</si>
  <si>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</si>
  <si>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</si>
  <si>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</si>
  <si>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</si>
  <si>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</si>
  <si>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</si>
  <si>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</si>
  <si>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</si>
  <si>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</si>
  <si>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</si>
  <si>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</si>
  <si>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</si>
  <si>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</si>
  <si>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</si>
  <si>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</si>
  <si>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</si>
  <si>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</si>
  <si>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</si>
  <si>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</si>
  <si>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</si>
  <si>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</si>
  <si>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</si>
  <si>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</si>
  <si>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</si>
  <si>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</si>
  <si>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</si>
  <si>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</si>
  <si>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</si>
  <si>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</si>
  <si>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</si>
  <si>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</si>
  <si>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</si>
  <si>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</si>
  <si>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</si>
  <si>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</si>
  <si>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</si>
  <si>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</si>
  <si>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</si>
  <si>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</si>
  <si>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</si>
  <si>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</si>
  <si>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</si>
  <si>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</si>
  <si>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</si>
  <si>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</si>
  <si>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</si>
  <si>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</si>
  <si>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</si>
  <si>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</si>
  <si>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</si>
  <si>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</si>
  <si>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</si>
  <si>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</si>
  <si>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</si>
  <si>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</si>
  <si>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</si>
  <si>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</si>
  <si>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</si>
  <si>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</si>
  <si>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</si>
  <si>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</si>
  <si>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</si>
  <si>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</si>
  <si>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</si>
  <si>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</si>
  <si>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</si>
  <si>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</si>
  <si>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</si>
  <si>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</si>
  <si>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</si>
  <si>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</si>
  <si>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</si>
  <si>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</si>
  <si>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</si>
  <si>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</si>
  <si>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</si>
  <si>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</si>
  <si>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</si>
  <si>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</si>
  <si>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</si>
  <si>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</si>
  <si>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</si>
  <si>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</si>
  <si>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</si>
  <si>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</si>
  <si>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</si>
  <si>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</si>
  <si>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</si>
  <si>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</si>
  <si>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</si>
  <si>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</si>
  <si>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</si>
  <si>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</si>
  <si>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</si>
  <si>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</si>
  <si>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</si>
  <si>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</si>
  <si>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</si>
  <si>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</si>
  <si>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</si>
  <si>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</si>
  <si>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</si>
  <si>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</si>
  <si>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</si>
  <si>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</si>
  <si>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</si>
  <si>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</si>
  <si>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</si>
  <si>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</si>
  <si>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</si>
  <si>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</si>
  <si>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</si>
  <si>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</si>
  <si>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</si>
  <si>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</si>
  <si>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</si>
  <si>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</si>
  <si>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</si>
  <si>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</si>
  <si>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</si>
  <si>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</si>
  <si>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</si>
  <si>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</si>
  <si>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</si>
  <si>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</si>
  <si>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</si>
  <si>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</si>
  <si>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</si>
  <si>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</si>
  <si>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</si>
  <si>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</si>
  <si>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</si>
  <si>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</si>
  <si>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</si>
  <si>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</si>
  <si>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</si>
  <si>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</si>
  <si>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</si>
  <si>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</si>
  <si>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</si>
  <si>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</si>
  <si>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</si>
  <si>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</si>
  <si>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</si>
  <si>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</si>
  <si>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</si>
  <si>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</si>
  <si>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</si>
  <si>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</si>
  <si>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</si>
  <si>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</si>
  <si>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</si>
  <si>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</si>
  <si>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</si>
  <si>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</si>
  <si>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</si>
  <si>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</si>
  <si>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</si>
  <si>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</si>
  <si>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</si>
  <si>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</si>
  <si>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</si>
  <si>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</si>
  <si>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</si>
  <si>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</si>
  <si>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</si>
  <si>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</si>
  <si>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</si>
  <si>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</si>
  <si>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</si>
  <si>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</si>
  <si>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</si>
  <si>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</si>
  <si>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</si>
  <si>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</si>
  <si>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</si>
  <si>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</si>
  <si>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</si>
  <si>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</si>
  <si>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</si>
  <si>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</si>
  <si>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</si>
  <si>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</si>
  <si>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</si>
  <si>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</si>
  <si>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</si>
  <si>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</si>
  <si>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</si>
  <si>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</si>
  <si>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</si>
  <si>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</si>
  <si>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</si>
  <si>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</si>
  <si>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</si>
  <si>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</si>
  <si>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</si>
  <si>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</si>
  <si>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</si>
  <si>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</si>
  <si>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</si>
  <si>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</si>
  <si>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</si>
  <si>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</si>
  <si>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</si>
  <si>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</si>
  <si>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</si>
  <si>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</si>
  <si>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</si>
  <si>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</si>
  <si>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</si>
  <si>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</si>
  <si>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</si>
  <si>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</si>
  <si>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</si>
  <si>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</si>
  <si>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</si>
  <si>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</si>
  <si>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</si>
  <si>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</si>
  <si>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</si>
  <si>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</si>
  <si>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</si>
  <si>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</si>
  <si>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</si>
  <si>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</si>
  <si>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</si>
  <si>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</si>
  <si>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</si>
  <si>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</si>
  <si>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</si>
  <si>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</si>
  <si>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</si>
  <si>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</si>
  <si>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</si>
  <si>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</si>
  <si>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</si>
  <si>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</si>
  <si>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</si>
  <si>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</si>
  <si>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</si>
  <si>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</si>
  <si>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</si>
  <si>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</si>
  <si>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</si>
  <si>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</si>
  <si>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</si>
  <si>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</si>
  <si>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</si>
  <si>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</si>
  <si>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</si>
  <si>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</si>
  <si>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</si>
  <si>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</si>
  <si>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</si>
  <si>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</si>
  <si>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</si>
  <si>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</si>
  <si>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</si>
  <si>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</si>
  <si>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</si>
  <si>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</si>
  <si>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</si>
  <si>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</si>
  <si>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</si>
  <si>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</si>
  <si>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</si>
  <si>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</si>
  <si>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</si>
  <si>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</si>
  <si>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</si>
  <si>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</si>
  <si>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</si>
  <si>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</si>
  <si>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</si>
  <si>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</si>
  <si>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</si>
  <si>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</si>
  <si>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</si>
  <si>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</si>
  <si>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</si>
  <si>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</si>
  <si>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</si>
  <si>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</si>
  <si>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</si>
  <si>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</si>
  <si>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</si>
  <si>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</si>
  <si>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</si>
  <si>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</si>
  <si>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</si>
  <si>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</si>
  <si>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</si>
  <si>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</si>
  <si>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</si>
  <si>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</si>
  <si>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</si>
  <si>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</si>
  <si>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</si>
  <si>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</si>
  <si>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</si>
  <si>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</si>
  <si>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</si>
  <si>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</si>
  <si>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</si>
  <si>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</si>
  <si>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</si>
  <si>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</si>
  <si>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</si>
  <si>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</si>
  <si>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</si>
  <si>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</si>
  <si>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</si>
  <si>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</si>
  <si>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</si>
  <si>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</si>
  <si>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</si>
  <si>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</si>
  <si>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</si>
  <si>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</si>
  <si>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</si>
  <si>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</si>
  <si>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</si>
  <si>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</si>
  <si>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</si>
  <si>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</si>
  <si>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</si>
  <si>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</si>
  <si>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</si>
  <si>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</si>
  <si>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</si>
  <si>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</si>
  <si>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</si>
  <si>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</si>
  <si>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</si>
  <si>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</si>
  <si>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</si>
  <si>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</si>
  <si>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</si>
  <si>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</si>
  <si>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</si>
  <si>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</si>
  <si>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</si>
  <si>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</si>
  <si>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</si>
  <si>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</si>
  <si>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</si>
  <si>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</si>
  <si>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</si>
  <si>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</si>
  <si>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</si>
  <si>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</si>
  <si>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</si>
  <si>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</si>
  <si>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</si>
  <si>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</si>
  <si>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</si>
  <si>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</si>
  <si>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</si>
  <si>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</si>
  <si>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</si>
  <si>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</si>
  <si>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</si>
  <si>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</si>
  <si>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</si>
  <si>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</si>
  <si>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</si>
  <si>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</si>
  <si>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</si>
  <si>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</si>
  <si>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</si>
  <si>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</si>
  <si>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</si>
  <si>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</si>
  <si>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</si>
  <si>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</si>
  <si>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</si>
  <si>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</si>
  <si>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</si>
  <si>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</si>
  <si>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</si>
  <si>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</si>
  <si>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</si>
  <si>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</si>
  <si>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</si>
  <si>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</si>
  <si>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</si>
  <si>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</si>
  <si>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</si>
  <si>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</si>
  <si>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</si>
  <si>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</si>
  <si>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</si>
  <si>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</si>
  <si>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</si>
  <si>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</si>
  <si>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</si>
  <si>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</si>
  <si>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</si>
  <si>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</si>
  <si>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</si>
  <si>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</si>
  <si>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</si>
  <si>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</si>
  <si>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</si>
  <si>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</si>
  <si>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</si>
  <si>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</si>
  <si>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</si>
  <si>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</si>
  <si>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</si>
  <si>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</si>
  <si>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</si>
  <si>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</si>
  <si>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</si>
  <si>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</si>
  <si>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</si>
  <si>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</si>
  <si>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</si>
  <si>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</si>
  <si>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</si>
  <si>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</si>
  <si>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</si>
  <si>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</si>
  <si>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</si>
  <si>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</si>
  <si>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</si>
  <si>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</si>
  <si>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</si>
  <si>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</si>
  <si>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</si>
  <si>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</si>
  <si>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</si>
  <si>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</si>
  <si>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</si>
  <si>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</si>
  <si>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</si>
  <si>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</si>
  <si>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</si>
  <si>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</si>
  <si>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</si>
  <si>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</si>
  <si>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</si>
  <si>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</si>
  <si>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</si>
  <si>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</si>
  <si>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</si>
  <si>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</si>
  <si>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</si>
  <si>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</si>
  <si>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</si>
  <si>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</si>
  <si>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</si>
  <si>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</si>
  <si>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</si>
  <si>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</si>
  <si>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</si>
  <si>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</si>
  <si>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</si>
  <si>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</si>
  <si>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</si>
  <si>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</si>
  <si>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</si>
  <si>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</si>
  <si>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</si>
  <si>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</si>
  <si>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</si>
  <si>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</si>
  <si>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</si>
  <si>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</si>
  <si>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</si>
  <si>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</si>
  <si>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</si>
  <si>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</si>
  <si>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</si>
  <si>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</si>
  <si>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</si>
  <si>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</si>
  <si>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</si>
  <si>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</si>
  <si>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</si>
  <si>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</si>
  <si>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</si>
  <si>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</si>
  <si>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</si>
  <si>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</si>
  <si>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</si>
  <si>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</si>
  <si>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</si>
  <si>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</si>
  <si>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</si>
  <si>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</si>
  <si>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</si>
  <si>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</si>
  <si>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</si>
  <si>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</si>
  <si>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</si>
  <si>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</si>
  <si>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</si>
  <si>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</si>
  <si>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</si>
  <si>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</si>
  <si>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</si>
  <si>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</si>
  <si>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</si>
  <si>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</si>
  <si>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</si>
  <si>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</si>
  <si>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</si>
  <si>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</si>
  <si>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</si>
  <si>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</si>
  <si>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</si>
  <si>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</si>
  <si>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</si>
  <si>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</si>
  <si>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</si>
  <si>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</si>
  <si>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</si>
  <si>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</si>
  <si>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</si>
  <si>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</si>
  <si>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</si>
  <si>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</si>
  <si>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</si>
  <si>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</si>
  <si>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</si>
  <si>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</si>
  <si>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</si>
  <si>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</si>
  <si>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</si>
  <si>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</si>
  <si>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</si>
  <si>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</si>
  <si>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</si>
  <si>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</si>
  <si>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</si>
  <si>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</si>
  <si>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</si>
  <si>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</si>
  <si>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</si>
  <si>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</si>
  <si>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</si>
  <si>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</si>
  <si>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</si>
  <si>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</si>
  <si>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</si>
  <si>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</si>
  <si>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</si>
  <si>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</si>
  <si>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</si>
  <si>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</si>
  <si>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</si>
  <si>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</si>
  <si>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</si>
  <si>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</si>
  <si>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</si>
  <si>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</si>
  <si>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</si>
  <si>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</si>
  <si>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</si>
  <si>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</si>
  <si>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</si>
  <si>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</si>
  <si>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</si>
  <si>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</si>
  <si>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</si>
  <si>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</si>
  <si>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</si>
  <si>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</si>
  <si>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</si>
  <si>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</si>
  <si>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</si>
  <si>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</si>
  <si>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</si>
  <si>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</si>
  <si>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</si>
  <si>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</si>
  <si>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</si>
  <si>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</si>
  <si>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</si>
  <si>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</si>
  <si>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</si>
  <si>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</si>
  <si>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</si>
  <si>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</si>
  <si>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</si>
  <si>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</si>
  <si>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</si>
  <si>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</si>
  <si>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</si>
  <si>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</si>
  <si>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</si>
  <si>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</si>
  <si>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</si>
  <si>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</si>
  <si>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</si>
  <si>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</si>
  <si>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</si>
  <si>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</si>
  <si>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</si>
  <si>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</si>
  <si>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</si>
  <si>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</si>
  <si>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</si>
  <si>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</si>
  <si>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</si>
  <si>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</si>
  <si>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</si>
  <si>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</si>
  <si>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</si>
  <si>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</si>
  <si>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</si>
  <si>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</si>
  <si>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</si>
  <si>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</si>
  <si>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</si>
  <si>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</si>
  <si>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</si>
  <si>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</si>
  <si>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</si>
  <si>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</si>
  <si>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</si>
  <si>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</si>
  <si>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</si>
  <si>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</si>
  <si>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</si>
  <si>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</si>
  <si>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</si>
  <si>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</si>
  <si>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</si>
  <si>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</si>
  <si>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</si>
  <si>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</si>
  <si>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</si>
  <si>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</si>
  <si>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</si>
  <si>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</si>
  <si>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</si>
  <si>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</si>
  <si>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</si>
  <si>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</si>
  <si>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</si>
  <si>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</si>
  <si>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</si>
  <si>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</si>
  <si>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</si>
  <si>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</si>
  <si>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</si>
  <si>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</si>
  <si>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</si>
  <si>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</si>
  <si>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</si>
  <si>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</si>
  <si>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</si>
  <si>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</si>
  <si>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</si>
  <si>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</si>
  <si>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</si>
  <si>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</si>
  <si>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</si>
  <si>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</si>
  <si>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</si>
  <si>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</si>
  <si>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</si>
  <si>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</si>
  <si>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</si>
  <si>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</si>
  <si>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</si>
  <si>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</si>
  <si>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</si>
  <si>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</si>
  <si>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</si>
  <si>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</si>
  <si>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</si>
  <si>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</si>
  <si>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</si>
  <si>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</si>
  <si>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</si>
  <si>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</si>
  <si>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</si>
  <si>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</si>
  <si>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</si>
  <si>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</si>
  <si>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</si>
  <si>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</si>
  <si>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</si>
  <si>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</si>
  <si>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</si>
  <si>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</si>
  <si>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</si>
  <si>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</si>
  <si>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</si>
  <si>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</si>
  <si>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</si>
  <si>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</si>
  <si>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</si>
  <si>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</si>
  <si>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</si>
  <si>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</si>
  <si>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</si>
  <si>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</si>
  <si>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</si>
  <si>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</si>
  <si>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</si>
  <si>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</si>
  <si>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</si>
  <si>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</si>
  <si>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</si>
  <si>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</si>
  <si>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</si>
  <si>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</si>
  <si>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</si>
  <si>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</si>
  <si>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</si>
  <si>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</si>
  <si>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</si>
  <si>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</si>
  <si>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</si>
  <si>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</si>
  <si>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</si>
  <si>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</si>
  <si>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</si>
  <si>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</si>
  <si>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</si>
  <si>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</si>
  <si>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</si>
  <si>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</si>
  <si>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</si>
  <si>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</si>
  <si>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</si>
  <si>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</si>
  <si>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</si>
  <si>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</si>
  <si>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</si>
  <si>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</si>
  <si>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</si>
  <si>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</si>
  <si>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</si>
  <si>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</si>
  <si>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</si>
  <si>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</si>
  <si>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</si>
  <si>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</si>
  <si>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</si>
  <si>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</si>
  <si>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</si>
  <si>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</si>
  <si>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</si>
  <si>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</si>
  <si>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</si>
  <si>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</si>
  <si>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</si>
  <si>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</si>
  <si>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</si>
  <si>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</si>
  <si>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</si>
  <si>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</si>
  <si>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</si>
  <si>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</si>
  <si>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</si>
  <si>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</si>
  <si>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</si>
  <si>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</si>
  <si>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</si>
  <si>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</si>
  <si>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</si>
  <si>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</si>
  <si>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</si>
  <si>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</si>
  <si>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</si>
  <si>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</si>
  <si>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</si>
  <si>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</si>
  <si>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</si>
  <si>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</si>
  <si>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</si>
  <si>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</si>
  <si>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</si>
  <si>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</si>
  <si>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</si>
  <si>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</si>
  <si>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</si>
  <si>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</si>
  <si>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</si>
  <si>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</si>
  <si>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</si>
  <si>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</si>
  <si>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</si>
  <si>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</si>
  <si>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</si>
  <si>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</si>
  <si>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</si>
  <si>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</si>
  <si>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</si>
  <si>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</si>
  <si>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</si>
  <si>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</si>
  <si>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</si>
  <si>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</si>
  <si>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</si>
  <si>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</si>
  <si>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</si>
  <si>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</si>
  <si>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</si>
  <si>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</si>
  <si>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</si>
  <si>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</si>
  <si>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</si>
  <si>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</si>
  <si>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</si>
  <si>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</si>
  <si>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</si>
  <si>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</si>
  <si>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</si>
  <si>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</si>
  <si>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</si>
  <si>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</si>
  <si>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</si>
  <si>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</si>
  <si>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</si>
  <si>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</si>
  <si>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</si>
  <si>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</si>
  <si>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</si>
  <si>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</si>
  <si>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</si>
  <si>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</si>
  <si>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</si>
  <si>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</si>
  <si>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</si>
  <si>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</si>
  <si>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</si>
  <si>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</si>
  <si>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</si>
  <si>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</si>
  <si>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</si>
  <si>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</si>
  <si>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</si>
  <si>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</si>
  <si>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</si>
  <si>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</si>
  <si>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</si>
  <si>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</si>
  <si>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</si>
  <si>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</si>
  <si>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</si>
  <si>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</si>
  <si>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</si>
  <si>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</si>
  <si>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</si>
  <si>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</si>
  <si>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</si>
  <si>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</si>
  <si>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</si>
  <si>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</si>
  <si>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</si>
  <si>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</si>
  <si>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</si>
  <si>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</si>
  <si>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</si>
  <si>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</si>
  <si>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</si>
  <si>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</si>
  <si>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</si>
  <si>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</si>
  <si>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</si>
  <si>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</si>
  <si>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</si>
  <si>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</si>
  <si>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</si>
  <si>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</si>
  <si>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</si>
  <si>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</si>
  <si>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</si>
  <si>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</si>
  <si>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</si>
  <si>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</si>
  <si>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</si>
  <si>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</si>
  <si>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</si>
  <si>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</si>
  <si>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</si>
  <si>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</si>
  <si>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</si>
  <si>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</si>
  <si>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</si>
  <si>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</si>
  <si>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</si>
  <si>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</si>
  <si>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</si>
  <si>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</si>
  <si>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</si>
  <si>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</si>
  <si>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</si>
  <si>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</si>
  <si>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</si>
  <si>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</si>
  <si>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</si>
  <si>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</si>
  <si>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</si>
  <si>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</si>
  <si>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</si>
  <si>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</si>
  <si>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</si>
  <si>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</si>
  <si>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</si>
  <si>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</si>
  <si>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</si>
  <si>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</si>
  <si>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</si>
  <si>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</si>
  <si>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</si>
  <si>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</si>
  <si>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</si>
  <si>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</si>
  <si>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</si>
  <si>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</si>
  <si>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</si>
  <si>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</si>
  <si>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</si>
  <si>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</si>
  <si>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</si>
  <si>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</si>
  <si>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</si>
  <si>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</si>
  <si>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</si>
  <si>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</si>
  <si>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</si>
  <si>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</si>
  <si>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</si>
  <si>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</si>
  <si>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</si>
  <si>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</si>
  <si>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</si>
  <si>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</si>
  <si>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</si>
  <si>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</si>
  <si>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</si>
  <si>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</si>
  <si>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</si>
  <si>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</si>
  <si>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</si>
  <si>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</si>
  <si>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</si>
  <si>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</si>
  <si>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</si>
  <si>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</si>
  <si>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</si>
  <si>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</si>
  <si>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</si>
  <si>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</si>
  <si>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</si>
  <si>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</si>
  <si>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</si>
  <si>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</si>
  <si>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</si>
  <si>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</si>
  <si>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</si>
  <si>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</si>
  <si>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</si>
  <si>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</si>
  <si>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</si>
  <si>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</si>
  <si>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</si>
  <si>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</si>
  <si>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</si>
  <si>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</si>
  <si>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</si>
  <si>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</si>
  <si>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</si>
  <si>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</si>
  <si>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</si>
  <si>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</si>
  <si>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</si>
  <si>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</si>
  <si>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</si>
  <si>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</si>
  <si>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</si>
  <si>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</si>
  <si>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</si>
  <si>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</si>
  <si>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</si>
  <si>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</si>
  <si>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</si>
  <si>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</si>
  <si>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</si>
  <si>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</si>
  <si>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</si>
  <si>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</si>
  <si>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</si>
  <si>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</si>
  <si>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</si>
  <si>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</si>
  <si>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</si>
  <si>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</si>
  <si>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</si>
  <si>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</si>
  <si>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</si>
  <si>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</si>
  <si>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</si>
  <si>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</si>
  <si>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</si>
  <si>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</si>
  <si>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</si>
  <si>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</si>
  <si>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</si>
  <si>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</si>
  <si>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</si>
  <si>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</si>
  <si>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</si>
  <si>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</si>
  <si>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</si>
  <si>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</si>
  <si>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</si>
  <si>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</si>
  <si>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</si>
  <si>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</si>
  <si>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</si>
  <si>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</si>
  <si>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</si>
  <si>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</si>
  <si>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</si>
  <si>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</si>
  <si>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</si>
  <si>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</si>
  <si>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</si>
  <si>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</si>
  <si>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</si>
  <si>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</si>
  <si>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</si>
  <si>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</si>
  <si>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</si>
  <si>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</si>
  <si>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</si>
  <si>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</si>
  <si>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</si>
  <si>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</si>
  <si>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</si>
  <si>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</si>
  <si>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</si>
  <si>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</si>
  <si>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</si>
  <si>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</si>
  <si>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</si>
  <si>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</si>
  <si>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</si>
  <si>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</si>
  <si>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</si>
  <si>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</si>
  <si>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</si>
  <si>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</si>
  <si>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</si>
  <si>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</si>
  <si>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</si>
  <si>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</si>
  <si>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</si>
  <si>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</si>
  <si>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</si>
  <si>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</si>
  <si>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</si>
  <si>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</si>
  <si>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</si>
  <si>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</si>
  <si>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</si>
  <si>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</si>
  <si>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</si>
  <si>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</si>
  <si>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</si>
  <si>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</si>
  <si>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</si>
  <si>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</si>
  <si>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</si>
  <si>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</si>
  <si>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</si>
  <si>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</si>
  <si>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</si>
  <si>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</si>
  <si>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</si>
  <si>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</si>
  <si>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</si>
  <si>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</si>
  <si>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</si>
  <si>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</si>
  <si>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</si>
  <si>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</si>
  <si>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</si>
  <si>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</si>
  <si>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</si>
  <si>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</si>
  <si>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</si>
  <si>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</si>
  <si>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</si>
  <si>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</si>
  <si>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</si>
  <si>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</si>
  <si>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</si>
  <si>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</si>
  <si>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</si>
  <si>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</si>
  <si>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</si>
  <si>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</si>
  <si>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</si>
  <si>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</si>
  <si>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</si>
  <si>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</si>
  <si>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</si>
  <si>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</si>
  <si>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</si>
  <si>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</si>
  <si>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</si>
  <si>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</si>
  <si>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</si>
  <si>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</si>
  <si>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</si>
  <si>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</si>
  <si>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</si>
  <si>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</si>
  <si>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</si>
  <si>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</si>
  <si>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</si>
  <si>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</si>
  <si>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</si>
  <si>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</si>
  <si>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</si>
  <si>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</si>
  <si>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</si>
  <si>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</si>
  <si>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</si>
  <si>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</si>
  <si>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</si>
  <si>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</si>
  <si>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</si>
  <si>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</si>
  <si>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</si>
  <si>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</si>
  <si>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</si>
  <si>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</si>
  <si>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</si>
  <si>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</si>
  <si>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</si>
  <si>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</si>
  <si>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</si>
  <si>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</si>
  <si>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</si>
  <si>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</si>
  <si>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</si>
  <si>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</si>
  <si>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</si>
  <si>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</si>
  <si>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</si>
  <si>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</si>
  <si>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</si>
  <si>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</si>
  <si>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</si>
  <si>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</si>
  <si>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</si>
  <si>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</si>
  <si>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</si>
  <si>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</si>
  <si>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</si>
  <si>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</si>
  <si>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</si>
  <si>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</si>
  <si>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</si>
  <si>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</si>
  <si>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</si>
  <si>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</si>
  <si>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</si>
  <si>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</si>
  <si>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</si>
  <si>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</si>
  <si>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</si>
  <si>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</si>
  <si>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</si>
  <si>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</si>
  <si>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</si>
  <si>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</si>
  <si>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</si>
  <si>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</si>
  <si>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</si>
  <si>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</si>
  <si>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</si>
  <si>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</si>
  <si>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</si>
  <si>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</si>
  <si>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</si>
  <si>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</si>
  <si>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</si>
  <si>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</si>
  <si>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</si>
  <si>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</si>
  <si>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</si>
  <si>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</si>
  <si>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</si>
  <si>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</si>
  <si>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</si>
  <si>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</si>
  <si>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</si>
  <si>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</si>
  <si>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</si>
  <si>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</si>
  <si>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</si>
  <si>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</si>
  <si>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</si>
  <si>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</si>
  <si>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</si>
  <si>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</si>
  <si>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</si>
  <si>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</si>
  <si>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</si>
  <si>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</si>
  <si>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</si>
  <si>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</si>
  <si>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</si>
  <si>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</si>
  <si>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</si>
  <si>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</si>
  <si>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</si>
  <si>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</si>
  <si>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</si>
  <si>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</si>
  <si>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</si>
  <si>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</si>
  <si>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</si>
  <si>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</si>
  <si>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</si>
  <si>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</si>
  <si>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</si>
  <si>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</si>
  <si>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</si>
  <si>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</si>
  <si>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</si>
  <si>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</si>
  <si>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</si>
  <si>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</si>
  <si>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</si>
  <si>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</si>
  <si>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</si>
  <si>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</si>
  <si>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</si>
  <si>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</si>
  <si>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</si>
  <si>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</si>
  <si>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</si>
  <si>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</si>
  <si>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</si>
  <si>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</si>
  <si>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</si>
  <si>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</si>
  <si>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</si>
  <si>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</si>
  <si>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</si>
  <si>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</si>
  <si>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</si>
  <si>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</si>
  <si>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</si>
  <si>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</si>
  <si>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</si>
  <si>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</si>
  <si>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</si>
  <si>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</si>
  <si>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</si>
  <si>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</si>
  <si>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</si>
  <si>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</si>
  <si>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</si>
  <si>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</si>
  <si>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</si>
  <si>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</si>
  <si>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</si>
  <si>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</si>
  <si>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</si>
  <si>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</si>
  <si>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</si>
  <si>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</si>
  <si>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</si>
  <si>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</si>
  <si>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</si>
  <si>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</si>
  <si>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</si>
  <si>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</si>
  <si>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</si>
  <si>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</si>
  <si>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</si>
  <si>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</si>
  <si>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</si>
  <si>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</si>
  <si>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</si>
  <si>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</si>
  <si>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</si>
  <si>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</si>
  <si>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</si>
  <si>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</si>
  <si>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</si>
  <si>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</si>
  <si>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</si>
  <si>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</si>
  <si>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</si>
  <si>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</si>
  <si>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</si>
  <si>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</si>
  <si>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</si>
  <si>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</si>
  <si>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</si>
  <si>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</si>
  <si>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</si>
  <si>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</si>
  <si>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</si>
  <si>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</si>
  <si>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</si>
  <si>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</si>
  <si>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</si>
  <si>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</si>
  <si>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</si>
  <si>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</si>
  <si>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</si>
  <si>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</si>
  <si>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</si>
  <si>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</si>
  <si>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</si>
  <si>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</si>
  <si>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</si>
  <si>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</si>
  <si>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</si>
  <si>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</si>
  <si>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</si>
  <si>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</si>
  <si>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</si>
  <si>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</si>
  <si>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</si>
  <si>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</si>
  <si>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</si>
  <si>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</si>
  <si>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</si>
  <si>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</si>
  <si>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</si>
  <si>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</si>
  <si>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</si>
  <si>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</si>
  <si>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</si>
  <si>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</si>
  <si>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</si>
  <si>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</si>
  <si>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</si>
  <si>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</si>
  <si>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</si>
  <si>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</si>
  <si>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</si>
  <si>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</si>
  <si>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</si>
  <si>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</si>
  <si>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</si>
  <si>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</si>
  <si>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</si>
  <si>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</si>
  <si>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</si>
  <si>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</si>
  <si>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</si>
  <si>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</si>
  <si>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</si>
  <si>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</si>
  <si>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</si>
  <si>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</si>
  <si>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</si>
  <si>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</si>
  <si>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</si>
  <si>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</si>
  <si>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</si>
  <si>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</si>
  <si>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</si>
  <si>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</si>
  <si>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</si>
  <si>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</si>
  <si>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</si>
  <si>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</si>
  <si>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</si>
  <si>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</si>
  <si>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</si>
  <si>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</si>
  <si>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</si>
  <si>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</si>
  <si>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</si>
  <si>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</si>
  <si>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</si>
  <si>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</si>
  <si>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</si>
  <si>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</si>
  <si>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</si>
  <si>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</si>
  <si>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</si>
  <si>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</si>
  <si>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</si>
  <si>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</si>
  <si>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</si>
  <si>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</si>
  <si>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</si>
  <si>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</si>
  <si>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</si>
  <si>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</si>
  <si>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</si>
  <si>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</si>
  <si>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</si>
  <si>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</si>
  <si>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</si>
  <si>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</si>
  <si>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</si>
  <si>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</si>
  <si>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</si>
  <si>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</si>
  <si>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</si>
  <si>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</si>
  <si>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</si>
  <si>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</si>
  <si>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</si>
  <si>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</si>
  <si>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</si>
  <si>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</si>
  <si>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</si>
  <si>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</si>
  <si>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</si>
  <si>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</si>
  <si>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</si>
  <si>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</si>
  <si>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</si>
  <si>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</si>
  <si>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</si>
  <si>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</si>
  <si>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</si>
  <si>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</si>
  <si>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</si>
  <si>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</si>
  <si>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</si>
  <si>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</si>
  <si>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</si>
  <si>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</si>
  <si>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</si>
  <si>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</si>
  <si>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</si>
  <si>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</si>
  <si>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</si>
  <si>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</si>
  <si>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</si>
  <si>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</si>
  <si>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</si>
  <si>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</si>
  <si>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</si>
  <si>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</si>
  <si>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</si>
  <si>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</si>
  <si>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</si>
  <si>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</si>
  <si>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</si>
  <si>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</si>
  <si>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</si>
  <si>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</si>
  <si>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</si>
  <si>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</si>
  <si>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</si>
  <si>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</si>
  <si>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</si>
  <si>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</si>
  <si>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</si>
  <si>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</si>
  <si>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</si>
  <si>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</si>
  <si>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</si>
  <si>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</si>
  <si>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</si>
  <si>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</si>
  <si>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</si>
  <si>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</si>
  <si>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</si>
  <si>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</si>
  <si>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</si>
  <si>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</si>
  <si>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</si>
  <si>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</si>
  <si>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</si>
  <si>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</si>
  <si>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</si>
  <si>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</si>
  <si>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</si>
  <si>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</si>
  <si>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</si>
  <si>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</si>
  <si>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</si>
  <si>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</si>
  <si>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</si>
  <si>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</si>
  <si>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</si>
  <si>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</si>
  <si>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</si>
  <si>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</si>
  <si>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</si>
  <si>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</si>
  <si>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</si>
  <si>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</si>
  <si>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</si>
  <si>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</si>
  <si>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</si>
  <si>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</si>
  <si>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</si>
  <si>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</si>
  <si>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</si>
  <si>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</si>
  <si>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</si>
  <si>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</si>
  <si>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</si>
  <si>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</si>
  <si>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</si>
  <si>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</si>
  <si>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</si>
  <si>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</si>
  <si>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</si>
  <si>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</si>
  <si>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</si>
  <si>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</si>
  <si>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</si>
  <si>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</si>
  <si>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</si>
  <si>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</si>
  <si>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</si>
  <si>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</si>
  <si>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</si>
  <si>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</si>
  <si>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</si>
  <si>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</si>
  <si>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</si>
  <si>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</si>
  <si>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</si>
  <si>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</si>
  <si>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</si>
  <si>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</si>
  <si>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</si>
  <si>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</si>
  <si>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</si>
  <si>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</si>
  <si>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</si>
  <si>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</si>
  <si>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</si>
  <si>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</si>
  <si>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</si>
  <si>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</si>
  <si>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</si>
  <si>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</si>
  <si>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</si>
  <si>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</si>
  <si>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</si>
  <si>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</si>
  <si>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</si>
  <si>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</si>
  <si>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</si>
  <si>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</si>
  <si>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</si>
  <si>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</si>
  <si>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</si>
  <si>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</si>
  <si>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</si>
  <si>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</si>
  <si>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</si>
  <si>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</si>
  <si>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</si>
  <si>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</si>
  <si>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</si>
  <si>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</si>
  <si>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</si>
  <si>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</si>
  <si>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</si>
  <si>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</si>
  <si>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</si>
  <si>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</si>
  <si>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</si>
  <si>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</si>
  <si>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</si>
  <si>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</si>
  <si>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</si>
  <si>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</si>
  <si>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</si>
  <si>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</si>
  <si>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</si>
  <si>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</si>
  <si>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</si>
  <si>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</si>
  <si>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</si>
  <si>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</si>
  <si>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</si>
  <si>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</si>
  <si>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</si>
  <si>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</si>
  <si>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</si>
  <si>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</si>
  <si>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</si>
  <si>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</si>
  <si>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</si>
  <si>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</si>
  <si>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</si>
  <si>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</si>
  <si>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</si>
  <si>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</si>
  <si>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</si>
  <si>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</si>
  <si>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</si>
  <si>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</si>
  <si>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</si>
  <si>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</si>
  <si>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</si>
  <si>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</si>
  <si>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</si>
  <si>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</si>
  <si>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</si>
  <si>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</si>
  <si>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</si>
  <si>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</si>
  <si>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</si>
  <si>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</si>
  <si>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</si>
  <si>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</si>
  <si>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</si>
  <si>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</si>
  <si>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</si>
  <si>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</si>
  <si>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</si>
  <si>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</si>
  <si>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</si>
  <si>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</si>
  <si>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</si>
  <si>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</si>
  <si>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</si>
  <si>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</si>
  <si>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</si>
  <si>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</si>
  <si>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</si>
  <si>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</si>
  <si>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</si>
  <si>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</si>
  <si>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</si>
  <si>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</si>
  <si>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</si>
  <si>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</si>
  <si>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</si>
  <si>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</si>
  <si>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</si>
  <si>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</si>
  <si>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</si>
  <si>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</si>
  <si>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</si>
  <si>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</si>
  <si>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</si>
  <si>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</si>
  <si>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</si>
  <si>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</si>
  <si>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</si>
  <si>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</si>
  <si>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</si>
  <si>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</si>
  <si>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</si>
  <si>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</si>
  <si>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</si>
  <si>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</si>
  <si>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</si>
  <si>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</si>
  <si>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</si>
  <si>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</si>
  <si>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</si>
  <si>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</si>
  <si>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</si>
  <si>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</si>
  <si>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</si>
  <si>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</si>
  <si>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</si>
  <si>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</si>
  <si>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</si>
  <si>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</si>
  <si>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</si>
  <si>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</si>
  <si>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</si>
  <si>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</si>
  <si>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</si>
  <si>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</si>
  <si>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</si>
  <si>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</si>
  <si>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</si>
  <si>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</si>
  <si>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</si>
  <si>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</si>
  <si>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</si>
  <si>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</si>
  <si>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</si>
  <si>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</si>
  <si>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</si>
  <si>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</si>
  <si>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</si>
  <si>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</si>
  <si>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</si>
  <si>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</si>
  <si>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</si>
  <si>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</si>
  <si>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</si>
  <si>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</si>
  <si>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</si>
  <si>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</si>
  <si>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</si>
  <si>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</si>
  <si>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</si>
  <si>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</si>
  <si>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</si>
  <si>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</si>
  <si>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</si>
  <si>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</si>
  <si>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</si>
  <si>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</si>
  <si>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</si>
  <si>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</si>
  <si>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</si>
  <si>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</si>
  <si>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</si>
  <si>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</si>
  <si>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</si>
  <si>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</si>
  <si>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</si>
  <si>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</si>
  <si>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</si>
  <si>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</si>
  <si>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</si>
  <si>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</si>
  <si>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</si>
  <si>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</si>
  <si>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</si>
  <si>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</si>
  <si>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</si>
  <si>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</si>
  <si>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</si>
  <si>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</si>
  <si>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</si>
  <si>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</si>
  <si>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</si>
  <si>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</si>
  <si>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</si>
  <si>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</si>
  <si>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</si>
  <si>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</si>
  <si>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</si>
  <si>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</si>
  <si>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</si>
  <si>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</si>
  <si>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</si>
  <si>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</si>
  <si>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</si>
  <si>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</si>
  <si>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</si>
  <si>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</si>
  <si>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</si>
  <si>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</si>
  <si>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</si>
  <si>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</si>
  <si>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</si>
  <si>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</si>
  <si>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</si>
  <si>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</si>
  <si>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</si>
  <si>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</si>
  <si>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</si>
  <si>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</si>
  <si>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</si>
  <si>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</si>
  <si>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</si>
  <si>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</si>
  <si>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</si>
  <si>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</si>
  <si>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</si>
  <si>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</si>
  <si>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</si>
  <si>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</si>
  <si>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</si>
  <si>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</si>
  <si>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</si>
  <si>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</si>
  <si>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</si>
  <si>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</si>
  <si>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</si>
  <si>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</si>
  <si>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</si>
  <si>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</si>
  <si>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</si>
  <si>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</si>
  <si>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</si>
  <si>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</si>
  <si>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</si>
  <si>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</si>
  <si>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</si>
  <si>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</si>
  <si>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</si>
  <si>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</si>
  <si>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</si>
  <si>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</si>
  <si>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</si>
  <si>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</si>
  <si>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</si>
  <si>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</si>
  <si>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</si>
  <si>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</si>
  <si>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</si>
  <si>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</si>
  <si>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</si>
  <si>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</si>
  <si>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</si>
  <si>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</si>
  <si>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</si>
  <si>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</si>
  <si>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</si>
  <si>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</si>
  <si>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</si>
  <si>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</si>
  <si>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</si>
  <si>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</si>
  <si>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</si>
  <si>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</si>
  <si>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</si>
  <si>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</si>
  <si>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</si>
  <si>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</si>
  <si>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</si>
  <si>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</si>
  <si>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</si>
  <si>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</si>
  <si>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</si>
  <si>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</si>
  <si>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</si>
  <si>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</si>
  <si>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</si>
  <si>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</si>
  <si>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</si>
  <si>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</si>
  <si>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</si>
  <si>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</si>
  <si>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</si>
  <si>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</si>
  <si>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</si>
  <si>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</si>
  <si>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</si>
  <si>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</si>
  <si>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</si>
  <si>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</si>
  <si>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</si>
  <si>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</si>
  <si>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 xml:space="preserve">KDB </t>
  </si>
  <si>
    <t>JAH</t>
  </si>
  <si>
    <t>CR7</t>
  </si>
  <si>
    <t>IRAN</t>
  </si>
  <si>
    <t xml:space="preserve">Argentina (Messi) </t>
  </si>
  <si>
    <t xml:space="preserve">Senegali väravaht </t>
  </si>
  <si>
    <t>Braziilia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</si>
</sst>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left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topLeftCell="A16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179687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81640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opLeftCell="B2" zoomScaleNormal="100" workbookViewId="0">
      <selection activeCell="BU40" sqref="BU40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81640625" style="3" bestFit="1" customWidth="1"/>
    <col min="4" max="4" width="7.1796875" style="4" customWidth="1"/>
    <col min="5" max="5" width="22.54296875" style="5" customWidth="1"/>
    <col min="6" max="7" width="4.179687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81640625" style="9" customWidth="1"/>
    <col min="16" max="16" width="6.81640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179687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1796875" style="48" hidden="1" customWidth="1"/>
    <col min="42" max="46" width="4.81640625" style="47" hidden="1" customWidth="1"/>
    <col min="47" max="49" width="9.1796875" style="48" hidden="1" customWidth="1"/>
    <col min="50" max="50" width="9.1796875" style="49" hidden="1" customWidth="1"/>
    <col min="51" max="51" width="3.1796875" style="2" customWidth="1"/>
    <col min="52" max="52" width="19.81640625" style="2" customWidth="1"/>
    <col min="53" max="55" width="3" style="2" customWidth="1"/>
    <col min="56" max="57" width="2" style="2" customWidth="1"/>
    <col min="58" max="58" width="3.1796875" style="2" customWidth="1"/>
    <col min="59" max="59" width="19.81640625" style="2" customWidth="1"/>
    <col min="60" max="62" width="3" style="2" customWidth="1"/>
    <col min="63" max="64" width="2" style="2" customWidth="1"/>
    <col min="65" max="65" width="3.1796875" style="2" customWidth="1"/>
    <col min="66" max="66" width="19.81640625" style="2" customWidth="1"/>
    <col min="67" max="69" width="3" style="2" customWidth="1"/>
    <col min="70" max="71" width="2" style="2" customWidth="1"/>
    <col min="72" max="72" width="3.1796875" style="2" customWidth="1"/>
    <col min="73" max="73" width="19.81640625" style="2" customWidth="1"/>
    <col min="74" max="76" width="3" style="2" customWidth="1"/>
    <col min="77" max="16384" width="9.1796875" style="2"/>
  </cols>
  <sheetData>
    <row r="1" spans="1:76" ht="46" x14ac:dyDescent="0.35">
      <c r="A1" s="132" t="str">
        <f>INDEX(T,2,lang)</f>
        <v>2022 World Cup Final Tournament Schedule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3" t="str">
        <f>"Language: " &amp; Settings!C4</f>
        <v>Language: English</v>
      </c>
      <c r="P3" s="133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34" t="str">
        <f>INDEX(T,3,lang)</f>
        <v>Group Stage</v>
      </c>
      <c r="B5" s="135"/>
      <c r="C5" s="135"/>
      <c r="D5" s="135"/>
      <c r="E5" s="135"/>
      <c r="F5" s="135"/>
      <c r="G5" s="135"/>
      <c r="H5" s="136"/>
      <c r="J5" s="140" t="s">
        <v>2006</v>
      </c>
      <c r="K5" s="141"/>
      <c r="L5" s="141"/>
      <c r="M5" s="141"/>
      <c r="N5" s="141"/>
      <c r="O5" s="141"/>
      <c r="P5" s="142"/>
    </row>
    <row r="6" spans="1:76" ht="15" customHeight="1" x14ac:dyDescent="0.35">
      <c r="A6" s="137"/>
      <c r="B6" s="138"/>
      <c r="C6" s="138"/>
      <c r="D6" s="138"/>
      <c r="E6" s="138"/>
      <c r="F6" s="138"/>
      <c r="G6" s="138"/>
      <c r="H6" s="139"/>
      <c r="J6" s="143"/>
      <c r="K6" s="144"/>
      <c r="L6" s="144"/>
      <c r="M6" s="144"/>
      <c r="N6" s="144"/>
      <c r="O6" s="144"/>
      <c r="P6" s="145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6" t="str">
        <f>INDEX(T,4,lang)</f>
        <v>Round of 16</v>
      </c>
      <c r="AZ6" s="127"/>
      <c r="BA6" s="127"/>
      <c r="BB6" s="127"/>
      <c r="BC6" s="128"/>
      <c r="BF6" s="126" t="str">
        <f>INDEX(T,5,lang)</f>
        <v>Quarterfinals</v>
      </c>
      <c r="BG6" s="127"/>
      <c r="BH6" s="127"/>
      <c r="BI6" s="127"/>
      <c r="BJ6" s="128"/>
      <c r="BM6" s="126" t="str">
        <f>INDEX(T,6,lang)</f>
        <v>Semi-Finals</v>
      </c>
      <c r="BN6" s="127"/>
      <c r="BO6" s="127"/>
      <c r="BP6" s="127"/>
      <c r="BQ6" s="128"/>
      <c r="BT6" s="126" t="str">
        <f>INDEX(T,8,lang)</f>
        <v>Final</v>
      </c>
      <c r="BU6" s="127"/>
      <c r="BV6" s="127"/>
      <c r="BW6" s="127"/>
      <c r="BX6" s="128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9"/>
      <c r="AZ7" s="130"/>
      <c r="BA7" s="130"/>
      <c r="BB7" s="130"/>
      <c r="BC7" s="131"/>
      <c r="BF7" s="129"/>
      <c r="BG7" s="130"/>
      <c r="BH7" s="130"/>
      <c r="BI7" s="130"/>
      <c r="BJ7" s="131"/>
      <c r="BM7" s="129"/>
      <c r="BN7" s="130"/>
      <c r="BO7" s="130"/>
      <c r="BP7" s="130"/>
      <c r="BQ7" s="131"/>
      <c r="BT7" s="129"/>
      <c r="BU7" s="130"/>
      <c r="BV7" s="130"/>
      <c r="BW7" s="130"/>
      <c r="BX7" s="131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2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Senegal_draw</v>
      </c>
      <c r="T8" s="88" t="str">
        <f t="shared" si="4"/>
        <v>Netherlands_draw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0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1</v>
      </c>
      <c r="AE8" s="47">
        <f>COUNTIF($S$7:$T$54,"=" &amp; AB8 &amp; "_lose")</f>
        <v>0</v>
      </c>
      <c r="AF8" s="47">
        <f>SUMIF($E$7:$E$54,$AB8,$F$7:$F$54) + SUMIF($H$7:$H$54,$AB8,$G$7:$G$54)</f>
        <v>7</v>
      </c>
      <c r="AG8" s="47">
        <f>SUMIF($E$7:$E$54,$AB8,$G$7:$G$54) + SUMIF($H$7:$H$54,$AB8,$F$7:$F$54)</f>
        <v>4</v>
      </c>
      <c r="AH8" s="47">
        <f>(AF8-AG8)*100+AK8*10000+AF8</f>
        <v>70307</v>
      </c>
      <c r="AI8" s="47">
        <f>AF8-AG8</f>
        <v>3</v>
      </c>
      <c r="AJ8" s="47">
        <f>(AI8-AI13)/AI12</f>
        <v>0.76923076923076927</v>
      </c>
      <c r="AK8" s="47">
        <f>AC8*3+AD8</f>
        <v>7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960.6738690030769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2</v>
      </c>
      <c r="M9" s="51">
        <f>VLOOKUP(1,AA8:AK11,4,FALSE)</f>
        <v>1</v>
      </c>
      <c r="N9" s="51">
        <f>VLOOKUP(1,AA8:AK11,5,FALSE)</f>
        <v>0</v>
      </c>
      <c r="O9" s="51" t="str">
        <f>VLOOKUP(1,AA8:AK11,6,FALSE) &amp; " - " &amp; VLOOKUP(1,AA8:AK11,7,FALSE)</f>
        <v>9 - 4</v>
      </c>
      <c r="P9" s="52">
        <f>L9*3+M9</f>
        <v>7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2</v>
      </c>
      <c r="AG9" s="47">
        <f>SUMIF($E$7:$E$54,$AB9,$G$7:$G$54) + SUMIF($H$7:$H$54,$AB9,$F$7:$F$54)</f>
        <v>9</v>
      </c>
      <c r="AH9" s="47">
        <f>(AF9-AG9)*100+AK9*10000+AF9</f>
        <v>-698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2.5007204999999999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1</v>
      </c>
      <c r="N10" s="25">
        <f>VLOOKUP(2,AA8:AK11,5,FALSE)</f>
        <v>0</v>
      </c>
      <c r="O10" s="25" t="str">
        <f>VLOOKUP(2,AA8:AK11,6,FALSE) &amp; " - " &amp; VLOOKUP(2,AA8:AK11,7,FALSE)</f>
        <v>7 - 4</v>
      </c>
      <c r="P10" s="54">
        <f>L10*3+M10</f>
        <v>7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5</v>
      </c>
      <c r="AH10" s="47">
        <f>(AF10-AG10)*100+AK10*10000+AF10</f>
        <v>29904</v>
      </c>
      <c r="AI10" s="47">
        <f>AF10-AG10</f>
        <v>-1</v>
      </c>
      <c r="AJ10" s="47">
        <f>(AI10-AI13)/AI12</f>
        <v>0.46153846153846156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426.15457265384612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4">
        <v>49</v>
      </c>
      <c r="AZ10" s="26" t="str">
        <f>AO8</f>
        <v>Netherlands</v>
      </c>
      <c r="BA10" s="84">
        <v>1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1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4 - 5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2</v>
      </c>
      <c r="AD11" s="47">
        <f>COUNTIF($S$7:$T$54,"=" &amp; AB11 &amp; "_draw")</f>
        <v>1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4</v>
      </c>
      <c r="AH11" s="47">
        <f>(AF11-AG11)*100+AK11*10000+AF11</f>
        <v>70509</v>
      </c>
      <c r="AI11" s="47">
        <f>AF11-AG11</f>
        <v>5</v>
      </c>
      <c r="AJ11" s="47">
        <f>(AI11-AI13)/AI12</f>
        <v>0.92307692307692313</v>
      </c>
      <c r="AK11" s="47">
        <f>AC11*3+AD11</f>
        <v>7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978.55852163769225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5"/>
      <c r="AZ11" s="28" t="str">
        <f>AO15</f>
        <v>England</v>
      </c>
      <c r="BA11" s="85">
        <v>2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2 - 9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3</v>
      </c>
      <c r="AD12" s="47">
        <f t="shared" si="10"/>
        <v>2</v>
      </c>
      <c r="AE12" s="47">
        <f t="shared" si="10"/>
        <v>4</v>
      </c>
      <c r="AF12" s="47">
        <f t="shared" si="10"/>
        <v>8</v>
      </c>
      <c r="AG12" s="47">
        <f t="shared" si="10"/>
        <v>6</v>
      </c>
      <c r="AH12" s="47">
        <f>MAX(AH8:AH11)-AH13+1</f>
        <v>71208</v>
      </c>
      <c r="AI12" s="47">
        <f>MAX(AI8:AI11)-AI13+1</f>
        <v>13</v>
      </c>
      <c r="AK12" s="47">
        <f t="shared" si="10"/>
        <v>8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4">
        <v>57</v>
      </c>
      <c r="BG12" s="26" t="str">
        <f>T58</f>
        <v>England</v>
      </c>
      <c r="BH12" s="84">
        <v>3</v>
      </c>
      <c r="BI12" s="86">
        <v>4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-698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5"/>
      <c r="BG13" s="28" t="str">
        <f>T59</f>
        <v>Argentina</v>
      </c>
      <c r="BH13" s="85">
        <v>3</v>
      </c>
      <c r="BI13" s="87">
        <v>3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1</v>
      </c>
      <c r="AE14" s="47">
        <f>COUNTIF($S$7:$T$54,"=" &amp; AB14 &amp; "_lose")</f>
        <v>0</v>
      </c>
      <c r="AF14" s="47">
        <f>SUMIF($E$7:$E$54,$AB14,$F$7:$F$54) + SUMIF($H$7:$H$54,$AB14,$G$7:$G$54)</f>
        <v>5</v>
      </c>
      <c r="AG14" s="47">
        <f>SUMIF($E$7:$E$54,$AB14,$G$7:$G$54) + SUMIF($H$7:$H$54,$AB14,$F$7:$F$54)</f>
        <v>3</v>
      </c>
      <c r="AH14" s="47">
        <f>(AF14-AG14)*100+AK14*10000+AF14</f>
        <v>70205</v>
      </c>
      <c r="AI14" s="47">
        <f>AF14-AG14</f>
        <v>2</v>
      </c>
      <c r="AJ14" s="47">
        <f>(AI14-AI19)/AI18</f>
        <v>0.75</v>
      </c>
      <c r="AK14" s="47">
        <f>AC14*3+AD14</f>
        <v>7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957.14373814285716</v>
      </c>
      <c r="AO14" s="48" t="str">
        <f>IF(SUM(AC14:AE17)=12,J15,INDEX(T,72,lang))</f>
        <v>Wales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4">
        <v>50</v>
      </c>
      <c r="AZ14" s="26" t="str">
        <f>AO20</f>
        <v>Argentina</v>
      </c>
      <c r="BA14" s="84">
        <v>0</v>
      </c>
      <c r="BB14" s="86">
        <v>1</v>
      </c>
      <c r="BC14" s="27">
        <v>4</v>
      </c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Wales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6 - 3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4</v>
      </c>
      <c r="AH15" s="47">
        <f>(AF15-AG15)*100+AK15*10000+AF15</f>
        <v>-400</v>
      </c>
      <c r="AI15" s="47">
        <f>AF15-AG15</f>
        <v>-4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5"/>
      <c r="AZ15" s="28" t="str">
        <f>AO27</f>
        <v>Denmark</v>
      </c>
      <c r="BA15" s="85">
        <v>0</v>
      </c>
      <c r="BB15" s="87">
        <v>1</v>
      </c>
      <c r="BC15" s="30">
        <v>3</v>
      </c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2</v>
      </c>
      <c r="M16" s="25">
        <f>VLOOKUP(2,AA14:AK17,4,FALSE)</f>
        <v>1</v>
      </c>
      <c r="N16" s="25">
        <f>VLOOKUP(2,AA14:AK17,5,FALSE)</f>
        <v>0</v>
      </c>
      <c r="O16" s="25" t="str">
        <f>VLOOKUP(2,AA14:AK17,6,FALSE) &amp; " - " &amp; VLOOKUP(2,AA14:AK17,7,FALSE)</f>
        <v>5 - 3</v>
      </c>
      <c r="P16" s="54">
        <f>L16*3+M16</f>
        <v>7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3</v>
      </c>
      <c r="AG16" s="47">
        <f>SUMIF($E$7:$E$54,$AB16,$G$7:$G$54) + SUMIF($H$7:$H$54,$AB16,$F$7:$F$54)</f>
        <v>4</v>
      </c>
      <c r="AH16" s="47">
        <f>(AF16-AG16)*100+AK16*10000+AF16</f>
        <v>29903</v>
      </c>
      <c r="AI16" s="47">
        <f>AF16-AG16</f>
        <v>-1</v>
      </c>
      <c r="AJ16" s="47">
        <f>(AI16-AI19)/AI18</f>
        <v>0.375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416.78653114571426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4">
        <v>61</v>
      </c>
      <c r="BN16" s="26" t="str">
        <f>T69</f>
        <v>England</v>
      </c>
      <c r="BO16" s="84">
        <v>1</v>
      </c>
      <c r="BP16" s="86">
        <v>1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3 - 4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1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1</v>
      </c>
      <c r="AE17" s="47">
        <f>COUNTIF($S$7:$T$54,"=" &amp; AB17 &amp; "_lose")</f>
        <v>0</v>
      </c>
      <c r="AF17" s="47">
        <f>SUMIF($E$7:$E$54,$AB17,$F$7:$F$54) + SUMIF($H$7:$H$54,$AB17,$G$7:$G$54)</f>
        <v>6</v>
      </c>
      <c r="AG17" s="47">
        <f>SUMIF($E$7:$E$54,$AB17,$G$7:$G$54) + SUMIF($H$7:$H$54,$AB17,$F$7:$F$54)</f>
        <v>3</v>
      </c>
      <c r="AH17" s="47">
        <f>(AF17-AG17)*100+AK17*10000+AF17</f>
        <v>70306</v>
      </c>
      <c r="AI17" s="47">
        <f>AF17-AG17</f>
        <v>3</v>
      </c>
      <c r="AJ17" s="47">
        <f>(AI17-AI19)/AI18</f>
        <v>0.875</v>
      </c>
      <c r="AK17" s="47">
        <f>AC17*3+AD17</f>
        <v>7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971.0722196364286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5"/>
      <c r="BN17" s="28" t="str">
        <f>T70</f>
        <v>Brazil</v>
      </c>
      <c r="BO17" s="85">
        <v>1</v>
      </c>
      <c r="BP17" s="87">
        <v>3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0 - 4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2</v>
      </c>
      <c r="AH18" s="47">
        <f>MAX(AH14:AH17)-AH19+1</f>
        <v>70707</v>
      </c>
      <c r="AI18" s="47">
        <f>MAX(AI14:AI17)-AI19+1</f>
        <v>8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4">
        <v>53</v>
      </c>
      <c r="AZ18" s="26" t="str">
        <f>AO32</f>
        <v>Germany</v>
      </c>
      <c r="BA18" s="84">
        <v>1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3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-400</v>
      </c>
      <c r="AI19" s="47">
        <f>MIN(AI14:AI17)</f>
        <v>-4</v>
      </c>
      <c r="AY19" s="115"/>
      <c r="AZ19" s="28" t="str">
        <f>AO39</f>
        <v>Croatia</v>
      </c>
      <c r="BA19" s="85">
        <v>2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2</v>
      </c>
      <c r="AD20" s="47">
        <f>COUNTIF($S$7:$T$54,"=" &amp; AB20 &amp; "_draw")</f>
        <v>1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4</v>
      </c>
      <c r="AH20" s="47">
        <f>(AF20-AG20)*100+AK20*10000+AF20</f>
        <v>70408</v>
      </c>
      <c r="AI20" s="47">
        <f>AF20-AG20</f>
        <v>4</v>
      </c>
      <c r="AJ20" s="47">
        <f>(AI20-AI25)/AI24</f>
        <v>0.90909090909090906</v>
      </c>
      <c r="AK20" s="47">
        <f>AC20*3+AD20</f>
        <v>7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975.90997340909087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4">
        <v>58</v>
      </c>
      <c r="BG20" s="26" t="str">
        <f>T62</f>
        <v>Croatia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8 - 4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7</v>
      </c>
      <c r="AH21" s="47">
        <f>(AF21-AG21)*100+AK21*10000+AF21</f>
        <v>-599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1.2507225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5"/>
      <c r="BG21" s="28" t="str">
        <f>T63</f>
        <v>Brazil</v>
      </c>
      <c r="BH21" s="85">
        <v>4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2</v>
      </c>
      <c r="N22" s="25">
        <f>VLOOKUP(2,AA20:AK23,5,FALSE)</f>
        <v>0</v>
      </c>
      <c r="O22" s="25" t="str">
        <f>VLOOKUP(2,AA20:AK23,6,FALSE) &amp; " - " &amp; VLOOKUP(2,AA20:AK23,7,FALSE)</f>
        <v>6 - 4</v>
      </c>
      <c r="P22" s="54">
        <f>L22*3+M22</f>
        <v>5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2</v>
      </c>
      <c r="AG22" s="47">
        <f>SUMIF($E$7:$E$54,$AB22,$G$7:$G$54) + SUMIF($H$7:$H$54,$AB22,$F$7:$F$54)</f>
        <v>2</v>
      </c>
      <c r="AH22" s="47">
        <f>(AF22-AG22)*100+AK22*10000+AF22</f>
        <v>40002</v>
      </c>
      <c r="AI22" s="47">
        <f>AF22-AG22</f>
        <v>0</v>
      </c>
      <c r="AJ22" s="47">
        <f>(AI22-AI25)/AI24</f>
        <v>0.54545454545454541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557.04628395545456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2 - 2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2</v>
      </c>
      <c r="AE23" s="47">
        <f>COUNTIF($S$7:$T$54,"=" &amp; AB23 &amp; "_lose")</f>
        <v>0</v>
      </c>
      <c r="AF23" s="47">
        <f>SUMIF($E$7:$E$54,$AB23,$F$7:$F$54) + SUMIF($H$7:$H$54,$AB23,$G$7:$G$54)</f>
        <v>6</v>
      </c>
      <c r="AG23" s="47">
        <f>SUMIF($E$7:$E$54,$AB23,$G$7:$G$54) + SUMIF($H$7:$H$54,$AB23,$F$7:$F$54)</f>
        <v>4</v>
      </c>
      <c r="AH23" s="47">
        <f>(AF23-AG23)*100+AK23*10000+AF23</f>
        <v>50206</v>
      </c>
      <c r="AI23" s="47">
        <f>AF23-AG23</f>
        <v>2</v>
      </c>
      <c r="AJ23" s="47">
        <f>(AI23-AI25)/AI24</f>
        <v>0.72727272727272729</v>
      </c>
      <c r="AK23" s="47">
        <f>AC23*3+AD23</f>
        <v>5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705.22804472727273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4">
        <v>64</v>
      </c>
      <c r="BU23" s="26" t="str">
        <f>T76</f>
        <v>Brazil</v>
      </c>
      <c r="BV23" s="84">
        <v>3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3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3</v>
      </c>
      <c r="AD24" s="47">
        <f t="shared" si="12"/>
        <v>3</v>
      </c>
      <c r="AE24" s="47">
        <f t="shared" si="12"/>
        <v>4</v>
      </c>
      <c r="AF24" s="47">
        <f t="shared" si="12"/>
        <v>8</v>
      </c>
      <c r="AG24" s="47">
        <f t="shared" si="12"/>
        <v>6</v>
      </c>
      <c r="AH24" s="47">
        <f>MAX(AH20:AH23)-AH25+1</f>
        <v>71008</v>
      </c>
      <c r="AI24" s="47">
        <f>MAX(AI20:AI23)-AI25+1</f>
        <v>11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5"/>
      <c r="BU24" s="28" t="str">
        <f>T77</f>
        <v>Portugal</v>
      </c>
      <c r="BV24" s="85">
        <v>2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-599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1</v>
      </c>
      <c r="AH26" s="47">
        <f>(AF26-AG26)*100+AK26*10000+AF26</f>
        <v>90708</v>
      </c>
      <c r="AI26" s="47">
        <f>AF26-AG26</f>
        <v>7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1103.7371587362636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4">
        <v>51</v>
      </c>
      <c r="AZ26" s="26" t="str">
        <f>AO14</f>
        <v>Wales</v>
      </c>
      <c r="BA26" s="84">
        <v>2</v>
      </c>
      <c r="BB26" s="86">
        <v>2</v>
      </c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7</v>
      </c>
      <c r="AH27" s="47">
        <f>(AF27-AG27)*100+AK27*10000+AF27</f>
        <v>9502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113.96899583325397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5"/>
      <c r="AZ27" s="28" t="str">
        <f>AO9</f>
        <v>Senegal</v>
      </c>
      <c r="BA27" s="85">
        <v>2</v>
      </c>
      <c r="BB27" s="87">
        <v>3</v>
      </c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4</v>
      </c>
      <c r="AH28" s="47">
        <f>(AF28-AG28)*100+AK28*10000+AF28</f>
        <v>60206</v>
      </c>
      <c r="AI28" s="47">
        <f>AF28-AG28</f>
        <v>2</v>
      </c>
      <c r="AJ28" s="47">
        <f>(AI28-AI31)/AI30</f>
        <v>0.53846153846153844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729.08507588424902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4">
        <v>59</v>
      </c>
      <c r="BG28" s="26" t="str">
        <f>T60</f>
        <v>Senegal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2 - 6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6</v>
      </c>
      <c r="AH29" s="47">
        <f>(AF29-AG29)*100+AK29*10000+AF29</f>
        <v>9602</v>
      </c>
      <c r="AI29" s="47">
        <f>AF29-AG29</f>
        <v>-4</v>
      </c>
      <c r="AJ29" s="47">
        <f>(AI29-AI31)/AI30</f>
        <v>7.6923076923076927E-2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121.66131156056167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2 - 7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7</v>
      </c>
      <c r="AG30" s="47">
        <f t="shared" si="13"/>
        <v>7</v>
      </c>
      <c r="AH30" s="47">
        <f>MAX(AH26:AH29)-AH31+1</f>
        <v>81207</v>
      </c>
      <c r="AI30" s="47">
        <f>MAX(AI26:AI29)-AI31+1</f>
        <v>13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9502</v>
      </c>
      <c r="AI31" s="47">
        <f>MIN(AI26:AI29)</f>
        <v>-5</v>
      </c>
      <c r="AY31" s="11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0" t="str">
        <f>INDEX(T,7,lang)</f>
        <v>Third-Place Play-Off</v>
      </c>
      <c r="BU31" s="121"/>
      <c r="BV31" s="121"/>
      <c r="BW31" s="121"/>
      <c r="BX31" s="122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1</v>
      </c>
      <c r="AD32" s="47">
        <f>COUNTIF($S$7:$T$54,"=" &amp; AB32 &amp; "_draw")</f>
        <v>1</v>
      </c>
      <c r="AE32" s="47">
        <f>COUNTIF($S$7:$T$54,"=" &amp; AB32 &amp; "_lose")</f>
        <v>1</v>
      </c>
      <c r="AF32" s="47">
        <f>SUMIF($E$7:$E$54,$AB32,$F$7:$F$54) + SUMIF($H$7:$H$54,$AB32,$G$7:$G$54)</f>
        <v>4</v>
      </c>
      <c r="AG32" s="47">
        <f>SUMIF($E$7:$E$54,$AB32,$G$7:$G$54) + SUMIF($H$7:$H$54,$AB32,$F$7:$F$54)</f>
        <v>3</v>
      </c>
      <c r="AH32" s="47">
        <f>(AF32-AG32)*100+AK32*10000+AF32</f>
        <v>40104</v>
      </c>
      <c r="AI32" s="47">
        <f>AF32-AG32</f>
        <v>1</v>
      </c>
      <c r="AJ32" s="47">
        <f>(AI32-AI37)/AI36</f>
        <v>0.625</v>
      </c>
      <c r="AK32" s="47">
        <f>AC32*3+AD32</f>
        <v>4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640.59609259523802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3"/>
      <c r="BU32" s="124"/>
      <c r="BV32" s="124"/>
      <c r="BW32" s="124"/>
      <c r="BX32" s="125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5 - 2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4</v>
      </c>
      <c r="AH33" s="47">
        <f>(AF33-AG33)*100+AK33*10000+AF33</f>
        <v>9600</v>
      </c>
      <c r="AI33" s="47">
        <f>AF33-AG33</f>
        <v>-4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142.85789288714287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1</v>
      </c>
      <c r="M34" s="25">
        <f>VLOOKUP(2,AA32:AK35,4,FALSE)</f>
        <v>1</v>
      </c>
      <c r="N34" s="25">
        <f>VLOOKUP(2,AA32:AK35,5,FALSE)</f>
        <v>1</v>
      </c>
      <c r="O34" s="25" t="str">
        <f>VLOOKUP(2,AA32:AK35,6,FALSE) &amp; " - " &amp; VLOOKUP(2,AA32:AK35,7,FALSE)</f>
        <v>4 - 3</v>
      </c>
      <c r="P34" s="54">
        <f>L34*3+M34</f>
        <v>4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2</v>
      </c>
      <c r="AH34" s="47">
        <f>(AF34-AG34)*100+AK34*10000+AF34</f>
        <v>70305</v>
      </c>
      <c r="AI34" s="47">
        <f>AF34-AG34</f>
        <v>3</v>
      </c>
      <c r="AJ34" s="47">
        <f>(AI34-AI37)/AI36</f>
        <v>0.875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1095.8341585983333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4">
        <v>55</v>
      </c>
      <c r="AZ34" s="26" t="str">
        <f>AO38</f>
        <v>Belgium</v>
      </c>
      <c r="BA34" s="84">
        <v>3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0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1 - 1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1</v>
      </c>
      <c r="AH35" s="47">
        <f>(AF35-AG35)*100+AK35*10000+AF35</f>
        <v>40001</v>
      </c>
      <c r="AI35" s="47">
        <f>AF35-AG35</f>
        <v>0</v>
      </c>
      <c r="AJ35" s="47">
        <f>(AI35-AI37)/AI36</f>
        <v>0.5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623.09601481523805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5"/>
      <c r="AZ35" s="28" t="str">
        <f>AO33</f>
        <v>Spain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4">
        <v>63</v>
      </c>
      <c r="BU35" s="26" t="str">
        <f>Z76</f>
        <v>England</v>
      </c>
      <c r="BV35" s="84">
        <v>3</v>
      </c>
      <c r="BW35" s="86">
        <v>3</v>
      </c>
      <c r="BX35" s="27">
        <v>4</v>
      </c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0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0 - 4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6</v>
      </c>
      <c r="AG36" s="47">
        <f t="shared" si="14"/>
        <v>4</v>
      </c>
      <c r="AH36" s="47">
        <f>MAX(AH32:AH35)-AH37+1</f>
        <v>60706</v>
      </c>
      <c r="AI36" s="47">
        <f>MAX(AI32:AI35)-AI37+1</f>
        <v>8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4">
        <v>60</v>
      </c>
      <c r="BG36" s="26" t="str">
        <f>T64</f>
        <v>Belgium</v>
      </c>
      <c r="BH36" s="84">
        <v>1</v>
      </c>
      <c r="BI36" s="86">
        <v>1</v>
      </c>
      <c r="BJ36" s="27">
        <v>4</v>
      </c>
      <c r="BK36" s="35"/>
      <c r="BL36" s="23"/>
      <c r="BM36" s="23"/>
      <c r="BN36" s="23"/>
      <c r="BO36" s="23"/>
      <c r="BP36" s="23"/>
      <c r="BQ36" s="23"/>
      <c r="BR36" s="23"/>
      <c r="BS36" s="23"/>
      <c r="BT36" s="115"/>
      <c r="BU36" s="28" t="str">
        <f>Z77</f>
        <v>France</v>
      </c>
      <c r="BV36" s="85">
        <v>3</v>
      </c>
      <c r="BW36" s="87">
        <v>3</v>
      </c>
      <c r="BX36" s="30">
        <v>2</v>
      </c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9600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5"/>
      <c r="BG37" s="28" t="str">
        <f>T65</f>
        <v>Portugal</v>
      </c>
      <c r="BH37" s="85">
        <v>1</v>
      </c>
      <c r="BI37" s="87">
        <v>1</v>
      </c>
      <c r="BJ37" s="30">
        <v>5</v>
      </c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2</v>
      </c>
      <c r="AH38" s="47">
        <f>(AF38-AG38)*100+AK38*10000+AF38</f>
        <v>70507</v>
      </c>
      <c r="AI38" s="47">
        <f>AF38-AG38</f>
        <v>5</v>
      </c>
      <c r="AJ38" s="47">
        <f>(AI38-AI43)/AI42</f>
        <v>0.9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1100.0009135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6</v>
      </c>
      <c r="AH39" s="47">
        <f>(AF39-AG39)*100+AK39*10000+AF39</f>
        <v>9602</v>
      </c>
      <c r="AI39" s="47">
        <f>AF39-AG39</f>
        <v>-4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145.71502521428573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5"/>
      <c r="AZ39" s="28" t="str">
        <f>AO45</f>
        <v>Switzerland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1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6 - 3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5</v>
      </c>
      <c r="AH40" s="47">
        <f>(AF40-AG40)*100+AK40*10000+AF40</f>
        <v>9601</v>
      </c>
      <c r="AI40" s="47">
        <f>AF40-AG40</f>
        <v>-4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144.28649022571429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2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2 - 6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3</v>
      </c>
      <c r="AH41" s="47">
        <f>(AF41-AG41)*100+AK41*10000+AF41</f>
        <v>70306</v>
      </c>
      <c r="AI41" s="47">
        <f>AF41-AG41</f>
        <v>3</v>
      </c>
      <c r="AJ41" s="47">
        <f>(AI41-AI43)/AI42</f>
        <v>0.7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1078.5722391264287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5" t="s">
        <v>2515</v>
      </c>
      <c r="AZ41" s="106"/>
      <c r="BA41" s="106"/>
      <c r="BB41" s="106"/>
      <c r="BC41" s="107"/>
      <c r="BL41" s="116" t="str">
        <f>INDEX(T,102,lang)</f>
        <v>World Champion 2022</v>
      </c>
      <c r="BM41" s="116"/>
      <c r="BN41" s="116"/>
      <c r="BO41" s="116"/>
      <c r="BP41" s="116"/>
      <c r="BQ41" s="116"/>
      <c r="BR41" s="118" t="str">
        <f>S85</f>
        <v>Brazil</v>
      </c>
      <c r="BS41" s="118"/>
      <c r="BT41" s="118"/>
      <c r="BU41" s="118"/>
      <c r="BV41" s="118"/>
      <c r="BW41" s="118"/>
      <c r="BX41" s="118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1 - 5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1</v>
      </c>
      <c r="AE42" s="47">
        <f t="shared" si="15"/>
        <v>3</v>
      </c>
      <c r="AF42" s="47">
        <f t="shared" si="15"/>
        <v>7</v>
      </c>
      <c r="AG42" s="47">
        <f t="shared" si="15"/>
        <v>5</v>
      </c>
      <c r="AH42" s="47">
        <f>MAX(AH38:AH41)-AH43+1</f>
        <v>60907</v>
      </c>
      <c r="AI42" s="47">
        <f>MAX(AI38:AI41)-AI43+1</f>
        <v>10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8"/>
      <c r="AZ42" s="109"/>
      <c r="BA42" s="109"/>
      <c r="BB42" s="109"/>
      <c r="BC42" s="110"/>
      <c r="BL42" s="117"/>
      <c r="BM42" s="117"/>
      <c r="BN42" s="117"/>
      <c r="BO42" s="117"/>
      <c r="BP42" s="117"/>
      <c r="BQ42" s="117"/>
      <c r="BR42" s="119"/>
      <c r="BS42" s="119"/>
      <c r="BT42" s="119"/>
      <c r="BU42" s="119"/>
      <c r="BV42" s="119"/>
      <c r="BW42" s="119"/>
      <c r="BX42" s="119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9601</v>
      </c>
      <c r="AI43" s="47">
        <f>MIN(AI38:AI41)</f>
        <v>-4</v>
      </c>
      <c r="AY43" s="108"/>
      <c r="AZ43" s="109"/>
      <c r="BA43" s="109"/>
      <c r="BB43" s="109"/>
      <c r="BC43" s="110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0.91666666666666663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1102.9175830116667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8"/>
      <c r="AZ44" s="109"/>
      <c r="BA44" s="109"/>
      <c r="BB44" s="109"/>
      <c r="BC44" s="110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3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Poland_draw</v>
      </c>
      <c r="T45" s="88" t="str">
        <f t="shared" si="4"/>
        <v>Argentina_draw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0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6</v>
      </c>
      <c r="AH45" s="47">
        <f>(AF45-AG45)*100+AK45*10000+AF45</f>
        <v>9602</v>
      </c>
      <c r="AI45" s="47">
        <f>AF45-AG45</f>
        <v>-4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113.61188487611112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8"/>
      <c r="AZ45" s="109"/>
      <c r="BA45" s="109"/>
      <c r="BB45" s="109"/>
      <c r="BC45" s="110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5 - 6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6</v>
      </c>
      <c r="AH46" s="47">
        <f>(AF46-AG46)*100+AK46*10000+AF46</f>
        <v>39905</v>
      </c>
      <c r="AI46" s="47">
        <f>AF46-AG46</f>
        <v>-1</v>
      </c>
      <c r="AJ46" s="47">
        <f>(AI46-AI49)/AI48</f>
        <v>0.25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475.69526210444445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1"/>
      <c r="AZ46" s="112"/>
      <c r="BA46" s="112"/>
      <c r="BB46" s="112"/>
      <c r="BC46" s="113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5</v>
      </c>
      <c r="AH47" s="47">
        <f>(AF47-AG47)*100+AK47*10000+AF47</f>
        <v>29803</v>
      </c>
      <c r="AI47" s="47">
        <f>AF47-AG47</f>
        <v>-2</v>
      </c>
      <c r="AJ47" s="47">
        <f>(AI47-AI49)/AI48</f>
        <v>0.16666666666666666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353.75074024000003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0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5</v>
      </c>
      <c r="AH48" s="47">
        <f>MAX(AH44:AH47)-AH49+1</f>
        <v>81108</v>
      </c>
      <c r="AI48" s="47">
        <f>MAX(AI44:AI47)-AI49+1</f>
        <v>12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5" t="s">
        <v>2516</v>
      </c>
      <c r="AZ48" s="106"/>
      <c r="BA48" s="106"/>
      <c r="BB48" s="106"/>
      <c r="BC48" s="107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0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Japan_win</v>
      </c>
      <c r="T49" s="88" t="str">
        <f t="shared" si="4"/>
        <v>Spain_lose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1</v>
      </c>
      <c r="AH49" s="47">
        <f>MIN(AH44:AH47)</f>
        <v>9602</v>
      </c>
      <c r="AI49" s="47">
        <f>MIN(AI44:AI47)</f>
        <v>-4</v>
      </c>
      <c r="AY49" s="108"/>
      <c r="AZ49" s="109"/>
      <c r="BA49" s="109"/>
      <c r="BB49" s="109"/>
      <c r="BC49" s="110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8</v>
      </c>
      <c r="AG50" s="47">
        <f>SUMIF($E$7:$E$54,$AB50,$G$7:$G$54) + SUMIF($H$7:$H$54,$AB50,$F$7:$F$54)</f>
        <v>5</v>
      </c>
      <c r="AH50" s="47">
        <f>(AF50-AG50)*100+AK50*10000+AF50</f>
        <v>70308</v>
      </c>
      <c r="AI50" s="47">
        <f>AF50-AG50</f>
        <v>3</v>
      </c>
      <c r="AJ50" s="47">
        <f>(AI50-AI55)/AI54</f>
        <v>0.875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1098.9294088185713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8"/>
      <c r="AZ50" s="109"/>
      <c r="BA50" s="109"/>
      <c r="BB50" s="109"/>
      <c r="BC50" s="110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8 - 5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0</v>
      </c>
      <c r="AE51" s="47">
        <f>COUNTIF($S$7:$T$54,"=" &amp; AB51 &amp; "_lose")</f>
        <v>2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5</v>
      </c>
      <c r="AH51" s="47">
        <f>(AF51-AG51)*100+AK51*10000+AF51</f>
        <v>29904</v>
      </c>
      <c r="AI51" s="47">
        <f>AF51-AG51</f>
        <v>-1</v>
      </c>
      <c r="AJ51" s="47">
        <f>(AI51-AI55)/AI54</f>
        <v>0.375</v>
      </c>
      <c r="AK51" s="47">
        <f>AC51*3+AD51</f>
        <v>3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471.78640796571426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8"/>
      <c r="AZ51" s="109"/>
      <c r="BA51" s="109"/>
      <c r="BB51" s="109"/>
      <c r="BC51" s="110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2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6 - 4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4</v>
      </c>
      <c r="AH52" s="47">
        <f>(AF52-AG52)*100+AK52*10000+AF52</f>
        <v>60206</v>
      </c>
      <c r="AI52" s="47">
        <f>AF52-AG52</f>
        <v>2</v>
      </c>
      <c r="AJ52" s="47">
        <f>(AI52-AI55)/AI54</f>
        <v>0.75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940.71510357928571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8"/>
      <c r="AZ52" s="109"/>
      <c r="BA52" s="109"/>
      <c r="BB52" s="109"/>
      <c r="BC52" s="110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6</v>
      </c>
      <c r="AH53" s="47">
        <f>(AF53-AG53)*100+AK53*10000+AF53</f>
        <v>9602</v>
      </c>
      <c r="AI53" s="47">
        <f>AF53-AG53</f>
        <v>-4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145.71504548428572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8"/>
      <c r="AZ53" s="109"/>
      <c r="BA53" s="109"/>
      <c r="BB53" s="109"/>
      <c r="BC53" s="110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2 - 6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2</v>
      </c>
      <c r="AE54" s="47">
        <f t="shared" si="17"/>
        <v>3</v>
      </c>
      <c r="AF54" s="47">
        <f t="shared" si="17"/>
        <v>7</v>
      </c>
      <c r="AG54" s="47">
        <f t="shared" si="17"/>
        <v>3</v>
      </c>
      <c r="AH54" s="47">
        <f>MAX(AH50:AH53)-AH55+1</f>
        <v>60707</v>
      </c>
      <c r="AI54" s="47">
        <f>MAX(AI50:AI53)-AI55+1</f>
        <v>8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1"/>
      <c r="AZ54" s="112"/>
      <c r="BA54" s="112"/>
      <c r="BB54" s="112"/>
      <c r="BC54" s="113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9602</v>
      </c>
      <c r="AI55" s="47">
        <f>MIN(AI50:AI53)</f>
        <v>-4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England</v>
      </c>
      <c r="T58" s="88" t="str">
        <f>IF(OR(S58="",S58="draw"),INDEX(T,86,lang),S58)</f>
        <v>England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Senegal</v>
      </c>
      <c r="T60" s="88" t="str">
        <f>IF(OR(S60="",S60="draw"),INDEX(T,88,lang),S60)</f>
        <v>Senegal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Croatia</v>
      </c>
      <c r="T62" s="88" t="str">
        <f>IF(OR(S62="",S62="draw"),INDEX(T,90,lang),S62)</f>
        <v>Croatia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England</v>
      </c>
      <c r="T69" s="88" t="str">
        <f>IF(OR(S69="",S69="draw"),INDEX(T,94,lang),S69)</f>
        <v>England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England</v>
      </c>
      <c r="Z76" s="88" t="str">
        <f>IF(OR(U76="",U76="draw"),INDEX(T,100,lang),U76)</f>
        <v>England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England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2532</v>
      </c>
    </row>
    <row r="3" spans="1:2" x14ac:dyDescent="0.35">
      <c r="A3" s="100" t="s">
        <v>2519</v>
      </c>
      <c r="B3" s="103" t="s">
        <v>2533</v>
      </c>
    </row>
    <row r="4" spans="1:2" x14ac:dyDescent="0.35">
      <c r="A4" s="103" t="s">
        <v>2520</v>
      </c>
      <c r="B4" s="100" t="s">
        <v>2534</v>
      </c>
    </row>
    <row r="5" spans="1:2" x14ac:dyDescent="0.35">
      <c r="A5" s="100" t="s">
        <v>2529</v>
      </c>
      <c r="B5" s="104">
        <v>4</v>
      </c>
    </row>
    <row r="6" spans="1:2" x14ac:dyDescent="0.35">
      <c r="A6" s="103" t="s">
        <v>2521</v>
      </c>
      <c r="B6" s="100" t="s">
        <v>2532</v>
      </c>
    </row>
    <row r="7" spans="1:2" x14ac:dyDescent="0.35">
      <c r="A7" s="100" t="s">
        <v>2522</v>
      </c>
      <c r="B7" s="103" t="s">
        <v>2536</v>
      </c>
    </row>
    <row r="8" spans="1:2" x14ac:dyDescent="0.35">
      <c r="A8" s="103" t="s">
        <v>2523</v>
      </c>
      <c r="B8" s="100" t="s">
        <v>2287</v>
      </c>
    </row>
    <row r="9" spans="1:2" x14ac:dyDescent="0.35">
      <c r="A9" s="100" t="s">
        <v>2524</v>
      </c>
      <c r="B9" s="103" t="s">
        <v>2535</v>
      </c>
    </row>
    <row r="10" spans="1:2" x14ac:dyDescent="0.35">
      <c r="A10" s="103" t="s">
        <v>2525</v>
      </c>
      <c r="B10" s="100" t="s">
        <v>2530</v>
      </c>
    </row>
    <row r="11" spans="1:2" x14ac:dyDescent="0.35">
      <c r="A11" s="100" t="s">
        <v>2528</v>
      </c>
      <c r="B11" s="103" t="s">
        <v>2531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2022-11-20T19:34:25Z</dcterms:modified>
</cp:coreProperties>
</file>