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vo\Downloads\"/>
    </mc:Choice>
  </mc:AlternateContent>
  <xr:revisionPtr revIDLastSave="0" documentId="8_{D1AA18A4-B476-484D-BA74-D4CE7AED1D5E}" xr6:coauthVersionLast="47" xr6:coauthVersionMax="47" xr10:uidLastSave="{00000000-0000-0000-0000-000000000000}"/>
  <bookViews>
    <workbookView xWindow="-120" yWindow="-120" windowWidth="29040" windowHeight="17520" firstSheet="1" activeTab="3" xr2:uid="{00000000-000D-0000-FFFF-FFFF00000000}"/>
  </bookViews>
  <sheets>
    <sheet name="T" sheetId="1" state="hidden" r:id="rId1"/>
    <sheet name="Settings" sheetId="2" r:id="rId2"/>
    <sheet name="2022 World Cup" sheetId="3" r:id="rId3"/>
    <sheet name="LISAKÜSIMUSED" sheetId="4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54" i="3" l="1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O3" i="3" l="1"/>
  <c r="G48" i="2"/>
  <c r="G16" i="2"/>
  <c r="G15" i="2"/>
  <c r="BT6" i="3" s="1"/>
  <c r="M38" i="3" l="1"/>
  <c r="L14" i="3"/>
  <c r="J44" i="3"/>
  <c r="N26" i="3"/>
  <c r="P50" i="3"/>
  <c r="M8" i="3"/>
  <c r="N20" i="3"/>
  <c r="BL41" i="3"/>
  <c r="N14" i="3"/>
  <c r="A5" i="3"/>
  <c r="L32" i="3"/>
  <c r="P32" i="3"/>
  <c r="L8" i="3"/>
  <c r="O14" i="3"/>
  <c r="O26" i="3"/>
  <c r="O38" i="3"/>
  <c r="J20" i="3"/>
  <c r="M50" i="3"/>
  <c r="K44" i="3"/>
  <c r="J26" i="3"/>
  <c r="K26" i="3"/>
  <c r="BT31" i="3"/>
  <c r="J32" i="3"/>
  <c r="P14" i="3"/>
  <c r="L44" i="3"/>
  <c r="K38" i="3"/>
  <c r="P44" i="3"/>
  <c r="B44" i="2"/>
  <c r="B32" i="2"/>
  <c r="B20" i="2"/>
  <c r="AB32" i="3"/>
  <c r="AB10" i="3"/>
  <c r="B19" i="2"/>
  <c r="AB53" i="3"/>
  <c r="AB46" i="3"/>
  <c r="AB39" i="3"/>
  <c r="AB17" i="3"/>
  <c r="B43" i="2"/>
  <c r="B42" i="2"/>
  <c r="B30" i="2"/>
  <c r="B18" i="2"/>
  <c r="AB16" i="3"/>
  <c r="B41" i="2"/>
  <c r="AB52" i="3"/>
  <c r="AB45" i="3"/>
  <c r="AB38" i="3"/>
  <c r="AB23" i="3"/>
  <c r="AB9" i="3"/>
  <c r="B29" i="2"/>
  <c r="B40" i="2"/>
  <c r="B28" i="2"/>
  <c r="AB29" i="3"/>
  <c r="AB15" i="3"/>
  <c r="B39" i="2"/>
  <c r="AB51" i="3"/>
  <c r="AB44" i="3"/>
  <c r="AB22" i="3"/>
  <c r="AB8" i="3"/>
  <c r="B27" i="2"/>
  <c r="B38" i="2"/>
  <c r="B26" i="2"/>
  <c r="AB28" i="3"/>
  <c r="AB14" i="3"/>
  <c r="B25" i="2"/>
  <c r="B17" i="2"/>
  <c r="AB50" i="3"/>
  <c r="AB35" i="3"/>
  <c r="AB21" i="3"/>
  <c r="B37" i="2"/>
  <c r="B31" i="2"/>
  <c r="B48" i="2"/>
  <c r="B36" i="2"/>
  <c r="B24" i="2"/>
  <c r="AB20" i="3"/>
  <c r="B35" i="2"/>
  <c r="B33" i="2"/>
  <c r="AB41" i="3"/>
  <c r="AB34" i="3"/>
  <c r="AB27" i="3"/>
  <c r="B47" i="2"/>
  <c r="B23" i="2"/>
  <c r="B46" i="2"/>
  <c r="B34" i="2"/>
  <c r="B22" i="2"/>
  <c r="AB26" i="3"/>
  <c r="AB11" i="3"/>
  <c r="B21" i="2"/>
  <c r="AB47" i="3"/>
  <c r="AB40" i="3"/>
  <c r="AB33" i="3"/>
  <c r="B45" i="2"/>
  <c r="R37" i="3"/>
  <c r="R36" i="3"/>
  <c r="R33" i="3"/>
  <c r="R32" i="3"/>
  <c r="R29" i="3"/>
  <c r="R28" i="3"/>
  <c r="R21" i="3"/>
  <c r="R20" i="3"/>
  <c r="R17" i="3"/>
  <c r="R16" i="3"/>
  <c r="R13" i="3"/>
  <c r="R12" i="3"/>
  <c r="O50" i="3"/>
  <c r="N44" i="3"/>
  <c r="K50" i="3"/>
  <c r="AY6" i="3"/>
  <c r="L50" i="3"/>
  <c r="N8" i="3"/>
  <c r="N32" i="3"/>
  <c r="K20" i="3"/>
  <c r="BF6" i="3"/>
  <c r="O32" i="3"/>
  <c r="L26" i="3"/>
  <c r="O8" i="3"/>
  <c r="N50" i="3"/>
  <c r="M26" i="3"/>
  <c r="O20" i="3"/>
  <c r="A1" i="3"/>
  <c r="M32" i="3"/>
  <c r="N38" i="3"/>
  <c r="O44" i="3"/>
  <c r="P26" i="3"/>
  <c r="L38" i="3"/>
  <c r="BM6" i="3"/>
  <c r="M44" i="3"/>
  <c r="P20" i="3"/>
  <c r="K8" i="3"/>
  <c r="R25" i="3"/>
  <c r="R24" i="3"/>
  <c r="R7" i="3"/>
  <c r="R60" i="3"/>
  <c r="AY25" i="3" s="1"/>
  <c r="R42" i="3"/>
  <c r="R34" i="3"/>
  <c r="R23" i="3"/>
  <c r="R10" i="3"/>
  <c r="R22" i="3"/>
  <c r="R71" i="3"/>
  <c r="R53" i="3"/>
  <c r="R18" i="3"/>
  <c r="R65" i="3"/>
  <c r="AY37" i="3" s="1"/>
  <c r="R59" i="3"/>
  <c r="AY13" i="3" s="1"/>
  <c r="R45" i="3"/>
  <c r="R31" i="3"/>
  <c r="R26" i="3"/>
  <c r="R14" i="3"/>
  <c r="R85" i="3"/>
  <c r="BT22" i="3" s="1"/>
  <c r="R64" i="3"/>
  <c r="AY33" i="3" s="1"/>
  <c r="R58" i="3"/>
  <c r="AY9" i="3" s="1"/>
  <c r="R50" i="3"/>
  <c r="R47" i="3"/>
  <c r="R39" i="3"/>
  <c r="R15" i="3"/>
  <c r="R38" i="3"/>
  <c r="R40" i="3"/>
  <c r="R76" i="3"/>
  <c r="BM15" i="3" s="1"/>
  <c r="R63" i="3"/>
  <c r="AY21" i="3" s="1"/>
  <c r="R52" i="3"/>
  <c r="R41" i="3"/>
  <c r="R30" i="3"/>
  <c r="R9" i="3"/>
  <c r="R35" i="3"/>
  <c r="R11" i="3"/>
  <c r="R8" i="3"/>
  <c r="R81" i="3"/>
  <c r="BT34" i="3" s="1"/>
  <c r="R72" i="3"/>
  <c r="BF35" i="3" s="1"/>
  <c r="R62" i="3"/>
  <c r="AY17" i="3" s="1"/>
  <c r="R54" i="3"/>
  <c r="R49" i="3"/>
  <c r="R44" i="3"/>
  <c r="R19" i="3"/>
  <c r="R70" i="3"/>
  <c r="BF19" i="3" s="1"/>
  <c r="R61" i="3"/>
  <c r="AY29" i="3" s="1"/>
  <c r="R48" i="3"/>
  <c r="R46" i="3"/>
  <c r="R43" i="3"/>
  <c r="R27" i="3"/>
  <c r="R77" i="3"/>
  <c r="BM31" i="3" s="1"/>
  <c r="R69" i="3"/>
  <c r="BF11" i="3" s="1"/>
  <c r="R51" i="3"/>
  <c r="S23" i="3"/>
  <c r="S25" i="3"/>
  <c r="S34" i="3"/>
  <c r="S21" i="3"/>
  <c r="S52" i="3"/>
  <c r="S48" i="3"/>
  <c r="S47" i="3"/>
  <c r="S40" i="3"/>
  <c r="S8" i="3"/>
  <c r="S51" i="3"/>
  <c r="S22" i="3"/>
  <c r="S20" i="3"/>
  <c r="S36" i="3"/>
  <c r="S42" i="3"/>
  <c r="S13" i="3"/>
  <c r="S31" i="3"/>
  <c r="S44" i="3"/>
  <c r="S7" i="3"/>
  <c r="S10" i="3"/>
  <c r="S35" i="3"/>
  <c r="S33" i="3"/>
  <c r="S19" i="3"/>
  <c r="K32" i="3"/>
  <c r="J8" i="3"/>
  <c r="J50" i="3"/>
  <c r="J14" i="3"/>
  <c r="P8" i="3"/>
  <c r="I15" i="2"/>
  <c r="BF27" i="3"/>
  <c r="L20" i="3"/>
  <c r="M14" i="3"/>
  <c r="J38" i="3"/>
  <c r="M20" i="3"/>
  <c r="K14" i="3"/>
  <c r="P38" i="3"/>
  <c r="H40" i="3" l="1"/>
  <c r="E24" i="3"/>
  <c r="E7" i="3"/>
  <c r="AM9" i="3"/>
  <c r="H18" i="3"/>
  <c r="H33" i="3"/>
  <c r="AM39" i="3"/>
  <c r="E48" i="3"/>
  <c r="E28" i="3"/>
  <c r="H13" i="3"/>
  <c r="E45" i="3"/>
  <c r="AM23" i="3"/>
  <c r="H53" i="3"/>
  <c r="H37" i="3"/>
  <c r="E19" i="3"/>
  <c r="AM46" i="3"/>
  <c r="E8" i="3"/>
  <c r="H24" i="3"/>
  <c r="H39" i="3"/>
  <c r="AM8" i="3"/>
  <c r="E18" i="3"/>
  <c r="AM38" i="3"/>
  <c r="E32" i="3"/>
  <c r="H47" i="3"/>
  <c r="H20" i="3"/>
  <c r="E36" i="3"/>
  <c r="AM53" i="3"/>
  <c r="E52" i="3"/>
  <c r="H46" i="3"/>
  <c r="E13" i="3"/>
  <c r="AM22" i="3"/>
  <c r="H30" i="3"/>
  <c r="H22" i="3"/>
  <c r="H35" i="3"/>
  <c r="AM45" i="3"/>
  <c r="E53" i="3"/>
  <c r="AM11" i="3"/>
  <c r="E46" i="3"/>
  <c r="H28" i="3"/>
  <c r="AM21" i="3"/>
  <c r="H11" i="3"/>
  <c r="H54" i="3"/>
  <c r="AM44" i="3"/>
  <c r="E37" i="3"/>
  <c r="E22" i="3"/>
  <c r="H38" i="3"/>
  <c r="E20" i="3"/>
  <c r="AM52" i="3"/>
  <c r="H51" i="3"/>
  <c r="H25" i="3"/>
  <c r="E39" i="3"/>
  <c r="H7" i="3"/>
  <c r="AM10" i="3"/>
  <c r="H14" i="3"/>
  <c r="H27" i="3"/>
  <c r="E43" i="3"/>
  <c r="AM27" i="3"/>
  <c r="E49" i="3"/>
  <c r="H16" i="3"/>
  <c r="AM35" i="3"/>
  <c r="E31" i="3"/>
  <c r="H21" i="3"/>
  <c r="AM51" i="3"/>
  <c r="E51" i="3"/>
  <c r="H36" i="3"/>
  <c r="E34" i="3"/>
  <c r="E17" i="3"/>
  <c r="AM32" i="3"/>
  <c r="H49" i="3"/>
  <c r="E50" i="3"/>
  <c r="H31" i="3"/>
  <c r="X31" i="3" s="1"/>
  <c r="H17" i="3"/>
  <c r="E16" i="3"/>
  <c r="H34" i="3"/>
  <c r="H50" i="3"/>
  <c r="AM34" i="3"/>
  <c r="E38" i="3"/>
  <c r="AM50" i="3"/>
  <c r="E21" i="3"/>
  <c r="H52" i="3"/>
  <c r="AM16" i="3"/>
  <c r="H42" i="3"/>
  <c r="E10" i="3"/>
  <c r="X10" i="3" s="1"/>
  <c r="H26" i="3"/>
  <c r="H48" i="3"/>
  <c r="AM40" i="3"/>
  <c r="H32" i="3"/>
  <c r="E15" i="3"/>
  <c r="E33" i="3"/>
  <c r="X33" i="3" s="1"/>
  <c r="E47" i="3"/>
  <c r="H15" i="3"/>
  <c r="AM41" i="3"/>
  <c r="AM33" i="3"/>
  <c r="E42" i="3"/>
  <c r="H9" i="3"/>
  <c r="AM15" i="3"/>
  <c r="H23" i="3"/>
  <c r="E54" i="3"/>
  <c r="E35" i="3"/>
  <c r="H19" i="3"/>
  <c r="AM47" i="3"/>
  <c r="H12" i="3"/>
  <c r="AM29" i="3"/>
  <c r="E44" i="3"/>
  <c r="E27" i="3"/>
  <c r="X7" i="3"/>
  <c r="E26" i="3"/>
  <c r="H41" i="3"/>
  <c r="AM14" i="3"/>
  <c r="E9" i="3"/>
  <c r="E25" i="3"/>
  <c r="E40" i="3"/>
  <c r="X40" i="3" s="1"/>
  <c r="H8" i="3"/>
  <c r="E30" i="3"/>
  <c r="AM20" i="3"/>
  <c r="H45" i="3"/>
  <c r="E11" i="3"/>
  <c r="H29" i="3"/>
  <c r="AM28" i="3"/>
  <c r="H43" i="3"/>
  <c r="E12" i="3"/>
  <c r="E14" i="3"/>
  <c r="E29" i="3"/>
  <c r="AM26" i="3"/>
  <c r="H44" i="3"/>
  <c r="X44" i="3" s="1"/>
  <c r="H10" i="3"/>
  <c r="E41" i="3"/>
  <c r="AM17" i="3"/>
  <c r="E23" i="3"/>
  <c r="X25" i="3"/>
  <c r="X20" i="3"/>
  <c r="X35" i="3"/>
  <c r="X51" i="3"/>
  <c r="X23" i="3"/>
  <c r="X48" i="3"/>
  <c r="X52" i="3"/>
  <c r="X34" i="3"/>
  <c r="X19" i="3"/>
  <c r="X42" i="3"/>
  <c r="X21" i="3"/>
  <c r="X13" i="3"/>
  <c r="X47" i="3"/>
  <c r="X22" i="3"/>
  <c r="X36" i="3"/>
  <c r="X8" i="3"/>
  <c r="C29" i="3"/>
  <c r="B29" i="3"/>
  <c r="D29" i="3"/>
  <c r="D48" i="3"/>
  <c r="C48" i="3"/>
  <c r="B48" i="3"/>
  <c r="D17" i="3"/>
  <c r="C17" i="3"/>
  <c r="B17" i="3"/>
  <c r="B26" i="3"/>
  <c r="D26" i="3"/>
  <c r="C26" i="3"/>
  <c r="D24" i="3"/>
  <c r="C24" i="3"/>
  <c r="B24" i="3"/>
  <c r="D51" i="3"/>
  <c r="C51" i="3"/>
  <c r="B51" i="3"/>
  <c r="C20" i="3"/>
  <c r="D20" i="3"/>
  <c r="B20" i="3"/>
  <c r="C13" i="3"/>
  <c r="B13" i="3"/>
  <c r="D13" i="3"/>
  <c r="D31" i="3"/>
  <c r="C31" i="3"/>
  <c r="B31" i="3"/>
  <c r="B25" i="3"/>
  <c r="D25" i="3"/>
  <c r="C25" i="3"/>
  <c r="D40" i="3"/>
  <c r="C40" i="3"/>
  <c r="B40" i="3"/>
  <c r="C36" i="3"/>
  <c r="D36" i="3"/>
  <c r="B36" i="3"/>
  <c r="D22" i="3"/>
  <c r="C22" i="3"/>
  <c r="B22" i="3"/>
  <c r="C21" i="3"/>
  <c r="B21" i="3"/>
  <c r="D21" i="3"/>
  <c r="D8" i="3"/>
  <c r="C8" i="3"/>
  <c r="B8" i="3"/>
  <c r="C28" i="3"/>
  <c r="D28" i="3"/>
  <c r="B28" i="3"/>
  <c r="D38" i="3"/>
  <c r="C38" i="3"/>
  <c r="B38" i="3"/>
  <c r="C37" i="3"/>
  <c r="B37" i="3"/>
  <c r="D37" i="3"/>
  <c r="C45" i="3"/>
  <c r="B45" i="3"/>
  <c r="D45" i="3"/>
  <c r="B10" i="3"/>
  <c r="D10" i="3"/>
  <c r="C10" i="3"/>
  <c r="D16" i="3"/>
  <c r="C16" i="3"/>
  <c r="B16" i="3"/>
  <c r="D19" i="3"/>
  <c r="C19" i="3"/>
  <c r="B19" i="3"/>
  <c r="D32" i="3"/>
  <c r="C32" i="3"/>
  <c r="B32" i="3"/>
  <c r="D30" i="3"/>
  <c r="C30" i="3"/>
  <c r="B30" i="3"/>
  <c r="D15" i="3"/>
  <c r="C15" i="3"/>
  <c r="B15" i="3"/>
  <c r="D14" i="3"/>
  <c r="C14" i="3"/>
  <c r="B14" i="3"/>
  <c r="D23" i="3"/>
  <c r="C23" i="3"/>
  <c r="B23" i="3"/>
  <c r="D27" i="3"/>
  <c r="C27" i="3"/>
  <c r="B27" i="3"/>
  <c r="C44" i="3"/>
  <c r="D44" i="3"/>
  <c r="B44" i="3"/>
  <c r="D11" i="3"/>
  <c r="C11" i="3"/>
  <c r="B11" i="3"/>
  <c r="B41" i="3"/>
  <c r="D41" i="3"/>
  <c r="C41" i="3"/>
  <c r="D39" i="3"/>
  <c r="C39" i="3"/>
  <c r="B39" i="3"/>
  <c r="D33" i="3"/>
  <c r="B33" i="3"/>
  <c r="C33" i="3"/>
  <c r="B34" i="3"/>
  <c r="D34" i="3"/>
  <c r="C34" i="3"/>
  <c r="D43" i="3"/>
  <c r="C43" i="3"/>
  <c r="B43" i="3"/>
  <c r="D49" i="3"/>
  <c r="B49" i="3"/>
  <c r="C49" i="3"/>
  <c r="D35" i="3"/>
  <c r="C35" i="3"/>
  <c r="B35" i="3"/>
  <c r="C52" i="3"/>
  <c r="D52" i="3"/>
  <c r="B52" i="3"/>
  <c r="D47" i="3"/>
  <c r="C47" i="3"/>
  <c r="B47" i="3"/>
  <c r="D7" i="3"/>
  <c r="C7" i="3"/>
  <c r="B7" i="3"/>
  <c r="B18" i="3"/>
  <c r="D18" i="3"/>
  <c r="C18" i="3"/>
  <c r="B42" i="3"/>
  <c r="D42" i="3"/>
  <c r="C42" i="3"/>
  <c r="D46" i="3"/>
  <c r="C46" i="3"/>
  <c r="B46" i="3"/>
  <c r="D54" i="3"/>
  <c r="C54" i="3"/>
  <c r="B54" i="3"/>
  <c r="D9" i="3"/>
  <c r="B9" i="3"/>
  <c r="C9" i="3"/>
  <c r="B50" i="3"/>
  <c r="D50" i="3"/>
  <c r="C50" i="3"/>
  <c r="C12" i="3"/>
  <c r="D12" i="3"/>
  <c r="B12" i="3"/>
  <c r="C53" i="3"/>
  <c r="B53" i="3"/>
  <c r="D53" i="3"/>
  <c r="X12" i="3"/>
  <c r="S12" i="3"/>
  <c r="T31" i="3"/>
  <c r="S17" i="3"/>
  <c r="X17" i="3"/>
  <c r="S49" i="3"/>
  <c r="X49" i="3"/>
  <c r="AG40" i="3"/>
  <c r="AG27" i="3"/>
  <c r="AG50" i="3"/>
  <c r="AG16" i="3"/>
  <c r="AG33" i="3"/>
  <c r="T21" i="3"/>
  <c r="AG53" i="3"/>
  <c r="T20" i="3"/>
  <c r="X32" i="3"/>
  <c r="S32" i="3"/>
  <c r="X9" i="3"/>
  <c r="S9" i="3"/>
  <c r="S28" i="3"/>
  <c r="X28" i="3"/>
  <c r="S26" i="3"/>
  <c r="X26" i="3"/>
  <c r="AF23" i="3"/>
  <c r="AG39" i="3"/>
  <c r="AF33" i="3"/>
  <c r="AG11" i="3"/>
  <c r="AF21" i="3"/>
  <c r="AF29" i="3"/>
  <c r="AG10" i="3"/>
  <c r="AF10" i="3"/>
  <c r="AG21" i="3"/>
  <c r="T13" i="3"/>
  <c r="T22" i="3"/>
  <c r="AF46" i="3"/>
  <c r="T40" i="3"/>
  <c r="S45" i="3"/>
  <c r="X45" i="3"/>
  <c r="X37" i="3"/>
  <c r="S37" i="3"/>
  <c r="S54" i="3"/>
  <c r="X54" i="3"/>
  <c r="X27" i="3"/>
  <c r="S27" i="3"/>
  <c r="T10" i="3"/>
  <c r="AG20" i="3"/>
  <c r="AG32" i="3"/>
  <c r="AG52" i="3"/>
  <c r="AG22" i="3"/>
  <c r="AF14" i="3"/>
  <c r="AG28" i="3"/>
  <c r="AG17" i="3"/>
  <c r="AF35" i="3"/>
  <c r="AG45" i="3"/>
  <c r="AG35" i="3"/>
  <c r="T47" i="3"/>
  <c r="T34" i="3"/>
  <c r="S46" i="3"/>
  <c r="X46" i="3"/>
  <c r="AG26" i="3"/>
  <c r="AF17" i="3"/>
  <c r="S53" i="3"/>
  <c r="X53" i="3"/>
  <c r="X43" i="3"/>
  <c r="S43" i="3"/>
  <c r="T19" i="3"/>
  <c r="AG38" i="3"/>
  <c r="AF32" i="3"/>
  <c r="AF47" i="3"/>
  <c r="AF52" i="3"/>
  <c r="AG9" i="3"/>
  <c r="AF26" i="3"/>
  <c r="AF34" i="3"/>
  <c r="T48" i="3"/>
  <c r="AF20" i="3"/>
  <c r="AF11" i="3"/>
  <c r="S24" i="3"/>
  <c r="X24" i="3"/>
  <c r="X38" i="3"/>
  <c r="S38" i="3"/>
  <c r="X50" i="3"/>
  <c r="S50" i="3"/>
  <c r="X16" i="3"/>
  <c r="S16" i="3"/>
  <c r="S29" i="3"/>
  <c r="X29" i="3"/>
  <c r="AG41" i="3"/>
  <c r="AG23" i="3"/>
  <c r="AF44" i="3"/>
  <c r="AF50" i="3"/>
  <c r="T7" i="3"/>
  <c r="AF8" i="3"/>
  <c r="AG8" i="3"/>
  <c r="AG44" i="3"/>
  <c r="AF40" i="3"/>
  <c r="T42" i="3"/>
  <c r="T51" i="3"/>
  <c r="T25" i="3"/>
  <c r="X14" i="3"/>
  <c r="S14" i="3"/>
  <c r="X41" i="3"/>
  <c r="S41" i="3"/>
  <c r="AF27" i="3"/>
  <c r="AG14" i="3"/>
  <c r="AF22" i="3"/>
  <c r="AG51" i="3"/>
  <c r="AG15" i="3"/>
  <c r="AG34" i="3"/>
  <c r="AF53" i="3"/>
  <c r="AG29" i="3"/>
  <c r="AG46" i="3"/>
  <c r="T36" i="3"/>
  <c r="T8" i="3"/>
  <c r="T52" i="3"/>
  <c r="T23" i="3"/>
  <c r="S39" i="3"/>
  <c r="X39" i="3"/>
  <c r="X11" i="3"/>
  <c r="S11" i="3"/>
  <c r="T35" i="3"/>
  <c r="X15" i="3"/>
  <c r="S15" i="3"/>
  <c r="S30" i="3"/>
  <c r="X30" i="3"/>
  <c r="X18" i="3"/>
  <c r="S18" i="3"/>
  <c r="T33" i="3"/>
  <c r="AF15" i="3"/>
  <c r="AG47" i="3"/>
  <c r="AF9" i="3"/>
  <c r="AF41" i="3"/>
  <c r="AF16" i="3"/>
  <c r="AF38" i="3"/>
  <c r="AF51" i="3"/>
  <c r="AF45" i="3"/>
  <c r="T44" i="3"/>
  <c r="AF39" i="3" l="1"/>
  <c r="AI39" i="3" s="1"/>
  <c r="AF28" i="3"/>
  <c r="AI28" i="3" s="1"/>
  <c r="AG12" i="3"/>
  <c r="AI51" i="3"/>
  <c r="T14" i="3"/>
  <c r="AI40" i="3"/>
  <c r="T38" i="3"/>
  <c r="AI34" i="3"/>
  <c r="T46" i="3"/>
  <c r="T45" i="3"/>
  <c r="AI23" i="3"/>
  <c r="AG54" i="3"/>
  <c r="AI45" i="3"/>
  <c r="T32" i="3"/>
  <c r="AI38" i="3"/>
  <c r="T18" i="3"/>
  <c r="T11" i="3"/>
  <c r="AG48" i="3"/>
  <c r="AI26" i="3"/>
  <c r="T43" i="3"/>
  <c r="T27" i="3"/>
  <c r="AI10" i="3"/>
  <c r="T12" i="3"/>
  <c r="AF48" i="3"/>
  <c r="AI44" i="3"/>
  <c r="AI16" i="3"/>
  <c r="AF18" i="3"/>
  <c r="AI14" i="3"/>
  <c r="T26" i="3"/>
  <c r="AI35" i="3"/>
  <c r="AI41" i="3"/>
  <c r="AF12" i="3"/>
  <c r="AI8" i="3"/>
  <c r="T29" i="3"/>
  <c r="T24" i="3"/>
  <c r="AI52" i="3"/>
  <c r="AI46" i="3"/>
  <c r="AI29" i="3"/>
  <c r="AI53" i="3"/>
  <c r="AI22" i="3"/>
  <c r="AI9" i="3"/>
  <c r="T30" i="3"/>
  <c r="T39" i="3"/>
  <c r="AG18" i="3"/>
  <c r="T16" i="3"/>
  <c r="AI11" i="3"/>
  <c r="AI47" i="3"/>
  <c r="T53" i="3"/>
  <c r="T54" i="3"/>
  <c r="AI21" i="3"/>
  <c r="T28" i="3"/>
  <c r="T49" i="3"/>
  <c r="T15" i="3"/>
  <c r="AI27" i="3"/>
  <c r="AI20" i="3"/>
  <c r="AF24" i="3"/>
  <c r="AF36" i="3"/>
  <c r="AI32" i="3"/>
  <c r="AI17" i="3"/>
  <c r="AG36" i="3"/>
  <c r="T37" i="3"/>
  <c r="T9" i="3"/>
  <c r="AI15" i="3"/>
  <c r="T41" i="3"/>
  <c r="AF54" i="3"/>
  <c r="AI50" i="3"/>
  <c r="T50" i="3"/>
  <c r="AG42" i="3"/>
  <c r="AG30" i="3"/>
  <c r="AG24" i="3"/>
  <c r="AI33" i="3"/>
  <c r="T17" i="3"/>
  <c r="AF42" i="3" l="1"/>
  <c r="AF30" i="3"/>
  <c r="AC23" i="3"/>
  <c r="AC50" i="3"/>
  <c r="AD33" i="3"/>
  <c r="AD46" i="3"/>
  <c r="AE34" i="3"/>
  <c r="AE44" i="3"/>
  <c r="AD8" i="3"/>
  <c r="AE8" i="3"/>
  <c r="AC38" i="3"/>
  <c r="AI43" i="3"/>
  <c r="AI42" i="3" s="1"/>
  <c r="AD47" i="3"/>
  <c r="AC52" i="3"/>
  <c r="AC53" i="3"/>
  <c r="AE32" i="3"/>
  <c r="AC10" i="3"/>
  <c r="AI49" i="3"/>
  <c r="AI48" i="3" s="1"/>
  <c r="AE9" i="3"/>
  <c r="AD14" i="3"/>
  <c r="AE46" i="3"/>
  <c r="AE21" i="3"/>
  <c r="AE16" i="3"/>
  <c r="AD41" i="3"/>
  <c r="AI37" i="3"/>
  <c r="AI36" i="3" s="1"/>
  <c r="AE51" i="3"/>
  <c r="AD27" i="3"/>
  <c r="AD34" i="3"/>
  <c r="AC28" i="3"/>
  <c r="AE38" i="3"/>
  <c r="AE52" i="3"/>
  <c r="AE39" i="3"/>
  <c r="AD11" i="3"/>
  <c r="AC33" i="3"/>
  <c r="AD22" i="3"/>
  <c r="AD45" i="3"/>
  <c r="AD38" i="3"/>
  <c r="AE40" i="3"/>
  <c r="AD50" i="3"/>
  <c r="AC29" i="3"/>
  <c r="AE50" i="3"/>
  <c r="AD17" i="3"/>
  <c r="AC35" i="3"/>
  <c r="AD53" i="3"/>
  <c r="AI19" i="3"/>
  <c r="AI18" i="3" s="1"/>
  <c r="AE26" i="3"/>
  <c r="AD44" i="3"/>
  <c r="AC27" i="3"/>
  <c r="AD9" i="3"/>
  <c r="AE33" i="3"/>
  <c r="AE11" i="3"/>
  <c r="AC9" i="3"/>
  <c r="AC40" i="3"/>
  <c r="AD20" i="3"/>
  <c r="AD35" i="3"/>
  <c r="AD16" i="3"/>
  <c r="AC51" i="3"/>
  <c r="AC16" i="3"/>
  <c r="AD32" i="3"/>
  <c r="AE10" i="3"/>
  <c r="AC47" i="3"/>
  <c r="AE17" i="3"/>
  <c r="AE20" i="3"/>
  <c r="AC11" i="3"/>
  <c r="AC8" i="3"/>
  <c r="AD52" i="3"/>
  <c r="AD21" i="3"/>
  <c r="AC32" i="3"/>
  <c r="AI31" i="3"/>
  <c r="AC21" i="3"/>
  <c r="AD29" i="3"/>
  <c r="AC41" i="3"/>
  <c r="AI55" i="3"/>
  <c r="AI54" i="3" s="1"/>
  <c r="AD51" i="3"/>
  <c r="AE45" i="3"/>
  <c r="AD26" i="3"/>
  <c r="AE14" i="3"/>
  <c r="AC20" i="3"/>
  <c r="AC26" i="3"/>
  <c r="AE22" i="3"/>
  <c r="AC34" i="3"/>
  <c r="AD39" i="3"/>
  <c r="AC46" i="3"/>
  <c r="AE15" i="3"/>
  <c r="AC44" i="3"/>
  <c r="AD23" i="3"/>
  <c r="AC45" i="3"/>
  <c r="AC14" i="3"/>
  <c r="AD15" i="3"/>
  <c r="AC39" i="3"/>
  <c r="AE28" i="3"/>
  <c r="AI13" i="3"/>
  <c r="AI12" i="3" s="1"/>
  <c r="AC17" i="3"/>
  <c r="AD28" i="3"/>
  <c r="AC15" i="3"/>
  <c r="AE47" i="3"/>
  <c r="AD10" i="3"/>
  <c r="AI25" i="3"/>
  <c r="AI24" i="3" s="1"/>
  <c r="AC22" i="3"/>
  <c r="AE53" i="3"/>
  <c r="AE27" i="3"/>
  <c r="AE23" i="3"/>
  <c r="AE35" i="3"/>
  <c r="AE41" i="3"/>
  <c r="AD40" i="3"/>
  <c r="AE29" i="3"/>
  <c r="AK23" i="3" l="1"/>
  <c r="AH23" i="3" s="1"/>
  <c r="AK22" i="3"/>
  <c r="AH22" i="3" s="1"/>
  <c r="AK34" i="3"/>
  <c r="AH34" i="3" s="1"/>
  <c r="AK39" i="3"/>
  <c r="AH39" i="3" s="1"/>
  <c r="AD12" i="3"/>
  <c r="AK46" i="3"/>
  <c r="AH46" i="3" s="1"/>
  <c r="AK9" i="3"/>
  <c r="AH9" i="3" s="1"/>
  <c r="AK11" i="3"/>
  <c r="AH11" i="3" s="1"/>
  <c r="AK27" i="3"/>
  <c r="AH27" i="3" s="1"/>
  <c r="AJ40" i="3"/>
  <c r="AJ39" i="3"/>
  <c r="AJ16" i="3"/>
  <c r="AJ50" i="3"/>
  <c r="AD36" i="3"/>
  <c r="AK35" i="3"/>
  <c r="AH35" i="3" s="1"/>
  <c r="AK33" i="3"/>
  <c r="AH33" i="3" s="1"/>
  <c r="AJ53" i="3"/>
  <c r="AK41" i="3"/>
  <c r="AH41" i="3" s="1"/>
  <c r="AK17" i="3"/>
  <c r="AH17" i="3" s="1"/>
  <c r="AJ41" i="3"/>
  <c r="AE42" i="3"/>
  <c r="AJ8" i="3"/>
  <c r="AK16" i="3"/>
  <c r="AH16" i="3" s="1"/>
  <c r="AJ45" i="3"/>
  <c r="AD30" i="3"/>
  <c r="AJ47" i="3"/>
  <c r="AE48" i="3"/>
  <c r="AE12" i="3"/>
  <c r="AJ10" i="3"/>
  <c r="AJ46" i="3"/>
  <c r="AJ14" i="3"/>
  <c r="AJ44" i="3"/>
  <c r="AI30" i="3"/>
  <c r="AJ29" i="3" s="1"/>
  <c r="AC18" i="3"/>
  <c r="AK14" i="3"/>
  <c r="AH14" i="3" s="1"/>
  <c r="AJ15" i="3"/>
  <c r="AJ22" i="3"/>
  <c r="AJ23" i="3"/>
  <c r="AK45" i="3"/>
  <c r="AK26" i="3"/>
  <c r="AH26" i="3" s="1"/>
  <c r="AC30" i="3"/>
  <c r="AK51" i="3"/>
  <c r="AK50" i="3"/>
  <c r="AE54" i="3"/>
  <c r="AC24" i="3"/>
  <c r="AK20" i="3"/>
  <c r="AH20" i="3" s="1"/>
  <c r="AC36" i="3"/>
  <c r="AK32" i="3"/>
  <c r="AE24" i="3"/>
  <c r="AK29" i="3"/>
  <c r="AH29" i="3" s="1"/>
  <c r="AK28" i="3"/>
  <c r="AH28" i="3" s="1"/>
  <c r="AJ17" i="3"/>
  <c r="AK10" i="3"/>
  <c r="AH10" i="3" s="1"/>
  <c r="AJ38" i="3"/>
  <c r="AC48" i="3"/>
  <c r="AK44" i="3"/>
  <c r="AE18" i="3"/>
  <c r="AD54" i="3"/>
  <c r="AE36" i="3"/>
  <c r="AC42" i="3"/>
  <c r="AK38" i="3"/>
  <c r="AJ34" i="3"/>
  <c r="AK47" i="3"/>
  <c r="AJ35" i="3"/>
  <c r="AC54" i="3"/>
  <c r="AK15" i="3"/>
  <c r="AH15" i="3" s="1"/>
  <c r="AJ11" i="3"/>
  <c r="AK8" i="3"/>
  <c r="AH8" i="3" s="1"/>
  <c r="AC12" i="3"/>
  <c r="AJ33" i="3"/>
  <c r="AD24" i="3"/>
  <c r="AD48" i="3"/>
  <c r="AJ51" i="3"/>
  <c r="AJ9" i="3"/>
  <c r="AK53" i="3"/>
  <c r="AJ20" i="3"/>
  <c r="AJ21" i="3"/>
  <c r="AK21" i="3"/>
  <c r="AH21" i="3" s="1"/>
  <c r="AJ52" i="3"/>
  <c r="AK40" i="3"/>
  <c r="AE30" i="3"/>
  <c r="AD42" i="3"/>
  <c r="AJ32" i="3"/>
  <c r="AD18" i="3"/>
  <c r="AK52" i="3"/>
  <c r="U40" i="3" l="1"/>
  <c r="W40" i="3" s="1"/>
  <c r="U39" i="3"/>
  <c r="W39" i="3" s="1"/>
  <c r="U24" i="3"/>
  <c r="U7" i="3"/>
  <c r="AH13" i="3"/>
  <c r="AH12" i="3" s="1"/>
  <c r="U8" i="3"/>
  <c r="AJ26" i="3"/>
  <c r="AJ28" i="3"/>
  <c r="AJ27" i="3"/>
  <c r="U46" i="3"/>
  <c r="U43" i="3"/>
  <c r="AH47" i="3"/>
  <c r="U41" i="3"/>
  <c r="U26" i="3"/>
  <c r="U10" i="3"/>
  <c r="AH40" i="3"/>
  <c r="AK30" i="3"/>
  <c r="AK12" i="3"/>
  <c r="U42" i="3"/>
  <c r="U50" i="3"/>
  <c r="AK24" i="3"/>
  <c r="U16" i="3"/>
  <c r="U44" i="3"/>
  <c r="AH53" i="3"/>
  <c r="AK54" i="3"/>
  <c r="AH50" i="3"/>
  <c r="AH45" i="3"/>
  <c r="AH52" i="3"/>
  <c r="AK42" i="3"/>
  <c r="AH38" i="3"/>
  <c r="AK48" i="3"/>
  <c r="AH44" i="3"/>
  <c r="AK36" i="3"/>
  <c r="AH32" i="3"/>
  <c r="U34" i="3" s="1"/>
  <c r="AH51" i="3"/>
  <c r="AK18" i="3"/>
  <c r="U49" i="3" l="1"/>
  <c r="W49" i="3" s="1"/>
  <c r="U20" i="3"/>
  <c r="W20" i="3" s="1"/>
  <c r="V40" i="3"/>
  <c r="V39" i="3"/>
  <c r="V24" i="3"/>
  <c r="W24" i="3"/>
  <c r="W7" i="3"/>
  <c r="V7" i="3"/>
  <c r="W8" i="3"/>
  <c r="V8" i="3"/>
  <c r="U54" i="3"/>
  <c r="W54" i="3" s="1"/>
  <c r="U52" i="3"/>
  <c r="V52" i="3" s="1"/>
  <c r="U12" i="3"/>
  <c r="U18" i="3"/>
  <c r="W18" i="3" s="1"/>
  <c r="U32" i="3"/>
  <c r="V32" i="3" s="1"/>
  <c r="U48" i="3"/>
  <c r="U23" i="3"/>
  <c r="AH37" i="3"/>
  <c r="AH36" i="3" s="1"/>
  <c r="U31" i="3"/>
  <c r="U15" i="3"/>
  <c r="U38" i="3"/>
  <c r="U53" i="3"/>
  <c r="U45" i="3"/>
  <c r="U30" i="3"/>
  <c r="V41" i="3"/>
  <c r="W41" i="3"/>
  <c r="U22" i="3"/>
  <c r="AH31" i="3"/>
  <c r="AH30" i="3" s="1"/>
  <c r="U13" i="3"/>
  <c r="U29" i="3"/>
  <c r="U14" i="3"/>
  <c r="V34" i="3"/>
  <c r="W34" i="3"/>
  <c r="AH49" i="3"/>
  <c r="AH48" i="3" s="1"/>
  <c r="U19" i="3"/>
  <c r="U35" i="3"/>
  <c r="W43" i="3"/>
  <c r="V43" i="3"/>
  <c r="V16" i="3"/>
  <c r="W16" i="3"/>
  <c r="U28" i="3"/>
  <c r="W44" i="3"/>
  <c r="V44" i="3"/>
  <c r="AH19" i="3"/>
  <c r="AH18" i="3" s="1"/>
  <c r="U25" i="3"/>
  <c r="U9" i="3"/>
  <c r="U47" i="3"/>
  <c r="W50" i="3"/>
  <c r="V50" i="3"/>
  <c r="AH55" i="3"/>
  <c r="AH54" i="3" s="1"/>
  <c r="U21" i="3"/>
  <c r="U37" i="3"/>
  <c r="AH25" i="3"/>
  <c r="AH24" i="3" s="1"/>
  <c r="U27" i="3"/>
  <c r="U11" i="3"/>
  <c r="W42" i="3"/>
  <c r="V42" i="3"/>
  <c r="U51" i="3"/>
  <c r="U36" i="3"/>
  <c r="AH43" i="3"/>
  <c r="AH42" i="3" s="1"/>
  <c r="U33" i="3"/>
  <c r="U17" i="3"/>
  <c r="V10" i="3"/>
  <c r="W10" i="3"/>
  <c r="W46" i="3"/>
  <c r="V46" i="3"/>
  <c r="W26" i="3"/>
  <c r="V26" i="3"/>
  <c r="V49" i="3" l="1"/>
  <c r="V20" i="3"/>
  <c r="W32" i="3"/>
  <c r="W52" i="3"/>
  <c r="V18" i="3"/>
  <c r="V54" i="3"/>
  <c r="W12" i="3"/>
  <c r="V12" i="3"/>
  <c r="W23" i="3"/>
  <c r="V23" i="3"/>
  <c r="V48" i="3"/>
  <c r="W48" i="3"/>
  <c r="W37" i="3"/>
  <c r="V37" i="3"/>
  <c r="V21" i="3"/>
  <c r="W21" i="3"/>
  <c r="V28" i="3"/>
  <c r="W28" i="3"/>
  <c r="W31" i="3"/>
  <c r="V31" i="3"/>
  <c r="V9" i="3"/>
  <c r="W9" i="3"/>
  <c r="AR16" i="3"/>
  <c r="AS28" i="3"/>
  <c r="AS45" i="3"/>
  <c r="AR35" i="3"/>
  <c r="AR26" i="3"/>
  <c r="AS35" i="3"/>
  <c r="AR53" i="3"/>
  <c r="AR20" i="3"/>
  <c r="AP17" i="3"/>
  <c r="AP28" i="3"/>
  <c r="AQ53" i="3"/>
  <c r="AQ15" i="3"/>
  <c r="AP20" i="3"/>
  <c r="AQ8" i="3"/>
  <c r="AQ17" i="3"/>
  <c r="AQ46" i="3"/>
  <c r="AS21" i="3"/>
  <c r="AP45" i="3"/>
  <c r="AP44" i="3"/>
  <c r="AS15" i="3"/>
  <c r="AS11" i="3"/>
  <c r="AS27" i="3"/>
  <c r="AR23" i="3"/>
  <c r="AR33" i="3"/>
  <c r="AS17" i="3"/>
  <c r="AS26" i="3"/>
  <c r="AS47" i="3"/>
  <c r="AQ21" i="3"/>
  <c r="AQ16" i="3"/>
  <c r="AQ34" i="3"/>
  <c r="AQ28" i="3"/>
  <c r="AQ22" i="3"/>
  <c r="AP46" i="3"/>
  <c r="AP23" i="3"/>
  <c r="AQ9" i="3"/>
  <c r="AR46" i="3"/>
  <c r="AP33" i="3"/>
  <c r="AR14" i="3"/>
  <c r="AR15" i="3"/>
  <c r="AR28" i="3"/>
  <c r="AR27" i="3"/>
  <c r="AR10" i="3"/>
  <c r="AR52" i="3"/>
  <c r="AR21" i="3"/>
  <c r="AR17" i="3"/>
  <c r="AQ39" i="3"/>
  <c r="AP10" i="3"/>
  <c r="AQ40" i="3"/>
  <c r="AP39" i="3"/>
  <c r="AP35" i="3"/>
  <c r="AP52" i="3"/>
  <c r="AP38" i="3"/>
  <c r="AP14" i="3"/>
  <c r="AR50" i="3"/>
  <c r="AQ11" i="3"/>
  <c r="AP16" i="3"/>
  <c r="AR11" i="3"/>
  <c r="AR8" i="3"/>
  <c r="AR32" i="3"/>
  <c r="AR39" i="3"/>
  <c r="AS22" i="3"/>
  <c r="AS16" i="3"/>
  <c r="AR40" i="3"/>
  <c r="AS14" i="3"/>
  <c r="AQ45" i="3"/>
  <c r="AQ38" i="3"/>
  <c r="AP27" i="3"/>
  <c r="AP41" i="3"/>
  <c r="AP40" i="3"/>
  <c r="AQ51" i="3"/>
  <c r="AQ27" i="3"/>
  <c r="AP21" i="3"/>
  <c r="AS50" i="3"/>
  <c r="AP34" i="3"/>
  <c r="AR51" i="3"/>
  <c r="AR22" i="3"/>
  <c r="AS23" i="3"/>
  <c r="AR9" i="3"/>
  <c r="AS33" i="3"/>
  <c r="AS46" i="3"/>
  <c r="AS32" i="3"/>
  <c r="AS41" i="3"/>
  <c r="AQ41" i="3"/>
  <c r="AQ14" i="3"/>
  <c r="AP53" i="3"/>
  <c r="AP8" i="3"/>
  <c r="AQ44" i="3"/>
  <c r="AP15" i="3"/>
  <c r="AQ33" i="3"/>
  <c r="AQ47" i="3"/>
  <c r="AS44" i="3"/>
  <c r="AP26" i="3"/>
  <c r="AS10" i="3"/>
  <c r="AR47" i="3"/>
  <c r="AR45" i="3"/>
  <c r="AR41" i="3"/>
  <c r="AR34" i="3"/>
  <c r="AS38" i="3"/>
  <c r="AS52" i="3"/>
  <c r="AS20" i="3"/>
  <c r="AP51" i="3"/>
  <c r="AQ52" i="3"/>
  <c r="AQ10" i="3"/>
  <c r="AP9" i="3"/>
  <c r="AQ32" i="3"/>
  <c r="AQ35" i="3"/>
  <c r="AP11" i="3"/>
  <c r="AQ29" i="3"/>
  <c r="AR29" i="3"/>
  <c r="AS9" i="3"/>
  <c r="AS29" i="3"/>
  <c r="AR44" i="3"/>
  <c r="AS40" i="3"/>
  <c r="AS53" i="3"/>
  <c r="AS39" i="3"/>
  <c r="AS34" i="3"/>
  <c r="AR38" i="3"/>
  <c r="AS8" i="3"/>
  <c r="AQ50" i="3"/>
  <c r="AP47" i="3"/>
  <c r="AP50" i="3"/>
  <c r="AQ26" i="3"/>
  <c r="AP32" i="3"/>
  <c r="AQ20" i="3"/>
  <c r="AQ23" i="3"/>
  <c r="AP22" i="3"/>
  <c r="AS51" i="3"/>
  <c r="AP29" i="3"/>
  <c r="V25" i="3"/>
  <c r="W25" i="3"/>
  <c r="W36" i="3"/>
  <c r="V36" i="3"/>
  <c r="V30" i="3"/>
  <c r="W30" i="3"/>
  <c r="W35" i="3"/>
  <c r="V35" i="3"/>
  <c r="W45" i="3"/>
  <c r="V45" i="3"/>
  <c r="W11" i="3"/>
  <c r="V11" i="3"/>
  <c r="V33" i="3"/>
  <c r="W33" i="3"/>
  <c r="W19" i="3"/>
  <c r="V19" i="3"/>
  <c r="V53" i="3"/>
  <c r="W53" i="3"/>
  <c r="W17" i="3"/>
  <c r="V17" i="3"/>
  <c r="W22" i="3"/>
  <c r="V22" i="3"/>
  <c r="V27" i="3"/>
  <c r="W27" i="3"/>
  <c r="V14" i="3"/>
  <c r="W14" i="3"/>
  <c r="W38" i="3"/>
  <c r="V38" i="3"/>
  <c r="V29" i="3"/>
  <c r="W29" i="3"/>
  <c r="W15" i="3"/>
  <c r="V15" i="3"/>
  <c r="W51" i="3"/>
  <c r="V51" i="3"/>
  <c r="W47" i="3"/>
  <c r="V47" i="3"/>
  <c r="W13" i="3"/>
  <c r="V13" i="3"/>
  <c r="AQ18" i="3" l="1"/>
  <c r="AT11" i="3"/>
  <c r="AT28" i="3"/>
  <c r="AQ30" i="3"/>
  <c r="AT45" i="3"/>
  <c r="AT15" i="3"/>
  <c r="AT17" i="3"/>
  <c r="AS24" i="3"/>
  <c r="AT21" i="3"/>
  <c r="AT41" i="3"/>
  <c r="AT47" i="3"/>
  <c r="AT22" i="3"/>
  <c r="AQ12" i="3"/>
  <c r="AQ24" i="3"/>
  <c r="AS48" i="3"/>
  <c r="AS12" i="3"/>
  <c r="AT38" i="3"/>
  <c r="AR42" i="3"/>
  <c r="AT29" i="3"/>
  <c r="AP18" i="3"/>
  <c r="AP24" i="3"/>
  <c r="AR30" i="3"/>
  <c r="AT26" i="3"/>
  <c r="AT50" i="3"/>
  <c r="AR54" i="3"/>
  <c r="AP30" i="3"/>
  <c r="AT39" i="3"/>
  <c r="AP42" i="3"/>
  <c r="AT46" i="3"/>
  <c r="AT35" i="3"/>
  <c r="AP12" i="3"/>
  <c r="AP36" i="3"/>
  <c r="AT51" i="3"/>
  <c r="AR36" i="3"/>
  <c r="AT32" i="3"/>
  <c r="AT52" i="3"/>
  <c r="AP48" i="3"/>
  <c r="AT9" i="3"/>
  <c r="AS42" i="3"/>
  <c r="AQ42" i="3"/>
  <c r="AR12" i="3"/>
  <c r="AT8" i="3"/>
  <c r="AT10" i="3"/>
  <c r="AS30" i="3"/>
  <c r="AP54" i="3"/>
  <c r="AQ36" i="3"/>
  <c r="AT34" i="3"/>
  <c r="AS36" i="3"/>
  <c r="AS54" i="3"/>
  <c r="AT27" i="3"/>
  <c r="AT16" i="3"/>
  <c r="AT44" i="3"/>
  <c r="AR48" i="3"/>
  <c r="AS18" i="3"/>
  <c r="AT33" i="3"/>
  <c r="AT20" i="3"/>
  <c r="AR24" i="3"/>
  <c r="AT14" i="3"/>
  <c r="AR18" i="3"/>
  <c r="AQ54" i="3"/>
  <c r="AQ48" i="3"/>
  <c r="AT40" i="3"/>
  <c r="AT23" i="3"/>
  <c r="AT53" i="3"/>
  <c r="AT18" i="3" l="1"/>
  <c r="AL14" i="3" s="1"/>
  <c r="AT36" i="3"/>
  <c r="AL33" i="3" s="1"/>
  <c r="AT42" i="3"/>
  <c r="AL39" i="3" s="1"/>
  <c r="AT48" i="3"/>
  <c r="AL45" i="3" s="1"/>
  <c r="AT24" i="3"/>
  <c r="AT54" i="3"/>
  <c r="AL52" i="3" s="1"/>
  <c r="AT30" i="3"/>
  <c r="AL27" i="3" s="1"/>
  <c r="AT12" i="3"/>
  <c r="AL11" i="3" s="1"/>
  <c r="AL16" i="3" l="1"/>
  <c r="AL32" i="3"/>
  <c r="AL34" i="3"/>
  <c r="AL35" i="3"/>
  <c r="AL17" i="3"/>
  <c r="AL15" i="3"/>
  <c r="AL47" i="3"/>
  <c r="AL38" i="3"/>
  <c r="AL44" i="3"/>
  <c r="AL40" i="3"/>
  <c r="AL41" i="3"/>
  <c r="AL46" i="3"/>
  <c r="AL29" i="3"/>
  <c r="AL22" i="3"/>
  <c r="AL21" i="3"/>
  <c r="AL51" i="3"/>
  <c r="AL50" i="3"/>
  <c r="AL28" i="3"/>
  <c r="AL26" i="3"/>
  <c r="AL9" i="3"/>
  <c r="AL8" i="3"/>
  <c r="AL53" i="3"/>
  <c r="AL10" i="3"/>
  <c r="AL20" i="3"/>
  <c r="AL23" i="3"/>
  <c r="AL18" i="3" l="1"/>
  <c r="AN15" i="3" s="1"/>
  <c r="AL36" i="3"/>
  <c r="AN35" i="3" s="1"/>
  <c r="AL42" i="3"/>
  <c r="AN40" i="3" s="1"/>
  <c r="AL48" i="3"/>
  <c r="AN45" i="3" s="1"/>
  <c r="AL12" i="3"/>
  <c r="AN11" i="3" s="1"/>
  <c r="AL24" i="3"/>
  <c r="AN23" i="3" s="1"/>
  <c r="AL54" i="3"/>
  <c r="AN52" i="3" s="1"/>
  <c r="AL30" i="3"/>
  <c r="AN27" i="3" s="1"/>
  <c r="AN34" i="3" l="1"/>
  <c r="AN32" i="3"/>
  <c r="AN16" i="3"/>
  <c r="AN17" i="3"/>
  <c r="AN41" i="3"/>
  <c r="AN14" i="3"/>
  <c r="AN33" i="3"/>
  <c r="AN28" i="3"/>
  <c r="AN38" i="3"/>
  <c r="AN39" i="3"/>
  <c r="AN47" i="3"/>
  <c r="AN10" i="3"/>
  <c r="AN44" i="3"/>
  <c r="AN46" i="3"/>
  <c r="AN21" i="3"/>
  <c r="AN20" i="3"/>
  <c r="AN9" i="3"/>
  <c r="AN22" i="3"/>
  <c r="AN50" i="3"/>
  <c r="AN51" i="3"/>
  <c r="AN29" i="3"/>
  <c r="AN26" i="3"/>
  <c r="AN8" i="3"/>
  <c r="AN53" i="3"/>
  <c r="AA17" i="3" l="1"/>
  <c r="AA40" i="3"/>
  <c r="AA8" i="3"/>
  <c r="AA32" i="3"/>
  <c r="AA16" i="3"/>
  <c r="AA9" i="3"/>
  <c r="AA41" i="3"/>
  <c r="AA15" i="3"/>
  <c r="AA14" i="3"/>
  <c r="O15" i="3" s="1"/>
  <c r="AA34" i="3"/>
  <c r="AA33" i="3"/>
  <c r="AA35" i="3"/>
  <c r="AA46" i="3"/>
  <c r="AA53" i="3"/>
  <c r="AA28" i="3"/>
  <c r="AA39" i="3"/>
  <c r="AA21" i="3"/>
  <c r="AA38" i="3"/>
  <c r="AA45" i="3"/>
  <c r="AA20" i="3"/>
  <c r="AA47" i="3"/>
  <c r="AA44" i="3"/>
  <c r="AA11" i="3"/>
  <c r="AA29" i="3"/>
  <c r="AA23" i="3"/>
  <c r="AA22" i="3"/>
  <c r="AA50" i="3"/>
  <c r="AA10" i="3"/>
  <c r="AA27" i="3"/>
  <c r="AA52" i="3"/>
  <c r="AA26" i="3"/>
  <c r="AA51" i="3"/>
  <c r="L21" i="3" l="1"/>
  <c r="N33" i="3"/>
  <c r="J39" i="3"/>
  <c r="AO38" i="3" s="1"/>
  <c r="AZ34" i="3" s="1"/>
  <c r="S64" i="3" s="1"/>
  <c r="T64" i="3" s="1"/>
  <c r="L15" i="3"/>
  <c r="M15" i="3"/>
  <c r="J17" i="3"/>
  <c r="N15" i="3"/>
  <c r="M16" i="3"/>
  <c r="O17" i="3"/>
  <c r="J15" i="3"/>
  <c r="AO14" i="3" s="1"/>
  <c r="AZ26" i="3" s="1"/>
  <c r="L17" i="3"/>
  <c r="L11" i="3"/>
  <c r="N17" i="3"/>
  <c r="J16" i="3"/>
  <c r="AO15" i="3" s="1"/>
  <c r="AZ11" i="3" s="1"/>
  <c r="L33" i="3"/>
  <c r="M11" i="3"/>
  <c r="M18" i="3"/>
  <c r="O33" i="3"/>
  <c r="M33" i="3"/>
  <c r="J36" i="3"/>
  <c r="J33" i="3"/>
  <c r="AO32" i="3" s="1"/>
  <c r="AZ18" i="3" s="1"/>
  <c r="S62" i="3" s="1"/>
  <c r="T62" i="3" s="1"/>
  <c r="BG20" i="3" s="1"/>
  <c r="O10" i="3"/>
  <c r="L10" i="3"/>
  <c r="J12" i="3"/>
  <c r="N12" i="3"/>
  <c r="N10" i="3"/>
  <c r="M10" i="3"/>
  <c r="J10" i="3"/>
  <c r="AO9" i="3" s="1"/>
  <c r="N39" i="3"/>
  <c r="N16" i="3"/>
  <c r="M35" i="3"/>
  <c r="O16" i="3"/>
  <c r="J18" i="3"/>
  <c r="L16" i="3"/>
  <c r="M17" i="3"/>
  <c r="O18" i="3"/>
  <c r="J48" i="3"/>
  <c r="N18" i="3"/>
  <c r="L18" i="3"/>
  <c r="L36" i="3"/>
  <c r="L41" i="3"/>
  <c r="N11" i="3"/>
  <c r="O34" i="3"/>
  <c r="O35" i="3"/>
  <c r="L34" i="3"/>
  <c r="N47" i="3"/>
  <c r="O40" i="3"/>
  <c r="O36" i="3"/>
  <c r="J35" i="3"/>
  <c r="L35" i="3"/>
  <c r="M36" i="3"/>
  <c r="N35" i="3"/>
  <c r="L47" i="3"/>
  <c r="M34" i="3"/>
  <c r="N36" i="3"/>
  <c r="N46" i="3"/>
  <c r="L46" i="3"/>
  <c r="M45" i="3"/>
  <c r="O46" i="3"/>
  <c r="M22" i="3"/>
  <c r="O48" i="3"/>
  <c r="L39" i="3"/>
  <c r="N34" i="3"/>
  <c r="J34" i="3"/>
  <c r="AO33" i="3" s="1"/>
  <c r="AZ35" i="3" s="1"/>
  <c r="N45" i="3"/>
  <c r="M46" i="3"/>
  <c r="J45" i="3"/>
  <c r="J47" i="3"/>
  <c r="O47" i="3"/>
  <c r="M41" i="3"/>
  <c r="N48" i="3"/>
  <c r="L45" i="3"/>
  <c r="J46" i="3"/>
  <c r="O45" i="3"/>
  <c r="M47" i="3"/>
  <c r="L42" i="3"/>
  <c r="N42" i="3"/>
  <c r="L24" i="3"/>
  <c r="M40" i="3"/>
  <c r="O41" i="3"/>
  <c r="M24" i="3"/>
  <c r="L40" i="3"/>
  <c r="O42" i="3"/>
  <c r="O9" i="3"/>
  <c r="N24" i="3"/>
  <c r="N41" i="3"/>
  <c r="M39" i="3"/>
  <c r="O21" i="3"/>
  <c r="O39" i="3"/>
  <c r="N40" i="3"/>
  <c r="L22" i="3"/>
  <c r="O24" i="3"/>
  <c r="J41" i="3"/>
  <c r="J24" i="3"/>
  <c r="J40" i="3"/>
  <c r="AO39" i="3" s="1"/>
  <c r="AZ19" i="3" s="1"/>
  <c r="M42" i="3"/>
  <c r="J42" i="3"/>
  <c r="N21" i="3"/>
  <c r="M48" i="3"/>
  <c r="M23" i="3"/>
  <c r="L48" i="3"/>
  <c r="L23" i="3"/>
  <c r="J54" i="3"/>
  <c r="J11" i="3"/>
  <c r="J23" i="3"/>
  <c r="O11" i="3"/>
  <c r="O22" i="3"/>
  <c r="N9" i="3"/>
  <c r="J21" i="3"/>
  <c r="AO20" i="3" s="1"/>
  <c r="AZ14" i="3" s="1"/>
  <c r="S59" i="3" s="1"/>
  <c r="T59" i="3" s="1"/>
  <c r="N51" i="3"/>
  <c r="O54" i="3"/>
  <c r="M21" i="3"/>
  <c r="O12" i="3"/>
  <c r="M54" i="3"/>
  <c r="N23" i="3"/>
  <c r="J22" i="3"/>
  <c r="AO21" i="3" s="1"/>
  <c r="AZ31" i="3" s="1"/>
  <c r="N22" i="3"/>
  <c r="L54" i="3"/>
  <c r="O23" i="3"/>
  <c r="N54" i="3"/>
  <c r="N52" i="3"/>
  <c r="O53" i="3"/>
  <c r="J52" i="3"/>
  <c r="M52" i="3"/>
  <c r="M9" i="3"/>
  <c r="L12" i="3"/>
  <c r="AO44" i="3"/>
  <c r="AZ22" i="3" s="1"/>
  <c r="S63" i="3" s="1"/>
  <c r="T63" i="3" s="1"/>
  <c r="L51" i="3"/>
  <c r="M51" i="3"/>
  <c r="L52" i="3"/>
  <c r="J53" i="3"/>
  <c r="N27" i="3"/>
  <c r="M29" i="3"/>
  <c r="M27" i="3"/>
  <c r="J28" i="3"/>
  <c r="N29" i="3"/>
  <c r="L29" i="3"/>
  <c r="J30" i="3"/>
  <c r="O29" i="3"/>
  <c r="L27" i="3"/>
  <c r="L28" i="3"/>
  <c r="J29" i="3"/>
  <c r="O28" i="3"/>
  <c r="J27" i="3"/>
  <c r="M30" i="3"/>
  <c r="M28" i="3"/>
  <c r="O30" i="3"/>
  <c r="O27" i="3"/>
  <c r="N28" i="3"/>
  <c r="N30" i="3"/>
  <c r="L30" i="3"/>
  <c r="M12" i="3"/>
  <c r="M53" i="3"/>
  <c r="L53" i="3"/>
  <c r="O51" i="3"/>
  <c r="J9" i="3"/>
  <c r="AO45" i="3"/>
  <c r="L9" i="3"/>
  <c r="O52" i="3"/>
  <c r="N53" i="3"/>
  <c r="J51" i="3"/>
  <c r="P21" i="3" l="1"/>
  <c r="K15" i="3"/>
  <c r="P15" i="3"/>
  <c r="P16" i="3"/>
  <c r="P18" i="3"/>
  <c r="P11" i="3"/>
  <c r="P17" i="3"/>
  <c r="P46" i="3"/>
  <c r="P33" i="3"/>
  <c r="K11" i="3"/>
  <c r="K16" i="3"/>
  <c r="K33" i="3"/>
  <c r="K10" i="3"/>
  <c r="P10" i="3"/>
  <c r="K47" i="3"/>
  <c r="K42" i="3"/>
  <c r="K18" i="3"/>
  <c r="P23" i="3"/>
  <c r="P41" i="3"/>
  <c r="K48" i="3"/>
  <c r="K40" i="3"/>
  <c r="P36" i="3"/>
  <c r="K24" i="3"/>
  <c r="P47" i="3"/>
  <c r="P34" i="3"/>
  <c r="P35" i="3"/>
  <c r="P48" i="3"/>
  <c r="K17" i="3"/>
  <c r="K35" i="3"/>
  <c r="P24" i="3"/>
  <c r="K46" i="3"/>
  <c r="K45" i="3"/>
  <c r="K41" i="3"/>
  <c r="P40" i="3"/>
  <c r="K34" i="3"/>
  <c r="P39" i="3"/>
  <c r="K36" i="3"/>
  <c r="P45" i="3"/>
  <c r="P22" i="3"/>
  <c r="K21" i="3"/>
  <c r="K23" i="3"/>
  <c r="P42" i="3"/>
  <c r="K39" i="3"/>
  <c r="K22" i="3"/>
  <c r="K54" i="3"/>
  <c r="P54" i="3"/>
  <c r="AZ27" i="3"/>
  <c r="S60" i="3" s="1"/>
  <c r="T60" i="3" s="1"/>
  <c r="BG28" i="3" s="1"/>
  <c r="AZ39" i="3"/>
  <c r="S65" i="3" s="1"/>
  <c r="T65" i="3" s="1"/>
  <c r="BG37" i="3" s="1"/>
  <c r="S72" i="3" s="1"/>
  <c r="T72" i="3" s="1"/>
  <c r="BG21" i="3"/>
  <c r="S70" i="3" s="1"/>
  <c r="T70" i="3" s="1"/>
  <c r="BG36" i="3"/>
  <c r="K29" i="3"/>
  <c r="P29" i="3"/>
  <c r="K51" i="3"/>
  <c r="P51" i="3"/>
  <c r="AO51" i="3"/>
  <c r="AZ23" i="3" s="1"/>
  <c r="AO50" i="3"/>
  <c r="AZ38" i="3" s="1"/>
  <c r="P9" i="3"/>
  <c r="K9" i="3"/>
  <c r="K30" i="3"/>
  <c r="P30" i="3"/>
  <c r="AO27" i="3"/>
  <c r="AZ15" i="3" s="1"/>
  <c r="AO26" i="3"/>
  <c r="P12" i="3"/>
  <c r="K12" i="3"/>
  <c r="BG13" i="3"/>
  <c r="S69" i="3" s="1"/>
  <c r="T69" i="3" s="1"/>
  <c r="K53" i="3"/>
  <c r="P53" i="3"/>
  <c r="P28" i="3"/>
  <c r="K28" i="3"/>
  <c r="AO8" i="3"/>
  <c r="AZ10" i="3" s="1"/>
  <c r="S58" i="3" s="1"/>
  <c r="T58" i="3" s="1"/>
  <c r="K27" i="3"/>
  <c r="P27" i="3"/>
  <c r="K52" i="3"/>
  <c r="P52" i="3"/>
  <c r="BN33" i="3" l="1"/>
  <c r="U77" i="3" s="1"/>
  <c r="Z77" i="3" s="1"/>
  <c r="BU36" i="3" s="1"/>
  <c r="AZ30" i="3"/>
  <c r="S61" i="3" s="1"/>
  <c r="T61" i="3" s="1"/>
  <c r="BG29" i="3" s="1"/>
  <c r="BN17" i="3"/>
  <c r="BG12" i="3"/>
  <c r="BN16" i="3" s="1"/>
  <c r="S71" i="3" l="1"/>
  <c r="T71" i="3" s="1"/>
  <c r="BN32" i="3" s="1"/>
  <c r="S77" i="3" s="1"/>
  <c r="T77" i="3" s="1"/>
  <c r="BU24" i="3" s="1"/>
  <c r="U76" i="3"/>
  <c r="Z76" i="3" s="1"/>
  <c r="BU35" i="3" s="1"/>
  <c r="T81" i="3" s="1"/>
  <c r="S76" i="3"/>
  <c r="T76" i="3" s="1"/>
  <c r="BU23" i="3" s="1"/>
  <c r="S85" i="3" s="1"/>
  <c r="T85" i="3" l="1"/>
  <c r="BR41" i="3"/>
</calcChain>
</file>

<file path=xl/sharedStrings.xml><?xml version="1.0" encoding="utf-8"?>
<sst xmlns="http://schemas.openxmlformats.org/spreadsheetml/2006/main" count="4373" uniqueCount="2535">
  <si>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</si>
  <si>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</si>
  <si>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</si>
  <si>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</si>
  <si>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</si>
  <si>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</si>
  <si>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</si>
  <si>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</si>
  <si>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</si>
  <si>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</si>
  <si>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</si>
  <si>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</si>
  <si>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</si>
  <si>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</si>
  <si>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</si>
  <si>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</si>
  <si>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</si>
  <si>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</si>
  <si>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</si>
  <si>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</si>
  <si>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</si>
  <si>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</si>
  <si>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</si>
  <si>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</si>
  <si>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</si>
  <si>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</si>
  <si>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</si>
  <si>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</si>
  <si>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</si>
  <si>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</si>
  <si>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</si>
  <si>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</si>
  <si>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</si>
  <si>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</si>
  <si>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</si>
  <si>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</si>
  <si>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</si>
  <si>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</si>
  <si>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</si>
  <si>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</si>
  <si>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</si>
  <si>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</si>
  <si>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</si>
  <si>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</si>
  <si>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</si>
  <si>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</si>
  <si>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</si>
  <si>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</si>
  <si>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</si>
  <si>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</si>
  <si>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</si>
  <si>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</si>
  <si>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</si>
  <si>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</si>
  <si>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</si>
  <si>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</si>
  <si>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</si>
  <si>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</si>
  <si>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</si>
  <si>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</si>
  <si>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</si>
  <si>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</si>
  <si>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</si>
  <si>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</si>
  <si>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</si>
  <si>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</si>
  <si>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</si>
  <si>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</si>
  <si>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</si>
  <si>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</si>
  <si>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</si>
  <si>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</si>
  <si>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</si>
  <si>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</si>
  <si>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</si>
  <si>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</si>
  <si>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</si>
  <si>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</si>
  <si>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</si>
  <si>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</si>
  <si>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</si>
  <si>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</si>
  <si>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</si>
  <si>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</si>
  <si>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</si>
  <si>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</si>
  <si>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</si>
  <si>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</si>
  <si>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</si>
  <si>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</si>
  <si>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</si>
  <si>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</si>
  <si>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</si>
  <si>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</si>
  <si>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</si>
  <si>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</si>
  <si>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</si>
  <si>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</si>
  <si>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</si>
  <si>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</si>
  <si>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</si>
  <si>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</si>
  <si>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</si>
  <si>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</si>
  <si>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</si>
  <si>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</si>
  <si>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</si>
  <si>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</si>
  <si>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</si>
  <si>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</si>
  <si>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</si>
  <si>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</si>
  <si>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</si>
  <si>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</si>
  <si>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</si>
  <si>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</si>
  <si>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</si>
  <si>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</si>
  <si>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</si>
  <si>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</si>
  <si>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</si>
  <si>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</si>
  <si>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</si>
  <si>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</si>
  <si>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</si>
  <si>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</si>
  <si>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</si>
  <si>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</si>
  <si>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</si>
  <si>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</si>
  <si>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</si>
  <si>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</si>
  <si>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</si>
  <si>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</si>
  <si>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</si>
  <si>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</si>
  <si>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</si>
  <si>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</si>
  <si>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</si>
  <si>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</si>
  <si>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</si>
  <si>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</si>
  <si>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</si>
  <si>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</si>
  <si>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</si>
  <si>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</si>
  <si>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</si>
  <si>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</si>
  <si>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</si>
  <si>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</si>
  <si>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</si>
  <si>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</si>
  <si>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</si>
  <si>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</si>
  <si>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</si>
  <si>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</si>
  <si>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</si>
  <si>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</si>
  <si>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</si>
  <si>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</si>
  <si>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</si>
  <si>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</si>
  <si>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</si>
  <si>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</si>
  <si>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</si>
  <si>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</si>
  <si>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</si>
  <si>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</si>
  <si>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</si>
  <si>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</si>
  <si>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</si>
  <si>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</si>
  <si>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</si>
  <si>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</si>
  <si>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</si>
  <si>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</si>
  <si>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</si>
  <si>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</si>
  <si>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</si>
  <si>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</si>
  <si>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</si>
  <si>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</si>
  <si>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</si>
  <si>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</si>
  <si>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</si>
  <si>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</si>
  <si>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</si>
  <si>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</si>
  <si>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</si>
  <si>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</si>
  <si>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</si>
  <si>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</si>
  <si>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</si>
  <si>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</si>
  <si>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</si>
  <si>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</si>
  <si>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</si>
  <si>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</si>
  <si>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</si>
  <si>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</si>
  <si>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</si>
  <si>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</si>
  <si>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</si>
  <si>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</si>
  <si>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</si>
  <si>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</si>
  <si>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</si>
  <si>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</si>
  <si>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</si>
  <si>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</si>
  <si>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</si>
  <si>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</si>
  <si>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</si>
  <si>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</si>
  <si>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</si>
  <si>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</si>
  <si>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</si>
  <si>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</si>
  <si>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</si>
  <si>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</si>
  <si>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</si>
  <si>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</si>
  <si>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</si>
  <si>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</si>
  <si>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</si>
  <si>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</si>
  <si>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</si>
  <si>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</si>
  <si>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</si>
  <si>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</si>
  <si>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</si>
  <si>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</si>
  <si>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</si>
  <si>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</si>
  <si>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</si>
  <si>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</si>
  <si>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</si>
  <si>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</si>
  <si>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</si>
  <si>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</si>
  <si>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</si>
  <si>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</si>
  <si>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</si>
  <si>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</si>
  <si>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</si>
  <si>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</si>
  <si>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</si>
  <si>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</si>
  <si>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</si>
  <si>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</si>
  <si>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</si>
  <si>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</si>
  <si>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</si>
  <si>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</si>
  <si>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</si>
  <si>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</si>
  <si>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</si>
  <si>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</si>
  <si>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</si>
  <si>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</si>
  <si>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</si>
  <si>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</si>
  <si>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</si>
  <si>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</si>
  <si>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</si>
  <si>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</si>
  <si>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</si>
  <si>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</si>
  <si>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</si>
  <si>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</si>
  <si>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</si>
  <si>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</si>
  <si>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</si>
  <si>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</si>
  <si>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</si>
  <si>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</si>
  <si>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</si>
  <si>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</si>
  <si>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</si>
  <si>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</si>
  <si>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</si>
  <si>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</si>
  <si>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</si>
  <si>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</si>
  <si>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</si>
  <si>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</si>
  <si>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</si>
  <si>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</si>
  <si>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</si>
  <si>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</si>
  <si>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</si>
  <si>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</si>
  <si>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</si>
  <si>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</si>
  <si>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</si>
  <si>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</si>
  <si>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</si>
  <si>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</si>
  <si>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</si>
  <si>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</si>
  <si>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</si>
  <si>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</si>
  <si>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</si>
  <si>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</si>
  <si>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</si>
  <si>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</si>
  <si>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</si>
  <si>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</si>
  <si>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</si>
  <si>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</si>
  <si>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</si>
  <si>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</si>
  <si>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</si>
  <si>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</si>
  <si>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</si>
  <si>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</si>
  <si>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</si>
  <si>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</si>
  <si>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</si>
  <si>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</si>
  <si>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</si>
  <si>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</si>
  <si>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</si>
  <si>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</si>
  <si>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</si>
  <si>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</si>
  <si>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</si>
  <si>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</si>
  <si>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</si>
  <si>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</si>
  <si>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</si>
  <si>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</si>
  <si>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</si>
  <si>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</si>
  <si>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</si>
  <si>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</si>
  <si>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</si>
  <si>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</si>
  <si>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</si>
  <si>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</si>
  <si>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</si>
  <si>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</si>
  <si>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</si>
  <si>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</si>
  <si>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</si>
  <si>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</si>
  <si>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</si>
  <si>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</si>
  <si>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</si>
  <si>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</si>
  <si>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</si>
  <si>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</si>
  <si>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</si>
  <si>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</si>
  <si>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</si>
  <si>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</si>
  <si>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</si>
  <si>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</si>
  <si>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</si>
  <si>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</si>
  <si>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</si>
  <si>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</si>
  <si>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</si>
  <si>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</si>
  <si>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</si>
  <si>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</si>
  <si>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</si>
  <si>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</si>
  <si>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</si>
  <si>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</si>
  <si>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</si>
  <si>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</si>
  <si>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</si>
  <si>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</si>
  <si>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</si>
  <si>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</si>
  <si>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</si>
  <si>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</si>
  <si>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</si>
  <si>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</si>
  <si>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</si>
  <si>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</si>
  <si>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</si>
  <si>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</si>
  <si>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</si>
  <si>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</si>
  <si>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</si>
  <si>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</si>
  <si>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</si>
  <si>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</si>
  <si>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</si>
  <si>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</si>
  <si>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</si>
  <si>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</si>
  <si>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</si>
  <si>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</si>
  <si>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</si>
  <si>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</si>
  <si>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</si>
  <si>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</si>
  <si>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</si>
  <si>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</si>
  <si>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</si>
  <si>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</si>
  <si>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</si>
  <si>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</si>
  <si>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</si>
  <si>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</si>
  <si>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</si>
  <si>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</si>
  <si>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</si>
  <si>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</si>
  <si>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</si>
  <si>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</si>
  <si>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</si>
  <si>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</si>
  <si>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</si>
  <si>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</si>
  <si>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</si>
  <si>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</si>
  <si>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</si>
  <si>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</si>
  <si>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</si>
  <si>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</si>
  <si>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</si>
  <si>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</si>
  <si>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</si>
  <si>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</si>
  <si>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</si>
  <si>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</si>
  <si>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</si>
  <si>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</si>
  <si>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</si>
  <si>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</si>
  <si>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</si>
  <si>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</si>
  <si>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</si>
  <si>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</si>
  <si>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</si>
  <si>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</si>
  <si>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</si>
  <si>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</si>
  <si>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</si>
  <si>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</si>
  <si>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</si>
  <si>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</si>
  <si>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</si>
  <si>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</si>
  <si>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</si>
  <si>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</si>
  <si>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</si>
  <si>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</si>
  <si>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</si>
  <si>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</si>
  <si>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</si>
  <si>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</si>
  <si>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</si>
  <si>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</si>
  <si>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</si>
  <si>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</si>
  <si>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</si>
  <si>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</si>
  <si>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</si>
  <si>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</si>
  <si>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</si>
  <si>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</si>
  <si>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</si>
  <si>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</si>
  <si>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</si>
  <si>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</si>
  <si>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</si>
  <si>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</si>
  <si>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</si>
  <si>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</si>
  <si>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</si>
  <si>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</si>
  <si>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</si>
  <si>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</si>
  <si>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</si>
  <si>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</si>
  <si>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</si>
  <si>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</si>
  <si>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</si>
  <si>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</si>
  <si>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</si>
  <si>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</si>
  <si>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</si>
  <si>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</si>
  <si>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</si>
  <si>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</si>
  <si>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</si>
  <si>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</si>
  <si>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</si>
  <si>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</si>
  <si>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</si>
  <si>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</si>
  <si>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</si>
  <si>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</si>
  <si>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</si>
  <si>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</si>
  <si>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</si>
  <si>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</si>
  <si>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</si>
  <si>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</si>
  <si>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</si>
  <si>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</si>
  <si>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</si>
  <si>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</si>
  <si>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</si>
  <si>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</si>
  <si>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</si>
  <si>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</si>
  <si>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</si>
  <si>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</si>
  <si>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</si>
  <si>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</si>
  <si>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</si>
  <si>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</si>
  <si>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</si>
  <si>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</si>
  <si>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</si>
  <si>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</si>
  <si>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</si>
  <si>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</si>
  <si>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</si>
  <si>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</si>
  <si>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</si>
  <si>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</si>
  <si>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</si>
  <si>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</si>
  <si>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</si>
  <si>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</si>
  <si>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</si>
  <si>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</si>
  <si>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</si>
  <si>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</si>
  <si>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</si>
  <si>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</si>
  <si>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</si>
  <si>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</si>
  <si>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</si>
  <si>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</si>
  <si>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</si>
  <si>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</si>
  <si>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</si>
  <si>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</si>
  <si>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</si>
  <si>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</si>
  <si>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</si>
  <si>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</si>
  <si>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</si>
  <si>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</si>
  <si>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</si>
  <si>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</si>
  <si>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</si>
  <si>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</si>
  <si>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</si>
  <si>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</si>
  <si>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</si>
  <si>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</si>
  <si>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</si>
  <si>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</si>
  <si>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</si>
  <si>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</si>
  <si>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</si>
  <si>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</si>
  <si>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</si>
  <si>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</si>
  <si>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</si>
  <si>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</si>
  <si>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</si>
  <si>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</si>
  <si>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</si>
  <si>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</si>
  <si>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</si>
  <si>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</si>
  <si>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</si>
  <si>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</si>
  <si>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</si>
  <si>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</si>
  <si>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</si>
  <si>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</si>
  <si>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</si>
  <si>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</si>
  <si>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</si>
  <si>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</si>
  <si>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</si>
  <si>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</si>
  <si>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</si>
  <si>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</si>
  <si>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</si>
  <si>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</si>
  <si>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</si>
  <si>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</si>
  <si>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</si>
  <si>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</si>
  <si>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</si>
  <si>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</si>
  <si>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</si>
  <si>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</si>
  <si>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</si>
  <si>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</si>
  <si>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</si>
  <si>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</si>
  <si>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</si>
  <si>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</si>
  <si>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</si>
  <si>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</si>
  <si>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</si>
  <si>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</si>
  <si>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</si>
  <si>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</si>
  <si>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</si>
  <si>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</si>
  <si>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</si>
  <si>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</si>
  <si>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</si>
  <si>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</si>
  <si>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</si>
  <si>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</si>
  <si>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</si>
  <si>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</si>
  <si>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</si>
  <si>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</si>
  <si>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</si>
  <si>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</si>
  <si>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</si>
  <si>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</si>
  <si>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</si>
  <si>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</si>
  <si>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</si>
  <si>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</si>
  <si>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</si>
  <si>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</si>
  <si>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</si>
  <si>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</si>
  <si>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</si>
  <si>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</si>
  <si>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</si>
  <si>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</si>
  <si>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</si>
  <si>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</si>
  <si>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</si>
  <si>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</si>
  <si>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</si>
  <si>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</si>
  <si>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</si>
  <si>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</si>
  <si>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</si>
  <si>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</si>
  <si>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</si>
  <si>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</si>
  <si>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</si>
  <si>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</si>
  <si>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</si>
  <si>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</si>
  <si>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</si>
  <si>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</si>
  <si>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</si>
  <si>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</si>
  <si>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</si>
  <si>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</si>
  <si>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</si>
  <si>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</si>
  <si>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</si>
  <si>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</si>
  <si>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</si>
  <si>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</si>
  <si>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</si>
  <si>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</si>
  <si>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</si>
  <si>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</si>
  <si>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</si>
  <si>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</si>
  <si>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</si>
  <si>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</si>
  <si>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</si>
  <si>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</si>
  <si>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</si>
  <si>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</si>
  <si>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</si>
  <si>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</si>
  <si>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</si>
  <si>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</si>
  <si>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</si>
  <si>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</si>
  <si>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</si>
  <si>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</si>
  <si>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</si>
  <si>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</si>
  <si>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</si>
  <si>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</si>
  <si>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</si>
  <si>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</si>
  <si>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</si>
  <si>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</si>
  <si>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</si>
  <si>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</si>
  <si>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</si>
  <si>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</si>
  <si>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</si>
  <si>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</si>
  <si>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</si>
  <si>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</si>
  <si>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</si>
  <si>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</si>
  <si>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</si>
  <si>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</si>
  <si>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</si>
  <si>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</si>
  <si>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</si>
  <si>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</si>
  <si>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</si>
  <si>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</si>
  <si>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</si>
  <si>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</si>
  <si>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</si>
  <si>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</si>
  <si>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</si>
  <si>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</si>
  <si>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</si>
  <si>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</si>
  <si>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</si>
  <si>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</si>
  <si>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</si>
  <si>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</si>
  <si>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</si>
  <si>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</si>
  <si>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</si>
  <si>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</si>
  <si>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</si>
  <si>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</si>
  <si>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</si>
  <si>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</si>
  <si>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</si>
  <si>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</si>
  <si>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</si>
  <si>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</si>
  <si>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</si>
  <si>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</si>
  <si>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</si>
  <si>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</si>
  <si>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</si>
  <si>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</si>
  <si>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</si>
  <si>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</si>
  <si>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</si>
  <si>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</si>
  <si>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</si>
  <si>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</si>
  <si>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</si>
  <si>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</si>
  <si>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</si>
  <si>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</si>
  <si>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</si>
  <si>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</si>
  <si>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</si>
  <si>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</si>
  <si>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</si>
  <si>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</si>
  <si>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</si>
  <si>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</si>
  <si>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</si>
  <si>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</si>
  <si>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</si>
  <si>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</si>
  <si>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</si>
  <si>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</si>
  <si>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</si>
  <si>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</si>
  <si>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</si>
  <si>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</si>
  <si>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</si>
  <si>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</si>
  <si>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</si>
  <si>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</si>
  <si>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</si>
  <si>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</si>
  <si>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</si>
  <si>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</si>
  <si>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</si>
  <si>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</si>
  <si>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</si>
  <si>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</si>
  <si>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</si>
  <si>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</si>
  <si>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</si>
  <si>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</si>
  <si>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</si>
  <si>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</si>
  <si>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</si>
  <si>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</si>
  <si>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</si>
  <si>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</si>
  <si>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</si>
  <si>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</si>
  <si>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</si>
  <si>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</si>
  <si>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</si>
  <si>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</si>
  <si>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</si>
  <si>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</si>
  <si>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</si>
  <si>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</si>
  <si>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</si>
  <si>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</si>
  <si>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</si>
  <si>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</si>
  <si>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</si>
  <si>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</si>
  <si>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</si>
  <si>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</si>
  <si>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</si>
  <si>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</si>
  <si>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</si>
  <si>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</si>
  <si>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</si>
  <si>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</si>
  <si>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</si>
  <si>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</si>
  <si>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</si>
  <si>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</si>
  <si>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</si>
  <si>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</si>
  <si>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</si>
  <si>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</si>
  <si>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</si>
  <si>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</si>
  <si>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</si>
  <si>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</si>
  <si>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</si>
  <si>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</si>
  <si>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</si>
  <si>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</si>
  <si>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</si>
  <si>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</si>
  <si>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</si>
  <si>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</si>
  <si>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</si>
  <si>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</si>
  <si>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</si>
  <si>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</si>
  <si>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</si>
  <si>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</si>
  <si>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</si>
  <si>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</si>
  <si>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</si>
  <si>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</si>
  <si>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</si>
  <si>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</si>
  <si>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</si>
  <si>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</si>
  <si>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</si>
  <si>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</si>
  <si>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</si>
  <si>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</si>
  <si>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</si>
  <si>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</si>
  <si>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</si>
  <si>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</si>
  <si>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</si>
  <si>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</si>
  <si>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</si>
  <si>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</si>
  <si>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</si>
  <si>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</si>
  <si>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</si>
  <si>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</si>
  <si>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</si>
  <si>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</si>
  <si>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</si>
  <si>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</si>
  <si>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</si>
  <si>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</si>
  <si>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</si>
  <si>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</si>
  <si>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</si>
  <si>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</si>
  <si>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</si>
  <si>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</si>
  <si>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</si>
  <si>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</si>
  <si>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</si>
  <si>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</si>
  <si>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</si>
  <si>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</si>
  <si>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</si>
  <si>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</si>
  <si>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</si>
  <si>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</si>
  <si>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</si>
  <si>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</si>
  <si>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</si>
  <si>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</si>
  <si>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</si>
  <si>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</si>
  <si>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</si>
  <si>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</si>
  <si>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</si>
  <si>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</si>
  <si>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</si>
  <si>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</si>
  <si>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</si>
  <si>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</si>
  <si>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</si>
  <si>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</si>
  <si>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</si>
  <si>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</si>
  <si>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</si>
  <si>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</si>
  <si>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</si>
  <si>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</si>
  <si>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</si>
  <si>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</si>
  <si>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</si>
  <si>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</si>
  <si>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</si>
  <si>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</si>
  <si>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</si>
  <si>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</si>
  <si>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</si>
  <si>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</si>
  <si>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</si>
  <si>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</si>
  <si>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</si>
  <si>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</si>
  <si>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</si>
  <si>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</si>
  <si>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</si>
  <si>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</si>
  <si>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</si>
  <si>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</si>
  <si>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</si>
  <si>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</si>
  <si>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</si>
  <si>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</si>
  <si>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</si>
  <si>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</si>
  <si>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</si>
  <si>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</si>
  <si>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</si>
  <si>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</si>
  <si>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</si>
  <si>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</si>
  <si>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</si>
  <si>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</si>
  <si>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</si>
  <si>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</si>
  <si>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</si>
  <si>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</si>
  <si>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</si>
  <si>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</si>
  <si>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</si>
  <si>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</si>
  <si>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</si>
  <si>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</si>
  <si>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</si>
  <si>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</si>
  <si>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</si>
  <si>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</si>
  <si>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</si>
  <si>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</si>
  <si>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</si>
  <si>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</si>
  <si>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</si>
  <si>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</si>
  <si>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</si>
  <si>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</si>
  <si>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</si>
  <si>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</si>
  <si>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</si>
  <si>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</si>
  <si>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</si>
  <si>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</si>
  <si>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</si>
  <si>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</si>
  <si>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</si>
  <si>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</si>
  <si>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</si>
  <si>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</si>
  <si>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</si>
  <si>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</si>
  <si>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</si>
  <si>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</si>
  <si>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</si>
  <si>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</si>
  <si>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</si>
  <si>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</si>
  <si>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</si>
  <si>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</si>
  <si>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</si>
  <si>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</si>
  <si>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</si>
  <si>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</si>
  <si>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</si>
  <si>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</si>
  <si>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</si>
  <si>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</si>
  <si>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</si>
  <si>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</si>
  <si>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</si>
  <si>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</si>
  <si>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</si>
  <si>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</si>
  <si>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</si>
  <si>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</si>
  <si>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</si>
  <si>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</si>
  <si>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</si>
  <si>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</si>
  <si>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</si>
  <si>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</si>
  <si>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</si>
  <si>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</si>
  <si>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</si>
  <si>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</si>
  <si>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</si>
  <si>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</si>
  <si>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</si>
  <si>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</si>
  <si>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</si>
  <si>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</si>
  <si>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</si>
  <si>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</si>
  <si>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</si>
  <si>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</si>
  <si>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</si>
  <si>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</si>
  <si>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</si>
  <si>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</si>
  <si>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</si>
  <si>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</si>
  <si>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</si>
  <si>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</si>
  <si>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</si>
  <si>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</si>
  <si>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</si>
  <si>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</si>
  <si>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</si>
  <si>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</si>
  <si>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</si>
  <si>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</si>
  <si>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</si>
  <si>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</si>
  <si>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</si>
  <si>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</si>
  <si>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</si>
  <si>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</si>
  <si>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</si>
  <si>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</si>
  <si>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</si>
  <si>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</si>
  <si>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</si>
  <si>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</si>
  <si>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</si>
  <si>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</si>
  <si>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</si>
  <si>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</si>
  <si>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</si>
  <si>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</si>
  <si>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</si>
  <si>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</si>
  <si>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</si>
  <si>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</si>
  <si>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</si>
  <si>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</si>
  <si>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</si>
  <si>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</si>
  <si>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</si>
  <si>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</si>
  <si>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</si>
  <si>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</si>
  <si>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</si>
  <si>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</si>
  <si>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</si>
  <si>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</si>
  <si>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</si>
  <si>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</si>
  <si>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</si>
  <si>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</si>
  <si>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</si>
  <si>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</si>
  <si>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</si>
  <si>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</si>
  <si>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</si>
  <si>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</si>
  <si>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</si>
  <si>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</si>
  <si>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</si>
  <si>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</si>
  <si>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</si>
  <si>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</si>
  <si>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</si>
  <si>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</si>
  <si>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</si>
  <si>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</si>
  <si>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</si>
  <si>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</si>
  <si>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</si>
  <si>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</si>
  <si>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</si>
  <si>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</si>
  <si>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</si>
  <si>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</si>
  <si>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</si>
  <si>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</si>
  <si>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</si>
  <si>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</si>
  <si>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</si>
  <si>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</si>
  <si>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</si>
  <si>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</si>
  <si>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</si>
  <si>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</si>
  <si>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</si>
  <si>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</si>
  <si>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</si>
  <si>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</si>
  <si>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</si>
  <si>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</si>
  <si>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</si>
  <si>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</si>
  <si>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</si>
  <si>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</si>
  <si>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</si>
  <si>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</si>
  <si>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</si>
  <si>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</si>
  <si>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</si>
  <si>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</si>
  <si>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</si>
  <si>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</si>
  <si>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</si>
  <si>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</si>
  <si>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</si>
  <si>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</si>
  <si>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</si>
  <si>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</si>
  <si>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</si>
  <si>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</si>
  <si>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</si>
  <si>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</si>
  <si>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</si>
  <si>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</si>
  <si>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</si>
  <si>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</si>
  <si>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</si>
  <si>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</si>
  <si>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</si>
  <si>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</si>
  <si>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</si>
  <si>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</si>
  <si>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</si>
  <si>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</si>
  <si>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</si>
  <si>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</si>
  <si>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</si>
  <si>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</si>
  <si>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</si>
  <si>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</si>
  <si>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</si>
  <si>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</si>
  <si>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</si>
  <si>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</si>
  <si>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</si>
  <si>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</si>
  <si>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</si>
  <si>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</si>
  <si>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</si>
  <si>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</si>
  <si>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</si>
  <si>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</si>
  <si>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</si>
  <si>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</si>
  <si>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</si>
  <si>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</si>
  <si>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</si>
  <si>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</si>
  <si>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</si>
  <si>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</si>
  <si>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</si>
  <si>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</si>
  <si>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</si>
  <si>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</si>
  <si>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</si>
  <si>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</si>
  <si>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</si>
  <si>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</si>
  <si>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</si>
  <si>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</si>
  <si>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</si>
  <si>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</si>
  <si>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</si>
  <si>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</si>
  <si>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</si>
  <si>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</si>
  <si>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</si>
  <si>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</si>
  <si>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</si>
  <si>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</si>
  <si>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</si>
  <si>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</si>
  <si>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</si>
  <si>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</si>
  <si>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</si>
  <si>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</si>
  <si>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</si>
  <si>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</si>
  <si>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</si>
  <si>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</si>
  <si>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</si>
  <si>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</si>
  <si>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</si>
  <si>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</si>
  <si>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</si>
  <si>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</si>
  <si>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</si>
  <si>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</si>
  <si>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</si>
  <si>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</si>
  <si>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</si>
  <si>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</si>
  <si>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</si>
  <si>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</si>
  <si>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</si>
  <si>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</si>
  <si>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</si>
  <si>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</si>
  <si>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</si>
  <si>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</si>
  <si>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</si>
  <si>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</si>
  <si>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</si>
  <si>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</si>
  <si>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</si>
  <si>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</si>
  <si>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</si>
  <si>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</si>
  <si>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</si>
  <si>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</si>
  <si>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</si>
  <si>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</si>
  <si>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</si>
  <si>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</si>
  <si>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</si>
  <si>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</si>
  <si>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</si>
  <si>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</si>
  <si>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</si>
  <si>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</si>
  <si>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</si>
  <si>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</si>
  <si>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</si>
  <si>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</si>
  <si>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</si>
  <si>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</si>
  <si>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</si>
  <si>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</si>
  <si>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</si>
  <si>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</si>
  <si>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</si>
  <si>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</si>
  <si>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</si>
  <si>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</si>
  <si>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</si>
  <si>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</si>
  <si>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</si>
  <si>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</si>
  <si>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</si>
  <si>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</si>
  <si>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</si>
  <si>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</si>
  <si>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</si>
  <si>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</si>
  <si>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</si>
  <si>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</si>
  <si>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</si>
  <si>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</si>
  <si>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</si>
  <si>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</si>
  <si>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</si>
  <si>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</si>
  <si>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</si>
  <si>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</si>
  <si>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</si>
  <si>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</si>
  <si>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</si>
  <si>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</si>
  <si>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</si>
  <si>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</si>
  <si>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</si>
  <si>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</si>
  <si>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</si>
  <si>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</si>
  <si>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</si>
  <si>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</si>
  <si>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</si>
  <si>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</si>
  <si>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</si>
  <si>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</si>
  <si>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</si>
  <si>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</si>
  <si>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</si>
  <si>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</si>
  <si>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</si>
  <si>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</si>
  <si>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</si>
  <si>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</si>
  <si>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</si>
  <si>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</si>
  <si>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</si>
  <si>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</si>
  <si>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</si>
  <si>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</si>
  <si>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</si>
  <si>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</si>
  <si>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</si>
  <si>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</si>
  <si>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</si>
  <si>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</si>
  <si>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</si>
  <si>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</si>
  <si>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</si>
  <si>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</si>
  <si>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</si>
  <si>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</si>
  <si>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</si>
  <si>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</si>
  <si>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</si>
  <si>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</si>
  <si>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</si>
  <si>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</si>
  <si>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</si>
  <si>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</si>
  <si>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</si>
  <si>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</si>
  <si>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</si>
  <si>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</si>
  <si>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</si>
  <si>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</si>
  <si>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</si>
  <si>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</si>
  <si>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</si>
  <si>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</si>
  <si>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</si>
  <si>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</si>
  <si>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</si>
  <si>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</si>
  <si>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</si>
  <si>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</si>
  <si>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</si>
  <si>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</si>
  <si>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</si>
  <si>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</si>
  <si>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</si>
  <si>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</si>
  <si>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</si>
  <si>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</si>
  <si>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</si>
  <si>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</si>
  <si>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</si>
  <si>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</si>
  <si>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</si>
  <si>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</si>
  <si>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</si>
  <si>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</si>
  <si>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</si>
  <si>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</si>
  <si>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</si>
  <si>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</si>
  <si>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</si>
  <si>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</si>
  <si>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</si>
  <si>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</si>
  <si>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</si>
  <si>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</si>
  <si>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</si>
  <si>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</si>
  <si>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</si>
  <si>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</si>
  <si>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</si>
  <si>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</si>
  <si>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</si>
  <si>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</si>
  <si>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</si>
  <si>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</si>
  <si>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</si>
  <si>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</si>
  <si>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</si>
  <si>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</si>
  <si>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</si>
  <si>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</si>
  <si>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</si>
  <si>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</si>
  <si>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</si>
  <si>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</si>
  <si>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</si>
  <si>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</si>
  <si>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</si>
  <si>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</si>
  <si>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</si>
  <si>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</si>
  <si>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</si>
  <si>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</si>
  <si>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</si>
  <si>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</si>
  <si>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</si>
  <si>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</si>
  <si>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</si>
  <si>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</si>
  <si>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</si>
  <si>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</si>
  <si>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</si>
  <si>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</si>
  <si>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</si>
  <si>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</si>
  <si>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</si>
  <si>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</si>
  <si>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</si>
  <si>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</si>
  <si>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</si>
  <si>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</si>
  <si>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</si>
  <si>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</si>
  <si>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</si>
  <si>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</si>
  <si>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</si>
  <si>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</si>
  <si>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</si>
  <si>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</si>
  <si>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</si>
  <si>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</si>
  <si>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</si>
  <si>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</si>
  <si>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</si>
  <si>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</si>
  <si>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</si>
  <si>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</si>
  <si>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</si>
  <si>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</si>
  <si>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</si>
  <si>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</si>
  <si>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</si>
  <si>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</si>
  <si>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</si>
  <si>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</si>
  <si>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</si>
  <si>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</si>
  <si>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</si>
  <si>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</si>
  <si>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</si>
  <si>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</si>
  <si>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</si>
  <si>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</si>
  <si>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</si>
  <si>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</si>
  <si>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</si>
  <si>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</si>
  <si>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</si>
  <si>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</si>
  <si>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</si>
  <si>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</si>
  <si>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</si>
  <si>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</si>
  <si>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</si>
  <si>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</si>
  <si>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</si>
  <si>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</si>
  <si>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</si>
  <si>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</si>
  <si>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</si>
  <si>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</si>
  <si>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</si>
  <si>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</si>
  <si>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</si>
  <si>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</si>
  <si>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</si>
  <si>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</si>
  <si>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</si>
  <si>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</si>
  <si>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</si>
  <si>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</si>
  <si>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</si>
  <si>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</si>
  <si>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</si>
  <si>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</si>
  <si>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</si>
  <si>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</si>
  <si>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</si>
  <si>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</si>
  <si>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</si>
  <si>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</si>
  <si>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</si>
  <si>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</si>
  <si>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</si>
  <si>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</si>
  <si>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</si>
  <si>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</si>
  <si>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</si>
  <si>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</si>
  <si>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</si>
  <si>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</si>
  <si>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</si>
  <si>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</si>
  <si>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</si>
  <si>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</si>
  <si>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</si>
  <si>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</si>
  <si>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</si>
  <si>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</si>
  <si>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</si>
  <si>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</si>
  <si>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</si>
  <si>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</si>
  <si>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</si>
  <si>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</si>
  <si>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</si>
  <si>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</si>
  <si>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</si>
  <si>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</si>
  <si>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</si>
  <si>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</si>
  <si>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</si>
  <si>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</si>
  <si>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</si>
  <si>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</si>
  <si>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</si>
  <si>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</si>
  <si>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</si>
  <si>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</si>
  <si>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</si>
  <si>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</si>
  <si>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</si>
  <si>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</si>
  <si>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</si>
  <si>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</si>
  <si>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</si>
  <si>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</si>
  <si>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</si>
  <si>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</si>
  <si>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</si>
  <si>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</si>
  <si>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</si>
  <si>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</si>
  <si>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</si>
  <si>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</si>
  <si>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</si>
  <si>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</si>
  <si>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</si>
  <si>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</si>
  <si>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</si>
  <si>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</si>
  <si>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</si>
  <si>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</si>
  <si>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</si>
  <si>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</si>
  <si>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</si>
  <si>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</si>
  <si>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</si>
  <si>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</si>
  <si>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</si>
  <si>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</si>
  <si>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</si>
  <si>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</si>
  <si>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</si>
  <si>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</si>
  <si>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</si>
  <si>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</si>
  <si>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</si>
  <si>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</si>
  <si>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</si>
  <si>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</si>
  <si>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</si>
  <si>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</si>
  <si>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</si>
  <si>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</si>
  <si>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</si>
  <si>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</si>
  <si>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</si>
  <si>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</si>
  <si>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</si>
  <si>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</si>
  <si>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</si>
  <si>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</si>
  <si>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</si>
  <si>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</si>
  <si>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</si>
  <si>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</si>
  <si>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</si>
  <si>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</si>
  <si>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</si>
  <si>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</si>
  <si>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</si>
  <si>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</si>
  <si>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</si>
  <si>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</si>
  <si>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</si>
  <si>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</si>
  <si>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</si>
  <si>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</si>
  <si>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</si>
  <si>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</si>
  <si>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</si>
  <si>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</si>
  <si>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</si>
  <si>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</si>
  <si>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</si>
  <si>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</si>
  <si>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</si>
  <si>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</si>
  <si>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</si>
  <si>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</si>
  <si>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</si>
  <si>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</si>
  <si>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</si>
  <si>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</si>
  <si>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</si>
  <si>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</si>
  <si>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</si>
  <si>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</si>
  <si>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</si>
  <si>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</si>
  <si>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</si>
  <si>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</si>
  <si>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</si>
  <si>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</si>
  <si>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</si>
  <si>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</si>
  <si>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</si>
  <si>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</si>
  <si>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</si>
  <si>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</si>
  <si>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</si>
  <si>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</si>
  <si>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</si>
  <si>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</si>
  <si>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</si>
  <si>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</si>
  <si>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</si>
  <si>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</si>
  <si>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</si>
  <si>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</si>
  <si>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</si>
  <si>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</si>
  <si>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</si>
  <si>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</si>
  <si>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</si>
  <si>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</si>
  <si>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</si>
  <si>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</si>
  <si>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</si>
  <si>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</si>
  <si>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</si>
  <si>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</si>
  <si>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</si>
  <si>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</si>
  <si>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</si>
  <si>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</si>
  <si>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</si>
  <si>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</si>
  <si>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</si>
  <si>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</si>
  <si>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</si>
  <si>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</si>
  <si>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</si>
  <si>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</si>
  <si>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</si>
  <si>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</si>
  <si>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</si>
  <si>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</si>
  <si>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</si>
  <si>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</si>
  <si>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</si>
  <si>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</si>
  <si>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</si>
  <si>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</si>
  <si>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</si>
  <si>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</si>
  <si>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</si>
  <si>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</si>
  <si>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</si>
  <si>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</si>
  <si>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</si>
  <si>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</si>
  <si>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</si>
  <si>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</si>
  <si>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</si>
  <si>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</si>
  <si>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</si>
  <si>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</si>
  <si>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</si>
  <si>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</si>
  <si>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</si>
  <si>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</si>
  <si>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</si>
  <si>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</si>
  <si>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</si>
  <si>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</si>
  <si>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</si>
  <si>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</si>
  <si>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</si>
  <si>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</si>
  <si>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</si>
  <si>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</si>
  <si>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</si>
  <si>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</si>
  <si>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</si>
  <si>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</si>
  <si>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</si>
  <si>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</si>
  <si>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</si>
  <si>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</si>
  <si>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</si>
  <si>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</si>
  <si>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</si>
  <si>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</si>
  <si>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</si>
  <si>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</si>
  <si>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</si>
  <si>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</si>
  <si>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</si>
  <si>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</si>
  <si>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</si>
  <si>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</si>
  <si>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</si>
  <si>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</si>
  <si>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</si>
  <si>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</si>
  <si>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</si>
  <si>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</si>
  <si>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</si>
  <si>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</si>
  <si>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</si>
  <si>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</si>
  <si>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</si>
  <si>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</si>
  <si>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</si>
  <si>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</si>
  <si>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</si>
  <si>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</si>
  <si>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</si>
  <si>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</si>
  <si>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</si>
  <si>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</si>
  <si>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</si>
  <si>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</si>
  <si>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</si>
  <si>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</si>
  <si>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</si>
  <si>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</si>
  <si>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</si>
  <si>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</si>
  <si>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</si>
  <si>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</si>
  <si>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</si>
  <si>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</si>
  <si>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</si>
  <si>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</si>
  <si>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</si>
  <si>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</si>
  <si>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</si>
  <si>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</si>
  <si>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</si>
  <si>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</si>
  <si>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</si>
  <si>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</si>
  <si>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</si>
  <si>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</si>
  <si>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</si>
  <si>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</si>
  <si>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</si>
  <si>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</si>
  <si>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</si>
  <si>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</si>
  <si>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</si>
  <si>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</si>
  <si>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</si>
  <si>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</si>
  <si>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</si>
  <si>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</si>
  <si>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</si>
  <si>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</si>
  <si>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</si>
  <si>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</si>
  <si>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</si>
  <si>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</si>
  <si>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</si>
  <si>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</si>
  <si>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</si>
  <si>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</si>
  <si>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</si>
  <si>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</si>
  <si>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</si>
  <si>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</si>
  <si>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</si>
  <si>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</si>
  <si>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</si>
  <si>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</si>
  <si>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</si>
  <si>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</si>
  <si>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</si>
  <si>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</si>
  <si>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</si>
  <si>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</si>
  <si>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</si>
  <si>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</si>
  <si>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</si>
  <si>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</si>
  <si>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</si>
  <si>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</si>
  <si>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</si>
  <si>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</si>
  <si>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</si>
  <si>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</si>
  <si>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</si>
  <si>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</si>
  <si>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</si>
  <si>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</si>
  <si>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</si>
  <si>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</si>
  <si>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</si>
  <si>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</si>
  <si>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</si>
  <si>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</si>
  <si>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</si>
  <si>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</si>
  <si>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</si>
  <si>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</si>
  <si>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</si>
  <si>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</si>
  <si>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</si>
  <si>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</si>
  <si>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</si>
  <si>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</si>
  <si>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</si>
  <si>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</si>
  <si>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</si>
  <si>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</si>
  <si>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</si>
  <si>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</si>
  <si>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</si>
  <si>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</si>
  <si>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</si>
  <si>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</si>
  <si>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</si>
  <si>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</si>
  <si>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</si>
  <si>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</si>
  <si>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</si>
  <si>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</si>
  <si>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</si>
  <si>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</si>
  <si>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</si>
  <si>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</si>
  <si>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</si>
  <si>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</si>
  <si>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</si>
  <si>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</si>
  <si>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</si>
  <si>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</si>
  <si>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</si>
  <si>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</si>
  <si>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</si>
  <si>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</si>
  <si>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</si>
  <si>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</si>
  <si>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</si>
  <si>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</si>
  <si>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</si>
  <si>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</si>
  <si>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</si>
  <si>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</si>
  <si>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</si>
  <si>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</si>
  <si>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</si>
  <si>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</si>
  <si>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</si>
  <si>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</si>
  <si>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</si>
  <si>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</si>
  <si>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</si>
  <si>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</si>
  <si>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</si>
  <si>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</si>
  <si>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</si>
  <si>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</si>
  <si>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</si>
  <si>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</si>
  <si>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</si>
  <si>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</si>
  <si>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</si>
  <si>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</si>
  <si>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</si>
  <si>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</si>
  <si>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</si>
  <si>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</si>
  <si>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</si>
  <si>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</si>
  <si>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</si>
  <si>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</si>
  <si>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</si>
  <si>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</si>
  <si>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</si>
  <si>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</si>
  <si>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</si>
  <si>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</si>
  <si>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</si>
  <si>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</si>
  <si>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</si>
  <si>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</si>
  <si>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</si>
  <si>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</si>
  <si>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</si>
  <si>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</si>
  <si>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</si>
  <si>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</si>
  <si>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</si>
  <si>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</si>
  <si>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</si>
  <si>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</si>
  <si>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</si>
  <si>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</si>
  <si>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</si>
  <si>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</si>
  <si>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</si>
  <si>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</si>
  <si>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</si>
  <si>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</si>
  <si>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</si>
  <si>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</si>
  <si>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</si>
  <si>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</si>
  <si>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</si>
  <si>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</si>
  <si>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</si>
  <si>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</si>
  <si>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</si>
  <si>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</si>
  <si>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</si>
  <si>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</si>
  <si>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</si>
  <si>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</si>
  <si>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</si>
  <si>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</si>
  <si>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</si>
  <si>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</si>
  <si>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</si>
  <si>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</si>
  <si>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</si>
  <si>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</si>
  <si>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</si>
  <si>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</si>
  <si>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</si>
  <si>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</si>
  <si>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</si>
  <si>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</si>
  <si>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</si>
  <si>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</si>
  <si>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</si>
  <si>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</si>
  <si>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</si>
  <si>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</si>
  <si>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</si>
  <si>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</si>
  <si>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</si>
  <si>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</si>
  <si>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</si>
  <si>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</si>
  <si>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</si>
  <si>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</si>
  <si>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</si>
  <si>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</si>
  <si>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</si>
  <si>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</si>
  <si>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</si>
  <si>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</si>
  <si>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</si>
  <si>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</si>
  <si>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</si>
  <si>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</si>
  <si>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</si>
  <si>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</si>
  <si>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</si>
  <si>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</si>
  <si>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</si>
  <si>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</si>
  <si>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</si>
  <si>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</si>
  <si>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</si>
  <si>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</si>
  <si>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</si>
  <si>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</si>
  <si>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</si>
  <si>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</si>
  <si>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</si>
  <si>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</si>
  <si>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</si>
  <si>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</si>
  <si>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</si>
  <si>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Morocco</t>
  </si>
  <si>
    <t>Denmark</t>
  </si>
  <si>
    <t>Serbia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</si>
  <si>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</si>
  <si>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</si>
  <si>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</si>
  <si>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</si>
  <si>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</si>
  <si>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</si>
  <si>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</si>
  <si>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</si>
  <si>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</si>
  <si>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</si>
  <si>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</si>
  <si>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</si>
  <si>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</si>
  <si>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</si>
  <si>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</si>
  <si>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</si>
  <si>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</si>
  <si>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</si>
  <si>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</si>
  <si>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</si>
  <si>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</si>
  <si>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</si>
  <si>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</si>
  <si>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</si>
  <si>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</si>
  <si>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</si>
  <si>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</si>
  <si>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</si>
  <si>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</si>
  <si>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</si>
  <si>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</si>
  <si>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</si>
  <si>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</si>
  <si>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</si>
  <si>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</si>
  <si>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</si>
  <si>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</si>
  <si>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</si>
  <si>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</si>
  <si>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</si>
  <si>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</si>
  <si>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</si>
  <si>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</si>
  <si>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</si>
  <si>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</si>
  <si>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</si>
  <si>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</si>
  <si>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</si>
  <si>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</si>
  <si>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</si>
  <si>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</si>
  <si>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</si>
  <si>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</si>
  <si>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</si>
  <si>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</si>
  <si>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</si>
  <si>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</si>
  <si>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</si>
  <si>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</si>
  <si>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</si>
  <si>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</si>
  <si>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</si>
  <si>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</si>
  <si>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</si>
  <si>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</si>
  <si>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</si>
  <si>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</si>
  <si>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</si>
  <si>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</si>
  <si>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</si>
  <si>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</si>
  <si>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</si>
  <si>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</si>
  <si>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</si>
  <si>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</si>
  <si>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</si>
  <si>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</si>
  <si>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</si>
  <si>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</si>
  <si>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</si>
  <si>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</si>
  <si>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</si>
  <si>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</si>
  <si>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გერმანია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</si>
  <si>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</si>
  <si>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</si>
  <si>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</si>
  <si>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</si>
  <si>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</si>
  <si>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</si>
  <si>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</si>
  <si>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</si>
  <si>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</si>
  <si>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</si>
  <si>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</si>
  <si>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</si>
  <si>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</si>
  <si>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</si>
  <si>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</si>
  <si>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</si>
  <si>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</si>
  <si>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</si>
  <si>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</si>
  <si>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</si>
  <si>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</si>
  <si>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</si>
  <si>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</si>
  <si>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</si>
  <si>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</si>
  <si>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</si>
  <si>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</si>
  <si>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</si>
  <si>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</si>
  <si>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</si>
  <si>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</si>
  <si>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</si>
  <si>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</si>
  <si>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</si>
  <si>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</si>
  <si>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</si>
  <si>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</si>
  <si>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</si>
  <si>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</si>
  <si>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</si>
  <si>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</si>
  <si>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</si>
  <si>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</si>
  <si>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</si>
  <si>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</si>
  <si>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</si>
  <si>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</si>
  <si>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</si>
  <si>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</si>
  <si>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</si>
  <si>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</si>
  <si>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</si>
  <si>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</si>
  <si>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</si>
  <si>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</si>
  <si>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</si>
  <si>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</si>
  <si>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</si>
  <si>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</si>
  <si>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</si>
  <si>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</si>
  <si>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</si>
  <si>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</si>
  <si>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</si>
  <si>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</si>
  <si>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</si>
  <si>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</si>
  <si>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</si>
  <si>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</si>
  <si>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</si>
  <si>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</si>
  <si>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</si>
  <si>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</si>
  <si>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Tunisien</t>
  </si>
  <si>
    <t>Belġju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</si>
  <si>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</si>
  <si>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</si>
  <si>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</si>
  <si>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</si>
  <si>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</si>
  <si>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</si>
  <si>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</si>
  <si>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</si>
  <si>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</si>
  <si>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</si>
  <si>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</si>
  <si>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</si>
  <si>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</si>
  <si>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</si>
  <si>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</si>
  <si>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</si>
  <si>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</si>
  <si>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</si>
  <si>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</si>
  <si>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</si>
  <si>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</si>
  <si>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</si>
  <si>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</si>
  <si>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</si>
  <si>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</si>
  <si>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</si>
  <si>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</si>
  <si>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</si>
  <si>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</si>
  <si>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</si>
  <si>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</si>
  <si>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</si>
  <si>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</si>
  <si>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</si>
  <si>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</si>
  <si>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</si>
  <si>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</si>
  <si>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</si>
  <si>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</si>
  <si>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</si>
  <si>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</si>
  <si>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</si>
  <si>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</si>
  <si>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</si>
  <si>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</si>
  <si>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</si>
  <si>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</si>
  <si>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</si>
  <si>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</si>
  <si>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</si>
  <si>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</si>
  <si>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</si>
  <si>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</si>
  <si>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</si>
  <si>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</si>
  <si>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</si>
  <si>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</si>
  <si>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</si>
  <si>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</si>
  <si>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</si>
  <si>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</si>
  <si>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</si>
  <si>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</si>
  <si>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</si>
  <si>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</si>
  <si>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</si>
  <si>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</si>
  <si>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</si>
  <si>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</si>
  <si>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</si>
  <si>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</si>
  <si>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</si>
  <si>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</si>
  <si>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</si>
  <si>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</si>
  <si>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</si>
  <si>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</si>
  <si>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</si>
  <si>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Tunesia</t>
  </si>
  <si>
    <t>Brasilia</t>
  </si>
  <si>
    <t>Sveis</t>
  </si>
  <si>
    <t>Јужна Кореја</t>
  </si>
  <si>
    <t>Германија</t>
  </si>
  <si>
    <t>PÓland</t>
  </si>
  <si>
    <t>República da Coreia</t>
  </si>
  <si>
    <t>2022 World Cup Final Tournament Schedule</t>
  </si>
  <si>
    <t>Kupa Botërore 2022</t>
  </si>
  <si>
    <t>جدول مباريات كأس العالم 2022</t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</si>
  <si>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</si>
  <si>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</si>
  <si>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</si>
  <si>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</si>
  <si>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t>巴西2022年世界杯</t>
  </si>
  <si>
    <t>2022 世界盃賽程</t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</si>
  <si>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</si>
  <si>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</si>
  <si>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</si>
  <si>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</si>
  <si>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</si>
  <si>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</si>
  <si>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</si>
  <si>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</si>
  <si>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</si>
  <si>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t>2022 גביע העולם טורניר הגמר תזמן</t>
  </si>
  <si>
    <t>2022 Labdarúgó-világbajnokság döntő sorozata</t>
  </si>
  <si>
    <t>Jadwal Turnamen Final Piala Dunia 2022</t>
  </si>
  <si>
    <t>HM 2022 lokakeppnin</t>
  </si>
  <si>
    <t>Calendario Coppa del mondo 2022</t>
  </si>
  <si>
    <t>2022 월드컵 최종 토너먼트 일정</t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</si>
  <si>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</si>
  <si>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</si>
  <si>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</si>
  <si>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</si>
  <si>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t>جدول مسابقات فینال جام جهانی 2022</t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</si>
  <si>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</si>
  <si>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</si>
  <si>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</si>
  <si>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</si>
  <si>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</si>
  <si>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</si>
  <si>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</si>
  <si>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</si>
  <si>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t>ตารางการแข่งขันฟุตบอลโลก 2022</t>
  </si>
  <si>
    <t>2022 Dünya Kupası Finalleri Turnuva Fikstürü</t>
  </si>
  <si>
    <t>Lịch Thi Đấu Cúp Bóng Đá Thế Giới 2022</t>
  </si>
  <si>
    <t>Календар Чемпіонату Світу 2022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</si>
  <si>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</si>
  <si>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</si>
  <si>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</si>
  <si>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</si>
  <si>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</si>
  <si>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</si>
  <si>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</si>
  <si>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</si>
  <si>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</si>
  <si>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</si>
  <si>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</si>
  <si>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</si>
  <si>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</si>
  <si>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</si>
  <si>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</si>
  <si>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</si>
  <si>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</si>
  <si>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</si>
  <si>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</si>
  <si>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</si>
  <si>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</si>
  <si>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</si>
  <si>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</si>
  <si>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</si>
  <si>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</si>
  <si>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</si>
  <si>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</si>
  <si>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</si>
  <si>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</si>
  <si>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</si>
  <si>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</si>
  <si>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</si>
  <si>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</si>
  <si>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</si>
  <si>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</si>
  <si>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</si>
  <si>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</si>
  <si>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</si>
  <si>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</si>
  <si>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</si>
  <si>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</si>
  <si>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</si>
  <si>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</si>
  <si>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</si>
  <si>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</si>
  <si>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</si>
  <si>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</si>
  <si>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</si>
  <si>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</si>
  <si>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</si>
  <si>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</si>
  <si>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</si>
  <si>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</si>
  <si>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</si>
  <si>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</si>
  <si>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</si>
  <si>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</si>
  <si>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</si>
  <si>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</si>
  <si>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</si>
  <si>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</si>
  <si>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</si>
  <si>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</si>
  <si>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</si>
  <si>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</si>
  <si>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</si>
  <si>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</si>
  <si>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</si>
  <si>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</si>
  <si>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</si>
  <si>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</si>
  <si>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</si>
  <si>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</si>
  <si>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</si>
  <si>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</si>
  <si>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</si>
  <si>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</si>
  <si>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</si>
  <si>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</si>
  <si>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</si>
  <si>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</si>
  <si>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</si>
  <si>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</si>
  <si>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</si>
  <si>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</si>
  <si>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</si>
  <si>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</si>
  <si>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</si>
  <si>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</si>
  <si>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</si>
  <si>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</si>
  <si>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</si>
  <si>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</si>
  <si>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</si>
  <si>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</si>
  <si>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</si>
  <si>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</si>
  <si>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</si>
  <si>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</si>
  <si>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</si>
  <si>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</si>
  <si>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</si>
  <si>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</si>
  <si>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</si>
  <si>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</si>
  <si>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</si>
  <si>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</si>
  <si>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</si>
  <si>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</si>
  <si>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</si>
  <si>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</si>
  <si>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</si>
  <si>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</si>
  <si>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</si>
  <si>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</si>
  <si>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</si>
  <si>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</si>
  <si>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</si>
  <si>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</si>
  <si>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</si>
  <si>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</si>
  <si>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</si>
  <si>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</si>
  <si>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</si>
  <si>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</si>
  <si>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</si>
  <si>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</si>
  <si>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</si>
  <si>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</si>
  <si>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</si>
  <si>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</si>
  <si>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</si>
  <si>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</si>
  <si>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</si>
  <si>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</si>
  <si>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</si>
  <si>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</si>
  <si>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</si>
  <si>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</si>
  <si>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</si>
  <si>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</si>
  <si>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</si>
  <si>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</si>
  <si>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</si>
  <si>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</si>
  <si>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</si>
  <si>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</si>
  <si>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</si>
  <si>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</si>
  <si>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</si>
  <si>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</si>
  <si>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</si>
  <si>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</si>
  <si>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</si>
  <si>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</si>
  <si>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</si>
  <si>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</si>
  <si>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</si>
  <si>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</si>
  <si>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</si>
  <si>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</si>
  <si>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</si>
  <si>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</si>
  <si>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</si>
  <si>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</si>
  <si>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</si>
  <si>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</si>
  <si>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</si>
  <si>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</si>
  <si>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</si>
  <si>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</si>
  <si>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</si>
  <si>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</si>
  <si>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</si>
  <si>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</si>
  <si>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</si>
  <si>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</si>
  <si>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</si>
  <si>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</si>
  <si>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</si>
  <si>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</si>
  <si>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</si>
  <si>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</si>
  <si>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</si>
  <si>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</si>
  <si>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</si>
  <si>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</si>
  <si>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</si>
  <si>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</si>
  <si>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</si>
  <si>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World Champion 2022</t>
  </si>
  <si>
    <t>بطل العالم 2022</t>
  </si>
  <si>
    <t>Աշխարհի 2022թ. Հաղթող</t>
  </si>
  <si>
    <t>Dünya Çempionu 2022</t>
  </si>
  <si>
    <t>Световен шампион 2022</t>
  </si>
  <si>
    <t>Campió del Món 2022</t>
  </si>
  <si>
    <t>2022世界杯冠军</t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</si>
  <si>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</si>
  <si>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</si>
  <si>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</si>
  <si>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</si>
  <si>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</si>
  <si>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</si>
  <si>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</si>
  <si>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</si>
  <si>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</si>
  <si>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t>גביע העולם 2022</t>
  </si>
  <si>
    <t>Juara Piala Dunia 2022</t>
  </si>
  <si>
    <t>Heimsmeistarar 2022</t>
  </si>
  <si>
    <t>Coppa del Mondo 2022</t>
  </si>
  <si>
    <t>2022년 우승국가</t>
  </si>
  <si>
    <t>Pasaulio Čempionas 2022</t>
  </si>
  <si>
    <t>Светски шампион 2022</t>
  </si>
  <si>
    <t>Rebbieħ tat-Tazza tad-Dinja 2022</t>
  </si>
  <si>
    <t>Vinner 2022</t>
  </si>
  <si>
    <t>قهرمان جام جهانی 2022</t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</si>
  <si>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</si>
  <si>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</si>
  <si>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</si>
  <si>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</si>
  <si>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</si>
  <si>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</si>
  <si>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</si>
  <si>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</si>
  <si>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t>แชมป์โลกปี 2022</t>
  </si>
  <si>
    <t>2022 Dünya Şampiyonu</t>
  </si>
  <si>
    <t>Vòng Chung Kết 2022</t>
  </si>
  <si>
    <t>Чемпіон Світу 2022</t>
  </si>
  <si>
    <r>
      <t xml:space="preserve">World Cup 2022
Interactive Schedule
</t>
    </r>
    <r>
      <rPr>
        <u/>
        <sz val="16"/>
        <color theme="4"/>
        <rFont val="Calibri"/>
        <family val="2"/>
        <charset val="204"/>
        <scheme val="minor"/>
      </rPr>
      <t>www.wallchart.io</t>
    </r>
  </si>
  <si>
    <t>FIFA World Cup
Historical Data
1930 - 2018</t>
  </si>
  <si>
    <t>USA</t>
  </si>
  <si>
    <t>1. Turniiri suurim väravakütt?</t>
  </si>
  <si>
    <t>2. Mis riigi mängija saab turniiril esimese punase kaardi?</t>
  </si>
  <si>
    <t>3. Mis riigi mängija lööb turniiril esimese värava otse karistuslöögist (penalt ei lähe arvesse)?</t>
  </si>
  <si>
    <t>5. Messi/Ronaldo/Neymar/Mbappe. Kes nendest lööb kõige rohkem väravaid?</t>
  </si>
  <si>
    <t>6. Mis võistkond lööb alagrupiturniiril kõige rohkem väravaid?</t>
  </si>
  <si>
    <t>7. Mis võistkond laseb endale lüüa alagrupiturniiril kõige rohkem väravaid?</t>
  </si>
  <si>
    <t>8. Mis riigi väravavaht tõrjub turniiri esimese penalti?</t>
  </si>
  <si>
    <t>9. Kes annab turniiril kõige rohkem väravasööte?</t>
  </si>
  <si>
    <t>Lisaküsimused</t>
  </si>
  <si>
    <t>Vastused</t>
  </si>
  <si>
    <t>10. Kas turniiril lüüakse hat-trick?</t>
  </si>
  <si>
    <t>4. Mitu aafrika ja aasia võistkonda pääseb alagrupiturniirilt edasi?</t>
  </si>
  <si>
    <t>Kane</t>
  </si>
  <si>
    <t>Saksamaa</t>
  </si>
  <si>
    <t>Neymar</t>
  </si>
  <si>
    <t>messi</t>
  </si>
  <si>
    <t>jah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</si>
</sst>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24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6"/>
      <color theme="4"/>
      <name val="Calibri"/>
      <family val="2"/>
      <charset val="204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1F2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45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1" fillId="0" borderId="0" xfId="0" applyFont="1" applyAlignment="1" applyProtection="1">
      <alignment horizontal="center" vertical="center" shrinkToFit="1"/>
      <protection hidden="1"/>
    </xf>
    <xf numFmtId="164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8" fillId="8" borderId="71" xfId="0" applyFont="1" applyFill="1" applyBorder="1" applyAlignment="1" applyProtection="1">
      <alignment horizontal="left" vertical="center"/>
      <protection hidden="1"/>
    </xf>
    <xf numFmtId="0" fontId="18" fillId="8" borderId="67" xfId="0" applyFont="1" applyFill="1" applyBorder="1" applyAlignment="1" applyProtection="1">
      <alignment horizontal="left" vertical="center"/>
      <protection hidden="1"/>
    </xf>
    <xf numFmtId="0" fontId="1" fillId="8" borderId="72" xfId="0" applyFont="1" applyFill="1" applyBorder="1" applyProtection="1">
      <protection hidden="1"/>
    </xf>
    <xf numFmtId="0" fontId="17" fillId="8" borderId="73" xfId="0" applyFont="1" applyFill="1" applyBorder="1" applyAlignment="1" applyProtection="1">
      <alignment horizont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4" xfId="0" applyFont="1" applyFill="1" applyBorder="1" applyAlignment="1" applyProtection="1">
      <alignment horizontal="center" vertical="center"/>
      <protection locked="0"/>
    </xf>
    <xf numFmtId="0" fontId="1" fillId="5" borderId="75" xfId="0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left" vertical="center"/>
      <protection hidden="1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3" fontId="1" fillId="7" borderId="76" xfId="2" applyNumberFormat="1" applyFont="1" applyBorder="1" applyAlignment="1" applyProtection="1">
      <alignment horizontal="center"/>
      <protection locked="0"/>
    </xf>
    <xf numFmtId="3" fontId="1" fillId="7" borderId="77" xfId="2" applyNumberFormat="1" applyFont="1" applyBorder="1" applyAlignment="1" applyProtection="1">
      <alignment horizontal="center"/>
      <protection locked="0"/>
    </xf>
    <xf numFmtId="3" fontId="1" fillId="7" borderId="78" xfId="2" applyNumberFormat="1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0" fillId="10" borderId="0" xfId="0" applyFill="1"/>
    <xf numFmtId="0" fontId="22" fillId="11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0" fillId="12" borderId="0" xfId="0" applyFill="1"/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</cellXfs>
  <cellStyles count="3">
    <cellStyle name="Hyperlink" xfId="1" builtinId="8"/>
    <cellStyle name="Normal" xfId="0" builtinId="0"/>
    <cellStyle name="Note" xfId="2" builtinId="10"/>
  </cellStyles>
  <dxfs count="18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D1F2FB"/>
      <color rgb="FFFFCCFF"/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png"/><Relationship Id="rId18" Type="http://schemas.openxmlformats.org/officeDocument/2006/relationships/image" Target="../media/image19.svg"/><Relationship Id="rId26" Type="http://schemas.openxmlformats.org/officeDocument/2006/relationships/image" Target="../media/image27.svg"/><Relationship Id="rId39" Type="http://schemas.openxmlformats.org/officeDocument/2006/relationships/image" Target="../media/image40.png"/><Relationship Id="rId21" Type="http://schemas.openxmlformats.org/officeDocument/2006/relationships/image" Target="../media/image22.png"/><Relationship Id="rId34" Type="http://schemas.openxmlformats.org/officeDocument/2006/relationships/image" Target="../media/image35.svg"/><Relationship Id="rId42" Type="http://schemas.openxmlformats.org/officeDocument/2006/relationships/image" Target="../media/image43.svg"/><Relationship Id="rId47" Type="http://schemas.openxmlformats.org/officeDocument/2006/relationships/image" Target="../media/image48.png"/><Relationship Id="rId50" Type="http://schemas.openxmlformats.org/officeDocument/2006/relationships/image" Target="../media/image51.svg"/><Relationship Id="rId55" Type="http://schemas.openxmlformats.org/officeDocument/2006/relationships/image" Target="../media/image56.png"/><Relationship Id="rId63" Type="http://schemas.openxmlformats.org/officeDocument/2006/relationships/image" Target="../media/image64.png"/><Relationship Id="rId7" Type="http://schemas.openxmlformats.org/officeDocument/2006/relationships/image" Target="../media/image8.png"/><Relationship Id="rId2" Type="http://schemas.openxmlformats.org/officeDocument/2006/relationships/image" Target="../media/image3.svg"/><Relationship Id="rId16" Type="http://schemas.openxmlformats.org/officeDocument/2006/relationships/image" Target="../media/image17.svg"/><Relationship Id="rId29" Type="http://schemas.openxmlformats.org/officeDocument/2006/relationships/image" Target="../media/image30.png"/><Relationship Id="rId11" Type="http://schemas.openxmlformats.org/officeDocument/2006/relationships/image" Target="../media/image12.png"/><Relationship Id="rId24" Type="http://schemas.openxmlformats.org/officeDocument/2006/relationships/image" Target="../media/image25.svg"/><Relationship Id="rId32" Type="http://schemas.openxmlformats.org/officeDocument/2006/relationships/image" Target="../media/image33.svg"/><Relationship Id="rId37" Type="http://schemas.openxmlformats.org/officeDocument/2006/relationships/image" Target="../media/image38.png"/><Relationship Id="rId40" Type="http://schemas.openxmlformats.org/officeDocument/2006/relationships/image" Target="../media/image41.svg"/><Relationship Id="rId45" Type="http://schemas.openxmlformats.org/officeDocument/2006/relationships/image" Target="../media/image46.png"/><Relationship Id="rId53" Type="http://schemas.openxmlformats.org/officeDocument/2006/relationships/image" Target="../media/image54.png"/><Relationship Id="rId58" Type="http://schemas.openxmlformats.org/officeDocument/2006/relationships/image" Target="../media/image59.svg"/><Relationship Id="rId5" Type="http://schemas.openxmlformats.org/officeDocument/2006/relationships/image" Target="../media/image6.png"/><Relationship Id="rId61" Type="http://schemas.openxmlformats.org/officeDocument/2006/relationships/image" Target="../media/image62.png"/><Relationship Id="rId19" Type="http://schemas.openxmlformats.org/officeDocument/2006/relationships/image" Target="../media/image20.png"/><Relationship Id="rId14" Type="http://schemas.openxmlformats.org/officeDocument/2006/relationships/image" Target="../media/image15.svg"/><Relationship Id="rId22" Type="http://schemas.openxmlformats.org/officeDocument/2006/relationships/image" Target="../media/image23.svg"/><Relationship Id="rId27" Type="http://schemas.openxmlformats.org/officeDocument/2006/relationships/image" Target="../media/image28.png"/><Relationship Id="rId30" Type="http://schemas.openxmlformats.org/officeDocument/2006/relationships/image" Target="../media/image31.svg"/><Relationship Id="rId35" Type="http://schemas.openxmlformats.org/officeDocument/2006/relationships/image" Target="../media/image36.png"/><Relationship Id="rId43" Type="http://schemas.openxmlformats.org/officeDocument/2006/relationships/image" Target="../media/image44.png"/><Relationship Id="rId48" Type="http://schemas.openxmlformats.org/officeDocument/2006/relationships/image" Target="../media/image49.svg"/><Relationship Id="rId56" Type="http://schemas.openxmlformats.org/officeDocument/2006/relationships/image" Target="../media/image57.svg"/><Relationship Id="rId64" Type="http://schemas.openxmlformats.org/officeDocument/2006/relationships/image" Target="../media/image65.svg"/><Relationship Id="rId8" Type="http://schemas.openxmlformats.org/officeDocument/2006/relationships/image" Target="../media/image9.svg"/><Relationship Id="rId51" Type="http://schemas.openxmlformats.org/officeDocument/2006/relationships/image" Target="../media/image52.png"/><Relationship Id="rId3" Type="http://schemas.openxmlformats.org/officeDocument/2006/relationships/image" Target="../media/image4.png"/><Relationship Id="rId12" Type="http://schemas.openxmlformats.org/officeDocument/2006/relationships/image" Target="../media/image13.sv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33" Type="http://schemas.openxmlformats.org/officeDocument/2006/relationships/image" Target="../media/image34.png"/><Relationship Id="rId38" Type="http://schemas.openxmlformats.org/officeDocument/2006/relationships/image" Target="../media/image39.svg"/><Relationship Id="rId46" Type="http://schemas.openxmlformats.org/officeDocument/2006/relationships/image" Target="../media/image47.svg"/><Relationship Id="rId59" Type="http://schemas.openxmlformats.org/officeDocument/2006/relationships/image" Target="../media/image60.png"/><Relationship Id="rId20" Type="http://schemas.openxmlformats.org/officeDocument/2006/relationships/image" Target="../media/image21.svg"/><Relationship Id="rId41" Type="http://schemas.openxmlformats.org/officeDocument/2006/relationships/image" Target="../media/image42.png"/><Relationship Id="rId54" Type="http://schemas.openxmlformats.org/officeDocument/2006/relationships/image" Target="../media/image55.svg"/><Relationship Id="rId62" Type="http://schemas.openxmlformats.org/officeDocument/2006/relationships/image" Target="../media/image6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28" Type="http://schemas.openxmlformats.org/officeDocument/2006/relationships/image" Target="../media/image29.svg"/><Relationship Id="rId36" Type="http://schemas.openxmlformats.org/officeDocument/2006/relationships/image" Target="../media/image37.svg"/><Relationship Id="rId49" Type="http://schemas.openxmlformats.org/officeDocument/2006/relationships/image" Target="../media/image50.png"/><Relationship Id="rId57" Type="http://schemas.openxmlformats.org/officeDocument/2006/relationships/image" Target="../media/image58.png"/><Relationship Id="rId10" Type="http://schemas.openxmlformats.org/officeDocument/2006/relationships/image" Target="../media/image11.svg"/><Relationship Id="rId31" Type="http://schemas.openxmlformats.org/officeDocument/2006/relationships/image" Target="../media/image32.png"/><Relationship Id="rId44" Type="http://schemas.openxmlformats.org/officeDocument/2006/relationships/image" Target="../media/image45.svg"/><Relationship Id="rId52" Type="http://schemas.openxmlformats.org/officeDocument/2006/relationships/image" Target="../media/image53.svg"/><Relationship Id="rId60" Type="http://schemas.openxmlformats.org/officeDocument/2006/relationships/image" Target="../media/image6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1285875</xdr:colOff>
      <xdr:row>7</xdr:row>
      <xdr:rowOff>20955</xdr:rowOff>
    </xdr:from>
    <xdr:to>
      <xdr:col>4</xdr:col>
      <xdr:colOff>1495425</xdr:colOff>
      <xdr:row>7</xdr:row>
      <xdr:rowOff>173355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113B256-661C-4A22-93EE-23C8B16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89935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20955</xdr:rowOff>
    </xdr:from>
    <xdr:to>
      <xdr:col>7</xdr:col>
      <xdr:colOff>240030</xdr:colOff>
      <xdr:row>7</xdr:row>
      <xdr:rowOff>173355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2926FEA7-3DB8-456D-8E54-D792CCDB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110990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6</xdr:row>
      <xdr:rowOff>21898</xdr:rowOff>
    </xdr:from>
    <xdr:to>
      <xdr:col>4</xdr:col>
      <xdr:colOff>1495425</xdr:colOff>
      <xdr:row>6</xdr:row>
      <xdr:rowOff>174298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F51A19F6-415C-428E-AE45-6B8444E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9935" y="12334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</xdr:colOff>
      <xdr:row>6</xdr:row>
      <xdr:rowOff>18088</xdr:rowOff>
    </xdr:from>
    <xdr:to>
      <xdr:col>7</xdr:col>
      <xdr:colOff>243840</xdr:colOff>
      <xdr:row>6</xdr:row>
      <xdr:rowOff>170488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BB8E344E-9E93-4899-B7AC-C30170AE0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14800" y="12296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8</xdr:row>
      <xdr:rowOff>16863</xdr:rowOff>
    </xdr:from>
    <xdr:to>
      <xdr:col>4</xdr:col>
      <xdr:colOff>1489804</xdr:colOff>
      <xdr:row>8</xdr:row>
      <xdr:rowOff>169263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1B46314B-96F4-4815-F17C-4CFD773C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78943" y="16095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8</xdr:row>
      <xdr:rowOff>21138</xdr:rowOff>
    </xdr:from>
    <xdr:to>
      <xdr:col>7</xdr:col>
      <xdr:colOff>242494</xdr:colOff>
      <xdr:row>8</xdr:row>
      <xdr:rowOff>173538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D0B62B00-1472-E781-59E5-0A8BFBC2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8395" y="161384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1280719</xdr:colOff>
      <xdr:row>9</xdr:row>
      <xdr:rowOff>21138</xdr:rowOff>
    </xdr:from>
    <xdr:to>
      <xdr:col>4</xdr:col>
      <xdr:colOff>1490269</xdr:colOff>
      <xdr:row>9</xdr:row>
      <xdr:rowOff>173538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DD2796C7-63CF-A040-CAC6-694AE2C95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279408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9</xdr:row>
      <xdr:rowOff>21138</xdr:rowOff>
    </xdr:from>
    <xdr:to>
      <xdr:col>7</xdr:col>
      <xdr:colOff>242494</xdr:colOff>
      <xdr:row>9</xdr:row>
      <xdr:rowOff>173538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B2D59B62-A232-DF94-C425-9DEC72B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108395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10</xdr:row>
      <xdr:rowOff>21138</xdr:rowOff>
    </xdr:from>
    <xdr:to>
      <xdr:col>4</xdr:col>
      <xdr:colOff>1489804</xdr:colOff>
      <xdr:row>10</xdr:row>
      <xdr:rowOff>173538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40B6E916-F412-551A-9B8E-659085D4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8943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10</xdr:row>
      <xdr:rowOff>21138</xdr:rowOff>
    </xdr:from>
    <xdr:to>
      <xdr:col>7</xdr:col>
      <xdr:colOff>242494</xdr:colOff>
      <xdr:row>10</xdr:row>
      <xdr:rowOff>173538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1B863B75-27AB-03EF-340E-38758835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8395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11</xdr:row>
      <xdr:rowOff>23422</xdr:rowOff>
    </xdr:from>
    <xdr:to>
      <xdr:col>4</xdr:col>
      <xdr:colOff>1489960</xdr:colOff>
      <xdr:row>11</xdr:row>
      <xdr:rowOff>175822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583EE875-070E-474A-9A1D-BEF981A4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279099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11</xdr:row>
      <xdr:rowOff>23422</xdr:rowOff>
    </xdr:from>
    <xdr:to>
      <xdr:col>7</xdr:col>
      <xdr:colOff>240023</xdr:colOff>
      <xdr:row>11</xdr:row>
      <xdr:rowOff>175822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id="{2D533162-1C73-40FB-ABB7-F2CC49AA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105924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12</xdr:row>
      <xdr:rowOff>23531</xdr:rowOff>
    </xdr:from>
    <xdr:to>
      <xdr:col>4</xdr:col>
      <xdr:colOff>1490425</xdr:colOff>
      <xdr:row>12</xdr:row>
      <xdr:rowOff>175931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EF383AB2-A0C3-462F-A6A0-3F6E206E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327956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12</xdr:row>
      <xdr:rowOff>23531</xdr:rowOff>
    </xdr:from>
    <xdr:to>
      <xdr:col>7</xdr:col>
      <xdr:colOff>240023</xdr:colOff>
      <xdr:row>12</xdr:row>
      <xdr:rowOff>175931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BA84969-ED9E-44E1-B99E-A09421B4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410592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13</xdr:row>
      <xdr:rowOff>23640</xdr:rowOff>
    </xdr:from>
    <xdr:to>
      <xdr:col>4</xdr:col>
      <xdr:colOff>1490425</xdr:colOff>
      <xdr:row>13</xdr:row>
      <xdr:rowOff>176040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F9F7A320-9819-4817-B1BF-EDB370E4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7956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13</xdr:row>
      <xdr:rowOff>23640</xdr:rowOff>
    </xdr:from>
    <xdr:to>
      <xdr:col>7</xdr:col>
      <xdr:colOff>240023</xdr:colOff>
      <xdr:row>13</xdr:row>
      <xdr:rowOff>176040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4CAA2867-7516-4884-9806-DFE9C30E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0592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14</xdr:row>
      <xdr:rowOff>23751</xdr:rowOff>
    </xdr:from>
    <xdr:to>
      <xdr:col>4</xdr:col>
      <xdr:colOff>1490425</xdr:colOff>
      <xdr:row>14</xdr:row>
      <xdr:rowOff>176151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2ECC2E3A-3621-4470-849A-445866F9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327956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14</xdr:row>
      <xdr:rowOff>23751</xdr:rowOff>
    </xdr:from>
    <xdr:to>
      <xdr:col>7</xdr:col>
      <xdr:colOff>240023</xdr:colOff>
      <xdr:row>14</xdr:row>
      <xdr:rowOff>176151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22861624-4BEA-4E9A-ABFA-5D5439CE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410592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15</xdr:row>
      <xdr:rowOff>23860</xdr:rowOff>
    </xdr:from>
    <xdr:to>
      <xdr:col>4</xdr:col>
      <xdr:colOff>1489960</xdr:colOff>
      <xdr:row>15</xdr:row>
      <xdr:rowOff>176260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5C5EBB62-A95E-43F4-9140-2603EC61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279099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15</xdr:row>
      <xdr:rowOff>23860</xdr:rowOff>
    </xdr:from>
    <xdr:to>
      <xdr:col>7</xdr:col>
      <xdr:colOff>240023</xdr:colOff>
      <xdr:row>15</xdr:row>
      <xdr:rowOff>176260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3B7BDB38-DF6E-43BF-86FB-6A9B230F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105924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16</xdr:row>
      <xdr:rowOff>23969</xdr:rowOff>
    </xdr:from>
    <xdr:to>
      <xdr:col>4</xdr:col>
      <xdr:colOff>1489960</xdr:colOff>
      <xdr:row>16</xdr:row>
      <xdr:rowOff>176369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17B10BFC-AE3E-46EC-A0E7-FB856C1C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099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16</xdr:row>
      <xdr:rowOff>23969</xdr:rowOff>
    </xdr:from>
    <xdr:to>
      <xdr:col>7</xdr:col>
      <xdr:colOff>240023</xdr:colOff>
      <xdr:row>16</xdr:row>
      <xdr:rowOff>176369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502A7888-383C-461F-ABE6-D5FFD2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5924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17</xdr:row>
      <xdr:rowOff>24078</xdr:rowOff>
    </xdr:from>
    <xdr:to>
      <xdr:col>4</xdr:col>
      <xdr:colOff>1489960</xdr:colOff>
      <xdr:row>17</xdr:row>
      <xdr:rowOff>176478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7B79FBDE-9EAD-4A8D-8194-73FC1A897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79099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17</xdr:row>
      <xdr:rowOff>24078</xdr:rowOff>
    </xdr:from>
    <xdr:to>
      <xdr:col>7</xdr:col>
      <xdr:colOff>240023</xdr:colOff>
      <xdr:row>17</xdr:row>
      <xdr:rowOff>176478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706AC6D1-E473-49A0-8928-3B66FFDD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05924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18</xdr:row>
      <xdr:rowOff>24188</xdr:rowOff>
    </xdr:from>
    <xdr:to>
      <xdr:col>4</xdr:col>
      <xdr:colOff>1456135</xdr:colOff>
      <xdr:row>18</xdr:row>
      <xdr:rowOff>176588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AC5ABD82-A79E-43D6-A08A-526028B33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3302424" y="35297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18</xdr:row>
      <xdr:rowOff>24188</xdr:rowOff>
    </xdr:from>
    <xdr:to>
      <xdr:col>7</xdr:col>
      <xdr:colOff>240023</xdr:colOff>
      <xdr:row>18</xdr:row>
      <xdr:rowOff>176588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8E09C62A-B19C-48EA-9315-4E60C38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105924" y="352970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19</xdr:row>
      <xdr:rowOff>24298</xdr:rowOff>
    </xdr:from>
    <xdr:to>
      <xdr:col>4</xdr:col>
      <xdr:colOff>1489960</xdr:colOff>
      <xdr:row>19</xdr:row>
      <xdr:rowOff>176698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D3B1F9D8-1FB9-4CCC-AB18-8FC38065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3279099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19</xdr:row>
      <xdr:rowOff>24298</xdr:rowOff>
    </xdr:from>
    <xdr:to>
      <xdr:col>7</xdr:col>
      <xdr:colOff>240023</xdr:colOff>
      <xdr:row>19</xdr:row>
      <xdr:rowOff>176698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81A80BCC-163A-4B85-8D58-016F2B87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105924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20</xdr:row>
      <xdr:rowOff>24407</xdr:rowOff>
    </xdr:from>
    <xdr:to>
      <xdr:col>4</xdr:col>
      <xdr:colOff>1489960</xdr:colOff>
      <xdr:row>20</xdr:row>
      <xdr:rowOff>176807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4A4F891E-AB72-43C4-A284-70FCE9C9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79099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20</xdr:row>
      <xdr:rowOff>24407</xdr:rowOff>
    </xdr:from>
    <xdr:to>
      <xdr:col>7</xdr:col>
      <xdr:colOff>240023</xdr:colOff>
      <xdr:row>20</xdr:row>
      <xdr:rowOff>176807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F71F1484-F61B-4786-8758-E11CDA62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5924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21</xdr:row>
      <xdr:rowOff>24516</xdr:rowOff>
    </xdr:from>
    <xdr:to>
      <xdr:col>4</xdr:col>
      <xdr:colOff>1489960</xdr:colOff>
      <xdr:row>21</xdr:row>
      <xdr:rowOff>176916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319DA717-6C51-4F4D-BFFA-1D38C87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79099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21</xdr:row>
      <xdr:rowOff>24516</xdr:rowOff>
    </xdr:from>
    <xdr:to>
      <xdr:col>7</xdr:col>
      <xdr:colOff>240023</xdr:colOff>
      <xdr:row>21</xdr:row>
      <xdr:rowOff>176916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6632C049-B85E-46D0-B7B7-A1CAC3C51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05924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33982</xdr:colOff>
      <xdr:row>22</xdr:row>
      <xdr:rowOff>26832</xdr:rowOff>
    </xdr:from>
    <xdr:to>
      <xdr:col>7</xdr:col>
      <xdr:colOff>243532</xdr:colOff>
      <xdr:row>22</xdr:row>
      <xdr:rowOff>179232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96818C32-A562-4D53-9311-5D6F1D781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9433" y="42974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1283683</xdr:colOff>
      <xdr:row>22</xdr:row>
      <xdr:rowOff>21818</xdr:rowOff>
    </xdr:from>
    <xdr:to>
      <xdr:col>4</xdr:col>
      <xdr:colOff>1492231</xdr:colOff>
      <xdr:row>22</xdr:row>
      <xdr:rowOff>174218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A492C35E-1FA0-4700-97B8-1F0D323A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82372" y="429245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23</xdr:row>
      <xdr:rowOff>15615</xdr:rowOff>
    </xdr:from>
    <xdr:to>
      <xdr:col>7</xdr:col>
      <xdr:colOff>237130</xdr:colOff>
      <xdr:row>23</xdr:row>
      <xdr:rowOff>168015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9D794716-F9EE-4D2B-BCC7-ADB397F6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3031" y="44775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24</xdr:row>
      <xdr:rowOff>20738</xdr:rowOff>
    </xdr:from>
    <xdr:to>
      <xdr:col>4</xdr:col>
      <xdr:colOff>1494050</xdr:colOff>
      <xdr:row>24</xdr:row>
      <xdr:rowOff>173138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84038F55-C665-4EDF-8A5B-1434D1A8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84191" y="4673935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1284299</xdr:colOff>
      <xdr:row>23</xdr:row>
      <xdr:rowOff>19624</xdr:rowOff>
    </xdr:from>
    <xdr:to>
      <xdr:col>4</xdr:col>
      <xdr:colOff>1493849</xdr:colOff>
      <xdr:row>23</xdr:row>
      <xdr:rowOff>172024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632F5E0B-950B-4A04-BA6C-0436A596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2988" y="44815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24</xdr:row>
      <xdr:rowOff>15725</xdr:rowOff>
    </xdr:from>
    <xdr:to>
      <xdr:col>7</xdr:col>
      <xdr:colOff>237130</xdr:colOff>
      <xdr:row>24</xdr:row>
      <xdr:rowOff>168125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4071C906-A0E7-4CE9-B3BF-5C7E6CF8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03031" y="46689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25</xdr:row>
      <xdr:rowOff>23856</xdr:rowOff>
    </xdr:from>
    <xdr:to>
      <xdr:col>4</xdr:col>
      <xdr:colOff>1494050</xdr:colOff>
      <xdr:row>25</xdr:row>
      <xdr:rowOff>176256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F796A2AB-26EF-4897-93AC-402DBEA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84191" y="486833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25</xdr:row>
      <xdr:rowOff>13830</xdr:rowOff>
    </xdr:from>
    <xdr:to>
      <xdr:col>7</xdr:col>
      <xdr:colOff>237130</xdr:colOff>
      <xdr:row>25</xdr:row>
      <xdr:rowOff>166230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7B11A404-E79B-4E70-A731-103B739D0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103031" y="4858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29</xdr:row>
      <xdr:rowOff>14266</xdr:rowOff>
    </xdr:from>
    <xdr:to>
      <xdr:col>4</xdr:col>
      <xdr:colOff>1486830</xdr:colOff>
      <xdr:row>29</xdr:row>
      <xdr:rowOff>166666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24837278-93DD-4EE9-B1B4-8AA3B670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5969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27</xdr:row>
      <xdr:rowOff>18058</xdr:rowOff>
    </xdr:from>
    <xdr:to>
      <xdr:col>7</xdr:col>
      <xdr:colOff>237130</xdr:colOff>
      <xdr:row>27</xdr:row>
      <xdr:rowOff>170458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F4C67D1C-DBC8-48F3-AEB4-717369EC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3031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28</xdr:row>
      <xdr:rowOff>19170</xdr:rowOff>
    </xdr:from>
    <xdr:to>
      <xdr:col>7</xdr:col>
      <xdr:colOff>237130</xdr:colOff>
      <xdr:row>28</xdr:row>
      <xdr:rowOff>171570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A398299C-BF7D-42E1-B2C2-7D79E1F6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103031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26</xdr:row>
      <xdr:rowOff>18952</xdr:rowOff>
    </xdr:from>
    <xdr:to>
      <xdr:col>4</xdr:col>
      <xdr:colOff>1490576</xdr:colOff>
      <xdr:row>26</xdr:row>
      <xdr:rowOff>171352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187E2DE7-8B97-4AF3-A951-E6991EF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9715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26076</xdr:colOff>
      <xdr:row>29</xdr:row>
      <xdr:rowOff>14266</xdr:rowOff>
    </xdr:from>
    <xdr:to>
      <xdr:col>7</xdr:col>
      <xdr:colOff>235626</xdr:colOff>
      <xdr:row>29</xdr:row>
      <xdr:rowOff>166666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44EF7837-148E-41DF-875A-1D0F531C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101527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27</xdr:row>
      <xdr:rowOff>18058</xdr:rowOff>
    </xdr:from>
    <xdr:to>
      <xdr:col>4</xdr:col>
      <xdr:colOff>1490576</xdr:colOff>
      <xdr:row>27</xdr:row>
      <xdr:rowOff>170458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8E1EE9CC-3A5B-4BC2-B815-21BA51E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9715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28</xdr:row>
      <xdr:rowOff>19170</xdr:rowOff>
    </xdr:from>
    <xdr:to>
      <xdr:col>4</xdr:col>
      <xdr:colOff>1491041</xdr:colOff>
      <xdr:row>28</xdr:row>
      <xdr:rowOff>171570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36A088A0-E9DE-4E2B-820A-4ED4CEF4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80180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26</xdr:row>
      <xdr:rowOff>18952</xdr:rowOff>
    </xdr:from>
    <xdr:to>
      <xdr:col>7</xdr:col>
      <xdr:colOff>244148</xdr:colOff>
      <xdr:row>26</xdr:row>
      <xdr:rowOff>171352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C6FF0E20-6461-4635-9D83-B6A8D8CD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10049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31</xdr:row>
      <xdr:rowOff>9471</xdr:rowOff>
    </xdr:from>
    <xdr:to>
      <xdr:col>7</xdr:col>
      <xdr:colOff>237130</xdr:colOff>
      <xdr:row>31</xdr:row>
      <xdr:rowOff>161871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1D2DE972-42C3-4B35-9D9B-D44D3222D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103031" y="600163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32</xdr:row>
      <xdr:rowOff>21612</xdr:rowOff>
    </xdr:from>
    <xdr:to>
      <xdr:col>4</xdr:col>
      <xdr:colOff>1491041</xdr:colOff>
      <xdr:row>32</xdr:row>
      <xdr:rowOff>174012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45B79A5B-7180-4EF1-A10A-F4558F68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80180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29585</xdr:colOff>
      <xdr:row>33</xdr:row>
      <xdr:rowOff>16709</xdr:rowOff>
    </xdr:from>
    <xdr:to>
      <xdr:col>7</xdr:col>
      <xdr:colOff>239135</xdr:colOff>
      <xdr:row>33</xdr:row>
      <xdr:rowOff>169109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99219DA7-2B42-47C5-A117-23215AE0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105036" y="63914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30</xdr:row>
      <xdr:rowOff>19390</xdr:rowOff>
    </xdr:from>
    <xdr:to>
      <xdr:col>4</xdr:col>
      <xdr:colOff>1491041</xdr:colOff>
      <xdr:row>30</xdr:row>
      <xdr:rowOff>171790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34E4060E-64BF-4420-92E8-55ED4FDE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80180" y="58202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33</xdr:row>
      <xdr:rowOff>21722</xdr:rowOff>
    </xdr:from>
    <xdr:to>
      <xdr:col>4</xdr:col>
      <xdr:colOff>1490576</xdr:colOff>
      <xdr:row>33</xdr:row>
      <xdr:rowOff>174122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E34D46EF-A7A1-49C2-8271-6B46C1F0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715" y="639644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30</xdr:row>
      <xdr:rowOff>14377</xdr:rowOff>
    </xdr:from>
    <xdr:to>
      <xdr:col>7</xdr:col>
      <xdr:colOff>237130</xdr:colOff>
      <xdr:row>30</xdr:row>
      <xdr:rowOff>166777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A9348A8D-2583-4F32-A4EA-9125C428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3031" y="58152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31</xdr:row>
      <xdr:rowOff>21503</xdr:rowOff>
    </xdr:from>
    <xdr:to>
      <xdr:col>4</xdr:col>
      <xdr:colOff>1491041</xdr:colOff>
      <xdr:row>31</xdr:row>
      <xdr:rowOff>173903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CE5C2639-EABA-4A03-8A6C-AF7B87EE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80180" y="601366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32</xdr:row>
      <xdr:rowOff>21612</xdr:rowOff>
    </xdr:from>
    <xdr:to>
      <xdr:col>7</xdr:col>
      <xdr:colOff>244148</xdr:colOff>
      <xdr:row>32</xdr:row>
      <xdr:rowOff>174012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3A17A8D5-E5C3-4502-ACC1-F022CADA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10049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45126</xdr:colOff>
      <xdr:row>36</xdr:row>
      <xdr:rowOff>22050</xdr:rowOff>
    </xdr:from>
    <xdr:to>
      <xdr:col>7</xdr:col>
      <xdr:colOff>197526</xdr:colOff>
      <xdr:row>36</xdr:row>
      <xdr:rowOff>174450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895A885F-98CA-4F6A-9916-B0DAF48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20577" y="697061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34</xdr:row>
      <xdr:rowOff>16818</xdr:rowOff>
    </xdr:from>
    <xdr:to>
      <xdr:col>4</xdr:col>
      <xdr:colOff>1486830</xdr:colOff>
      <xdr:row>34</xdr:row>
      <xdr:rowOff>169218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9235FBAD-22D6-49E9-B050-FA873032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969" y="65828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37</xdr:row>
      <xdr:rowOff>22160</xdr:rowOff>
    </xdr:from>
    <xdr:to>
      <xdr:col>7</xdr:col>
      <xdr:colOff>244148</xdr:colOff>
      <xdr:row>37</xdr:row>
      <xdr:rowOff>174560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23478721-E983-4248-9001-C89BDD9A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110049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1272601</xdr:colOff>
      <xdr:row>35</xdr:row>
      <xdr:rowOff>19937</xdr:rowOff>
    </xdr:from>
    <xdr:to>
      <xdr:col>4</xdr:col>
      <xdr:colOff>1482151</xdr:colOff>
      <xdr:row>35</xdr:row>
      <xdr:rowOff>172337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56FB87C-BBF9-432F-938B-7B7EB24C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3271290" y="67772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37</xdr:row>
      <xdr:rowOff>22160</xdr:rowOff>
    </xdr:from>
    <xdr:to>
      <xdr:col>4</xdr:col>
      <xdr:colOff>1491041</xdr:colOff>
      <xdr:row>37</xdr:row>
      <xdr:rowOff>174560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914E9B18-87CA-4972-A74B-487A6525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80180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31089</xdr:colOff>
      <xdr:row>35</xdr:row>
      <xdr:rowOff>16928</xdr:rowOff>
    </xdr:from>
    <xdr:to>
      <xdr:col>7</xdr:col>
      <xdr:colOff>240639</xdr:colOff>
      <xdr:row>35</xdr:row>
      <xdr:rowOff>169328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335E16C5-AEA3-4DA4-B7E2-D639AAA5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6540" y="677421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1282627</xdr:colOff>
      <xdr:row>36</xdr:row>
      <xdr:rowOff>20046</xdr:rowOff>
    </xdr:from>
    <xdr:to>
      <xdr:col>4</xdr:col>
      <xdr:colOff>1492177</xdr:colOff>
      <xdr:row>36</xdr:row>
      <xdr:rowOff>172446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6A835687-E18C-4E61-96BF-2CACA702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81316" y="69686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34</xdr:row>
      <xdr:rowOff>20828</xdr:rowOff>
    </xdr:from>
    <xdr:to>
      <xdr:col>7</xdr:col>
      <xdr:colOff>244148</xdr:colOff>
      <xdr:row>34</xdr:row>
      <xdr:rowOff>173228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E10BFCAC-63C9-4009-B349-80D1C543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10049" y="65868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30315</xdr:colOff>
      <xdr:row>38</xdr:row>
      <xdr:rowOff>31229</xdr:rowOff>
    </xdr:from>
    <xdr:to>
      <xdr:col>7</xdr:col>
      <xdr:colOff>239865</xdr:colOff>
      <xdr:row>38</xdr:row>
      <xdr:rowOff>183629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E570160C-80AC-4AF7-B902-1CF4A231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576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39</xdr:row>
      <xdr:rowOff>29334</xdr:rowOff>
    </xdr:from>
    <xdr:to>
      <xdr:col>4</xdr:col>
      <xdr:colOff>1490267</xdr:colOff>
      <xdr:row>39</xdr:row>
      <xdr:rowOff>181734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E17326C1-F69C-4536-A19B-D6DDD4D3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79406" y="75517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39</xdr:row>
      <xdr:rowOff>28330</xdr:rowOff>
    </xdr:from>
    <xdr:to>
      <xdr:col>7</xdr:col>
      <xdr:colOff>233349</xdr:colOff>
      <xdr:row>39</xdr:row>
      <xdr:rowOff>180730</xdr:rowOff>
    </xdr:to>
    <xdr:pic>
      <xdr:nvPicPr>
        <xdr:cNvPr id="174" name="Graphic 173">
          <a:extLst>
            <a:ext uri="{FF2B5EF4-FFF2-40B4-BE49-F238E27FC236}">
              <a16:creationId xmlns:a16="http://schemas.microsoft.com/office/drawing/2014/main" id="{0BB292AF-CF63-4D91-9FB2-B9D9255E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99250" y="75507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38</xdr:row>
      <xdr:rowOff>31229</xdr:rowOff>
    </xdr:from>
    <xdr:to>
      <xdr:col>4</xdr:col>
      <xdr:colOff>1490267</xdr:colOff>
      <xdr:row>38</xdr:row>
      <xdr:rowOff>183629</xdr:rowOff>
    </xdr:to>
    <xdr:pic>
      <xdr:nvPicPr>
        <xdr:cNvPr id="175" name="Graphic 174">
          <a:extLst>
            <a:ext uri="{FF2B5EF4-FFF2-40B4-BE49-F238E27FC236}">
              <a16:creationId xmlns:a16="http://schemas.microsoft.com/office/drawing/2014/main" id="{F4CB1AE2-6EB2-4E8D-863B-D17D5F1C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27940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40</xdr:row>
      <xdr:rowOff>27436</xdr:rowOff>
    </xdr:from>
    <xdr:to>
      <xdr:col>7</xdr:col>
      <xdr:colOff>233349</xdr:colOff>
      <xdr:row>40</xdr:row>
      <xdr:rowOff>179836</xdr:rowOff>
    </xdr:to>
    <xdr:pic>
      <xdr:nvPicPr>
        <xdr:cNvPr id="176" name="Graphic 175">
          <a:extLst>
            <a:ext uri="{FF2B5EF4-FFF2-40B4-BE49-F238E27FC236}">
              <a16:creationId xmlns:a16="http://schemas.microsoft.com/office/drawing/2014/main" id="{D5A3DA86-7AE0-44D5-8116-38B4AF82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099250" y="77411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41</xdr:row>
      <xdr:rowOff>29554</xdr:rowOff>
    </xdr:from>
    <xdr:to>
      <xdr:col>4</xdr:col>
      <xdr:colOff>1489802</xdr:colOff>
      <xdr:row>41</xdr:row>
      <xdr:rowOff>181954</xdr:rowOff>
    </xdr:to>
    <xdr:pic>
      <xdr:nvPicPr>
        <xdr:cNvPr id="177" name="Graphic 176">
          <a:extLst>
            <a:ext uri="{FF2B5EF4-FFF2-40B4-BE49-F238E27FC236}">
              <a16:creationId xmlns:a16="http://schemas.microsoft.com/office/drawing/2014/main" id="{061D0F4C-BFD4-4980-B574-A5BBE076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278941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41</xdr:row>
      <xdr:rowOff>29554</xdr:rowOff>
    </xdr:from>
    <xdr:to>
      <xdr:col>7</xdr:col>
      <xdr:colOff>230342</xdr:colOff>
      <xdr:row>41</xdr:row>
      <xdr:rowOff>181954</xdr:rowOff>
    </xdr:to>
    <xdr:pic>
      <xdr:nvPicPr>
        <xdr:cNvPr id="178" name="Graphic 177">
          <a:extLst>
            <a:ext uri="{FF2B5EF4-FFF2-40B4-BE49-F238E27FC236}">
              <a16:creationId xmlns:a16="http://schemas.microsoft.com/office/drawing/2014/main" id="{5538F9C8-A0F4-472F-8854-3DD95157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096243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40</xdr:row>
      <xdr:rowOff>27437</xdr:rowOff>
    </xdr:from>
    <xdr:to>
      <xdr:col>4</xdr:col>
      <xdr:colOff>1489802</xdr:colOff>
      <xdr:row>40</xdr:row>
      <xdr:rowOff>179837</xdr:rowOff>
    </xdr:to>
    <xdr:pic>
      <xdr:nvPicPr>
        <xdr:cNvPr id="179" name="Graphic 178">
          <a:extLst>
            <a:ext uri="{FF2B5EF4-FFF2-40B4-BE49-F238E27FC236}">
              <a16:creationId xmlns:a16="http://schemas.microsoft.com/office/drawing/2014/main" id="{BF2B4886-397C-4C6C-B099-6DAAF286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78941" y="774112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44</xdr:row>
      <xdr:rowOff>25870</xdr:rowOff>
    </xdr:from>
    <xdr:to>
      <xdr:col>7</xdr:col>
      <xdr:colOff>231343</xdr:colOff>
      <xdr:row>44</xdr:row>
      <xdr:rowOff>178270</xdr:rowOff>
    </xdr:to>
    <xdr:pic>
      <xdr:nvPicPr>
        <xdr:cNvPr id="180" name="Graphic 179">
          <a:extLst>
            <a:ext uri="{FF2B5EF4-FFF2-40B4-BE49-F238E27FC236}">
              <a16:creationId xmlns:a16="http://schemas.microsoft.com/office/drawing/2014/main" id="{605DFDD4-24E5-4DCF-8C84-4031B2CF3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097244" y="85046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45</xdr:row>
      <xdr:rowOff>29991</xdr:rowOff>
    </xdr:from>
    <xdr:to>
      <xdr:col>4</xdr:col>
      <xdr:colOff>1489802</xdr:colOff>
      <xdr:row>45</xdr:row>
      <xdr:rowOff>182391</xdr:rowOff>
    </xdr:to>
    <xdr:pic>
      <xdr:nvPicPr>
        <xdr:cNvPr id="181" name="Graphic 180">
          <a:extLst>
            <a:ext uri="{FF2B5EF4-FFF2-40B4-BE49-F238E27FC236}">
              <a16:creationId xmlns:a16="http://schemas.microsoft.com/office/drawing/2014/main" id="{BD0BD818-94C4-4B50-B510-C69C4DCC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278941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42</xdr:row>
      <xdr:rowOff>28660</xdr:rowOff>
    </xdr:from>
    <xdr:to>
      <xdr:col>7</xdr:col>
      <xdr:colOff>230342</xdr:colOff>
      <xdr:row>42</xdr:row>
      <xdr:rowOff>181060</xdr:rowOff>
    </xdr:to>
    <xdr:pic>
      <xdr:nvPicPr>
        <xdr:cNvPr id="182" name="Graphic 181">
          <a:extLst>
            <a:ext uri="{FF2B5EF4-FFF2-40B4-BE49-F238E27FC236}">
              <a16:creationId xmlns:a16="http://schemas.microsoft.com/office/drawing/2014/main" id="{D7A0D99E-2ED0-4F92-8EE8-C6B441A4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096243" y="81249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43</xdr:row>
      <xdr:rowOff>31776</xdr:rowOff>
    </xdr:from>
    <xdr:to>
      <xdr:col>4</xdr:col>
      <xdr:colOff>1489802</xdr:colOff>
      <xdr:row>43</xdr:row>
      <xdr:rowOff>184176</xdr:rowOff>
    </xdr:to>
    <xdr:pic>
      <xdr:nvPicPr>
        <xdr:cNvPr id="183" name="Graphic 182">
          <a:extLst>
            <a:ext uri="{FF2B5EF4-FFF2-40B4-BE49-F238E27FC236}">
              <a16:creationId xmlns:a16="http://schemas.microsoft.com/office/drawing/2014/main" id="{FADEB62F-C1B4-40BD-8F13-9AB44C3E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8941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45</xdr:row>
      <xdr:rowOff>29991</xdr:rowOff>
    </xdr:from>
    <xdr:to>
      <xdr:col>7</xdr:col>
      <xdr:colOff>230342</xdr:colOff>
      <xdr:row>45</xdr:row>
      <xdr:rowOff>182391</xdr:rowOff>
    </xdr:to>
    <xdr:pic>
      <xdr:nvPicPr>
        <xdr:cNvPr id="184" name="Graphic 183">
          <a:extLst>
            <a:ext uri="{FF2B5EF4-FFF2-40B4-BE49-F238E27FC236}">
              <a16:creationId xmlns:a16="http://schemas.microsoft.com/office/drawing/2014/main" id="{B1FE9F43-A70F-40E4-A46E-4B492373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096243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44</xdr:row>
      <xdr:rowOff>30883</xdr:rowOff>
    </xdr:from>
    <xdr:to>
      <xdr:col>4</xdr:col>
      <xdr:colOff>1486056</xdr:colOff>
      <xdr:row>44</xdr:row>
      <xdr:rowOff>183283</xdr:rowOff>
    </xdr:to>
    <xdr:pic>
      <xdr:nvPicPr>
        <xdr:cNvPr id="185" name="Graphic 184">
          <a:extLst>
            <a:ext uri="{FF2B5EF4-FFF2-40B4-BE49-F238E27FC236}">
              <a16:creationId xmlns:a16="http://schemas.microsoft.com/office/drawing/2014/main" id="{D6F816FD-8B81-4F8E-9F37-81C41FE6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5195" y="850969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43</xdr:row>
      <xdr:rowOff>31776</xdr:rowOff>
    </xdr:from>
    <xdr:to>
      <xdr:col>7</xdr:col>
      <xdr:colOff>231343</xdr:colOff>
      <xdr:row>43</xdr:row>
      <xdr:rowOff>184176</xdr:rowOff>
    </xdr:to>
    <xdr:pic>
      <xdr:nvPicPr>
        <xdr:cNvPr id="186" name="Graphic 185">
          <a:extLst>
            <a:ext uri="{FF2B5EF4-FFF2-40B4-BE49-F238E27FC236}">
              <a16:creationId xmlns:a16="http://schemas.microsoft.com/office/drawing/2014/main" id="{F8144853-86A7-442E-8925-6805C065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4097244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42</xdr:row>
      <xdr:rowOff>31667</xdr:rowOff>
    </xdr:from>
    <xdr:to>
      <xdr:col>4</xdr:col>
      <xdr:colOff>1490267</xdr:colOff>
      <xdr:row>42</xdr:row>
      <xdr:rowOff>184067</xdr:rowOff>
    </xdr:to>
    <xdr:pic>
      <xdr:nvPicPr>
        <xdr:cNvPr id="187" name="Graphic 186">
          <a:extLst>
            <a:ext uri="{FF2B5EF4-FFF2-40B4-BE49-F238E27FC236}">
              <a16:creationId xmlns:a16="http://schemas.microsoft.com/office/drawing/2014/main" id="{D9869385-E3E9-48AF-8AEA-A5C54A95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279406" y="8127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47</xdr:row>
      <xdr:rowOff>19849</xdr:rowOff>
    </xdr:from>
    <xdr:to>
      <xdr:col>7</xdr:col>
      <xdr:colOff>228837</xdr:colOff>
      <xdr:row>47</xdr:row>
      <xdr:rowOff>172249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66D40F43-9FAC-461B-9600-C0A8D1D4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094738" y="9072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46</xdr:row>
      <xdr:rowOff>30101</xdr:rowOff>
    </xdr:from>
    <xdr:to>
      <xdr:col>4</xdr:col>
      <xdr:colOff>1490267</xdr:colOff>
      <xdr:row>46</xdr:row>
      <xdr:rowOff>182501</xdr:rowOff>
    </xdr:to>
    <xdr:pic>
      <xdr:nvPicPr>
        <xdr:cNvPr id="189" name="Graphic 188">
          <a:extLst>
            <a:ext uri="{FF2B5EF4-FFF2-40B4-BE49-F238E27FC236}">
              <a16:creationId xmlns:a16="http://schemas.microsoft.com/office/drawing/2014/main" id="{B29E90D8-0ACB-42E6-8B0A-2F3AF5C2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79406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49</xdr:row>
      <xdr:rowOff>27420</xdr:rowOff>
    </xdr:from>
    <xdr:to>
      <xdr:col>7</xdr:col>
      <xdr:colOff>228837</xdr:colOff>
      <xdr:row>49</xdr:row>
      <xdr:rowOff>179820</xdr:rowOff>
    </xdr:to>
    <xdr:pic>
      <xdr:nvPicPr>
        <xdr:cNvPr id="190" name="Graphic 189">
          <a:extLst>
            <a:ext uri="{FF2B5EF4-FFF2-40B4-BE49-F238E27FC236}">
              <a16:creationId xmlns:a16="http://schemas.microsoft.com/office/drawing/2014/main" id="{2041A232-6C75-469A-8901-4D7B2E62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094738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48</xdr:row>
      <xdr:rowOff>28983</xdr:rowOff>
    </xdr:from>
    <xdr:to>
      <xdr:col>4</xdr:col>
      <xdr:colOff>1489802</xdr:colOff>
      <xdr:row>48</xdr:row>
      <xdr:rowOff>181383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FE4B9485-F6AA-4F52-956A-7E1D92C3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78941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48</xdr:row>
      <xdr:rowOff>28983</xdr:rowOff>
    </xdr:from>
    <xdr:to>
      <xdr:col>7</xdr:col>
      <xdr:colOff>228837</xdr:colOff>
      <xdr:row>48</xdr:row>
      <xdr:rowOff>181383</xdr:rowOff>
    </xdr:to>
    <xdr:pic>
      <xdr:nvPicPr>
        <xdr:cNvPr id="192" name="Graphic 191">
          <a:extLst>
            <a:ext uri="{FF2B5EF4-FFF2-40B4-BE49-F238E27FC236}">
              <a16:creationId xmlns:a16="http://schemas.microsoft.com/office/drawing/2014/main" id="{1E9ADE1C-28E2-4F40-B825-0D86951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4094738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49</xdr:row>
      <xdr:rowOff>27420</xdr:rowOff>
    </xdr:from>
    <xdr:to>
      <xdr:col>4</xdr:col>
      <xdr:colOff>1489802</xdr:colOff>
      <xdr:row>49</xdr:row>
      <xdr:rowOff>179820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7DA7BBB8-0FF4-4517-A52E-0CA5C5F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3278941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46</xdr:row>
      <xdr:rowOff>30101</xdr:rowOff>
    </xdr:from>
    <xdr:to>
      <xdr:col>7</xdr:col>
      <xdr:colOff>228837</xdr:colOff>
      <xdr:row>46</xdr:row>
      <xdr:rowOff>182501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7D2B5624-F239-4AEC-AEB0-88500E41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4094738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47</xdr:row>
      <xdr:rowOff>32214</xdr:rowOff>
    </xdr:from>
    <xdr:to>
      <xdr:col>4</xdr:col>
      <xdr:colOff>1490267</xdr:colOff>
      <xdr:row>47</xdr:row>
      <xdr:rowOff>184614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C831E00B-F16A-4F8A-B3B4-361CC90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3279406" y="90848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41344</xdr:colOff>
      <xdr:row>52</xdr:row>
      <xdr:rowOff>30758</xdr:rowOff>
    </xdr:from>
    <xdr:to>
      <xdr:col>7</xdr:col>
      <xdr:colOff>193744</xdr:colOff>
      <xdr:row>52</xdr:row>
      <xdr:rowOff>183158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id="{941F63E6-5C33-4BCB-9D0F-F6185287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16795" y="1003981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53</xdr:row>
      <xdr:rowOff>30867</xdr:rowOff>
    </xdr:from>
    <xdr:to>
      <xdr:col>4</xdr:col>
      <xdr:colOff>1486056</xdr:colOff>
      <xdr:row>53</xdr:row>
      <xdr:rowOff>183267</xdr:rowOff>
    </xdr:to>
    <xdr:pic>
      <xdr:nvPicPr>
        <xdr:cNvPr id="197" name="Graphic 196">
          <a:extLst>
            <a:ext uri="{FF2B5EF4-FFF2-40B4-BE49-F238E27FC236}">
              <a16:creationId xmlns:a16="http://schemas.microsoft.com/office/drawing/2014/main" id="{6EA607EC-65BC-41BD-95B4-162D0D9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195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50</xdr:row>
      <xdr:rowOff>36552</xdr:rowOff>
    </xdr:from>
    <xdr:to>
      <xdr:col>7</xdr:col>
      <xdr:colOff>226331</xdr:colOff>
      <xdr:row>50</xdr:row>
      <xdr:rowOff>188952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392FE463-BABA-474D-B3E1-4AD6D176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092232" y="96630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51</xdr:row>
      <xdr:rowOff>30648</xdr:rowOff>
    </xdr:from>
    <xdr:to>
      <xdr:col>7</xdr:col>
      <xdr:colOff>226331</xdr:colOff>
      <xdr:row>51</xdr:row>
      <xdr:rowOff>183048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49B0B1E0-79B7-4827-AFB1-4DCA0DF6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092232" y="98484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50</xdr:row>
      <xdr:rowOff>32542</xdr:rowOff>
    </xdr:from>
    <xdr:to>
      <xdr:col>4</xdr:col>
      <xdr:colOff>1490267</xdr:colOff>
      <xdr:row>50</xdr:row>
      <xdr:rowOff>184942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0C25B70A-7175-413E-8A4F-F7B9322F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3279406" y="96590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16779</xdr:colOff>
      <xdr:row>53</xdr:row>
      <xdr:rowOff>30867</xdr:rowOff>
    </xdr:from>
    <xdr:to>
      <xdr:col>7</xdr:col>
      <xdr:colOff>226329</xdr:colOff>
      <xdr:row>53</xdr:row>
      <xdr:rowOff>183267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82A2F0CD-F5F8-4342-BCC9-890FE681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092230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52</xdr:row>
      <xdr:rowOff>30758</xdr:rowOff>
    </xdr:from>
    <xdr:to>
      <xdr:col>4</xdr:col>
      <xdr:colOff>1490267</xdr:colOff>
      <xdr:row>52</xdr:row>
      <xdr:rowOff>183158</xdr:rowOff>
    </xdr:to>
    <xdr:pic>
      <xdr:nvPicPr>
        <xdr:cNvPr id="202" name="Graphic 201">
          <a:extLst>
            <a:ext uri="{FF2B5EF4-FFF2-40B4-BE49-F238E27FC236}">
              <a16:creationId xmlns:a16="http://schemas.microsoft.com/office/drawing/2014/main" id="{CFBE8BC2-B585-4252-8C69-B32D2684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3279406" y="10039815"/>
          <a:ext cx="20955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://www.excely.com/football/2022-fifa-world-cup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wallchart.io/football/world-cup-202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2223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5">
      <c r="A2" t="s">
        <v>2246</v>
      </c>
      <c r="B2" t="s">
        <v>2247</v>
      </c>
      <c r="C2" t="s">
        <v>2248</v>
      </c>
      <c r="D2" t="s">
        <v>2249</v>
      </c>
      <c r="E2" t="s">
        <v>2250</v>
      </c>
      <c r="F2" t="s">
        <v>2251</v>
      </c>
      <c r="G2" t="s">
        <v>2252</v>
      </c>
      <c r="H2" t="s">
        <v>2253</v>
      </c>
      <c r="I2" t="s">
        <v>2254</v>
      </c>
      <c r="J2" t="s">
        <v>2255</v>
      </c>
      <c r="K2" t="s">
        <v>2256</v>
      </c>
      <c r="L2" t="s">
        <v>2257</v>
      </c>
      <c r="M2" t="s">
        <v>2258</v>
      </c>
      <c r="N2" t="s">
        <v>2259</v>
      </c>
      <c r="O2" t="s">
        <v>2260</v>
      </c>
      <c r="P2" t="s">
        <v>2261</v>
      </c>
      <c r="Q2" t="s">
        <v>2262</v>
      </c>
      <c r="R2" t="s">
        <v>2263</v>
      </c>
      <c r="S2" t="s">
        <v>2264</v>
      </c>
      <c r="T2" t="s">
        <v>2265</v>
      </c>
      <c r="U2" t="s">
        <v>2266</v>
      </c>
      <c r="V2" t="s">
        <v>2267</v>
      </c>
      <c r="W2" t="s">
        <v>2268</v>
      </c>
      <c r="X2" t="s">
        <v>2269</v>
      </c>
      <c r="Y2" t="s">
        <v>2270</v>
      </c>
      <c r="Z2" t="s">
        <v>2271</v>
      </c>
      <c r="AA2" t="s">
        <v>2272</v>
      </c>
      <c r="AB2" t="s">
        <v>2273</v>
      </c>
      <c r="AC2" t="s">
        <v>2274</v>
      </c>
      <c r="AD2" t="s">
        <v>2275</v>
      </c>
      <c r="AE2" t="s">
        <v>2276</v>
      </c>
      <c r="AF2" t="s">
        <v>2277</v>
      </c>
      <c r="AG2" t="s">
        <v>2278</v>
      </c>
      <c r="AH2" t="s">
        <v>2279</v>
      </c>
      <c r="AI2" t="s">
        <v>2280</v>
      </c>
      <c r="AJ2" t="s">
        <v>2281</v>
      </c>
      <c r="AK2" t="s">
        <v>2282</v>
      </c>
      <c r="AL2" t="s">
        <v>2283</v>
      </c>
      <c r="AM2" t="s">
        <v>2284</v>
      </c>
      <c r="AN2" t="s">
        <v>2285</v>
      </c>
      <c r="AO2" s="1" t="s">
        <v>2286</v>
      </c>
      <c r="AP2" t="s">
        <v>41</v>
      </c>
    </row>
    <row r="3" spans="1:42" x14ac:dyDescent="0.25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2224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75</v>
      </c>
      <c r="AJ3" t="s">
        <v>71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  <c r="AP3" t="s">
        <v>81</v>
      </c>
    </row>
    <row r="4" spans="1:42" x14ac:dyDescent="0.25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2225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  <c r="AG4" t="s">
        <v>113</v>
      </c>
      <c r="AH4" t="s">
        <v>114</v>
      </c>
      <c r="AI4" t="s">
        <v>115</v>
      </c>
      <c r="AJ4" t="s">
        <v>116</v>
      </c>
      <c r="AK4" t="s">
        <v>117</v>
      </c>
      <c r="AL4" t="s">
        <v>118</v>
      </c>
      <c r="AM4" t="s">
        <v>119</v>
      </c>
      <c r="AN4" t="s">
        <v>120</v>
      </c>
      <c r="AO4" t="s">
        <v>121</v>
      </c>
      <c r="AP4" t="s">
        <v>122</v>
      </c>
    </row>
    <row r="5" spans="1:42" x14ac:dyDescent="0.25">
      <c r="A5" t="s">
        <v>123</v>
      </c>
      <c r="B5" t="s">
        <v>124</v>
      </c>
      <c r="C5" t="s">
        <v>125</v>
      </c>
      <c r="D5" t="s">
        <v>126</v>
      </c>
      <c r="E5" t="s">
        <v>127</v>
      </c>
      <c r="F5" t="s">
        <v>128</v>
      </c>
      <c r="G5" t="s">
        <v>129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135</v>
      </c>
      <c r="N5" t="s">
        <v>2226</v>
      </c>
      <c r="O5" t="s">
        <v>136</v>
      </c>
      <c r="P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V5" t="s">
        <v>143</v>
      </c>
      <c r="W5" t="s">
        <v>144</v>
      </c>
      <c r="X5" t="s">
        <v>145</v>
      </c>
      <c r="Y5" t="s">
        <v>146</v>
      </c>
      <c r="Z5" t="s">
        <v>147</v>
      </c>
      <c r="AA5" t="s">
        <v>148</v>
      </c>
      <c r="AB5" t="s">
        <v>134</v>
      </c>
      <c r="AC5" t="s">
        <v>149</v>
      </c>
      <c r="AD5" t="s">
        <v>150</v>
      </c>
      <c r="AE5" t="s">
        <v>151</v>
      </c>
      <c r="AF5" t="s">
        <v>152</v>
      </c>
      <c r="AG5" t="s">
        <v>132</v>
      </c>
      <c r="AH5" t="s">
        <v>153</v>
      </c>
      <c r="AI5" t="s">
        <v>154</v>
      </c>
      <c r="AJ5" t="s">
        <v>155</v>
      </c>
      <c r="AK5" t="s">
        <v>156</v>
      </c>
      <c r="AL5" t="s">
        <v>157</v>
      </c>
      <c r="AM5" t="s">
        <v>158</v>
      </c>
      <c r="AN5" t="s">
        <v>159</v>
      </c>
      <c r="AO5" t="s">
        <v>160</v>
      </c>
      <c r="AP5" t="s">
        <v>161</v>
      </c>
    </row>
    <row r="6" spans="1:42" x14ac:dyDescent="0.25">
      <c r="A6" t="s">
        <v>162</v>
      </c>
      <c r="B6" t="s">
        <v>163</v>
      </c>
      <c r="C6" t="s">
        <v>164</v>
      </c>
      <c r="D6" t="s">
        <v>165</v>
      </c>
      <c r="E6" t="s">
        <v>166</v>
      </c>
      <c r="F6" t="s">
        <v>167</v>
      </c>
      <c r="G6" t="s">
        <v>168</v>
      </c>
      <c r="H6" t="s">
        <v>169</v>
      </c>
      <c r="I6" t="s">
        <v>170</v>
      </c>
      <c r="J6" t="s">
        <v>171</v>
      </c>
      <c r="K6" t="s">
        <v>172</v>
      </c>
      <c r="L6" t="s">
        <v>173</v>
      </c>
      <c r="M6" t="s">
        <v>174</v>
      </c>
      <c r="N6" t="s">
        <v>2227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t="s">
        <v>183</v>
      </c>
      <c r="X6" t="s">
        <v>184</v>
      </c>
      <c r="Y6" t="s">
        <v>185</v>
      </c>
      <c r="Z6" t="s">
        <v>186</v>
      </c>
      <c r="AA6" t="s">
        <v>187</v>
      </c>
      <c r="AB6" t="s">
        <v>173</v>
      </c>
      <c r="AC6" t="s">
        <v>188</v>
      </c>
      <c r="AD6" t="s">
        <v>189</v>
      </c>
      <c r="AE6" t="s">
        <v>190</v>
      </c>
      <c r="AF6" t="s">
        <v>173</v>
      </c>
      <c r="AG6" t="s">
        <v>171</v>
      </c>
      <c r="AH6" t="s">
        <v>172</v>
      </c>
      <c r="AI6" t="s">
        <v>191</v>
      </c>
      <c r="AJ6" t="s">
        <v>192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  <c r="AP6" t="s">
        <v>198</v>
      </c>
    </row>
    <row r="7" spans="1:42" x14ac:dyDescent="0.25">
      <c r="A7" t="s">
        <v>199</v>
      </c>
      <c r="B7" t="s">
        <v>200</v>
      </c>
      <c r="C7" t="s">
        <v>201</v>
      </c>
      <c r="D7" t="s">
        <v>202</v>
      </c>
      <c r="E7" t="s">
        <v>203</v>
      </c>
      <c r="F7" t="s">
        <v>204</v>
      </c>
      <c r="G7" t="s">
        <v>205</v>
      </c>
      <c r="H7" t="s">
        <v>206</v>
      </c>
      <c r="I7" t="s">
        <v>207</v>
      </c>
      <c r="J7" t="s">
        <v>208</v>
      </c>
      <c r="K7" t="s">
        <v>209</v>
      </c>
      <c r="L7" t="s">
        <v>210</v>
      </c>
      <c r="M7" t="s">
        <v>211</v>
      </c>
      <c r="N7" t="s">
        <v>2228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229</v>
      </c>
      <c r="AG7" t="s">
        <v>208</v>
      </c>
      <c r="AH7" t="s">
        <v>230</v>
      </c>
      <c r="AI7" t="s">
        <v>231</v>
      </c>
      <c r="AJ7" t="s">
        <v>232</v>
      </c>
      <c r="AK7" t="s">
        <v>233</v>
      </c>
      <c r="AL7" t="s">
        <v>234</v>
      </c>
      <c r="AM7" t="s">
        <v>235</v>
      </c>
      <c r="AN7" t="s">
        <v>236</v>
      </c>
      <c r="AO7" t="s">
        <v>237</v>
      </c>
      <c r="AP7" t="s">
        <v>238</v>
      </c>
    </row>
    <row r="8" spans="1:42" x14ac:dyDescent="0.25">
      <c r="A8" t="s">
        <v>239</v>
      </c>
      <c r="B8" t="s">
        <v>240</v>
      </c>
      <c r="C8" t="s">
        <v>241</v>
      </c>
      <c r="D8" t="s">
        <v>242</v>
      </c>
      <c r="E8" t="s">
        <v>239</v>
      </c>
      <c r="F8" t="s">
        <v>243</v>
      </c>
      <c r="G8" t="s">
        <v>239</v>
      </c>
      <c r="H8" t="s">
        <v>244</v>
      </c>
      <c r="I8" t="s">
        <v>245</v>
      </c>
      <c r="J8" t="s">
        <v>246</v>
      </c>
      <c r="K8" t="s">
        <v>247</v>
      </c>
      <c r="L8" t="s">
        <v>246</v>
      </c>
      <c r="M8" t="s">
        <v>246</v>
      </c>
      <c r="N8" t="s">
        <v>2229</v>
      </c>
      <c r="O8" t="s">
        <v>246</v>
      </c>
      <c r="P8" t="s">
        <v>248</v>
      </c>
      <c r="Q8" t="s">
        <v>246</v>
      </c>
      <c r="R8" t="s">
        <v>249</v>
      </c>
      <c r="S8" t="s">
        <v>250</v>
      </c>
      <c r="T8" t="s">
        <v>251</v>
      </c>
      <c r="U8" t="s">
        <v>239</v>
      </c>
      <c r="V8" t="s">
        <v>252</v>
      </c>
      <c r="W8" t="s">
        <v>246</v>
      </c>
      <c r="X8" t="s">
        <v>253</v>
      </c>
      <c r="Y8" t="s">
        <v>254</v>
      </c>
      <c r="Z8" t="s">
        <v>255</v>
      </c>
      <c r="AA8" t="s">
        <v>256</v>
      </c>
      <c r="AB8" t="s">
        <v>246</v>
      </c>
      <c r="AC8" t="s">
        <v>257</v>
      </c>
      <c r="AD8" t="s">
        <v>258</v>
      </c>
      <c r="AE8" t="s">
        <v>239</v>
      </c>
      <c r="AF8" t="s">
        <v>259</v>
      </c>
      <c r="AG8" t="s">
        <v>246</v>
      </c>
      <c r="AH8" t="s">
        <v>247</v>
      </c>
      <c r="AI8" t="s">
        <v>246</v>
      </c>
      <c r="AJ8" t="s">
        <v>239</v>
      </c>
      <c r="AK8" t="s">
        <v>239</v>
      </c>
      <c r="AL8" t="s">
        <v>260</v>
      </c>
      <c r="AM8" t="s">
        <v>239</v>
      </c>
      <c r="AN8" t="s">
        <v>261</v>
      </c>
      <c r="AO8" t="s">
        <v>262</v>
      </c>
      <c r="AP8" t="s">
        <v>263</v>
      </c>
    </row>
    <row r="9" spans="1:42" x14ac:dyDescent="0.25">
      <c r="A9" t="s">
        <v>264</v>
      </c>
      <c r="B9" t="s">
        <v>265</v>
      </c>
      <c r="C9" t="s">
        <v>266</v>
      </c>
      <c r="D9" t="s">
        <v>267</v>
      </c>
      <c r="E9" t="s">
        <v>268</v>
      </c>
      <c r="F9" t="s">
        <v>269</v>
      </c>
      <c r="G9" t="s">
        <v>270</v>
      </c>
      <c r="H9" t="s">
        <v>271</v>
      </c>
      <c r="I9" t="s">
        <v>272</v>
      </c>
      <c r="J9" t="s">
        <v>273</v>
      </c>
      <c r="K9" t="s">
        <v>274</v>
      </c>
      <c r="L9" t="s">
        <v>275</v>
      </c>
      <c r="M9" t="s">
        <v>276</v>
      </c>
      <c r="N9" t="s">
        <v>2230</v>
      </c>
      <c r="O9" t="s">
        <v>277</v>
      </c>
      <c r="P9" t="s">
        <v>278</v>
      </c>
      <c r="Q9" t="s">
        <v>275</v>
      </c>
      <c r="R9" t="s">
        <v>279</v>
      </c>
      <c r="S9" t="s">
        <v>280</v>
      </c>
      <c r="T9" t="s">
        <v>281</v>
      </c>
      <c r="U9" t="s">
        <v>282</v>
      </c>
      <c r="V9" t="s">
        <v>283</v>
      </c>
      <c r="W9" t="s">
        <v>284</v>
      </c>
      <c r="X9" t="s">
        <v>285</v>
      </c>
      <c r="Y9" t="s">
        <v>286</v>
      </c>
      <c r="Z9" t="s">
        <v>269</v>
      </c>
      <c r="AA9" t="s">
        <v>287</v>
      </c>
      <c r="AB9" t="s">
        <v>275</v>
      </c>
      <c r="AC9" t="s">
        <v>288</v>
      </c>
      <c r="AD9" t="s">
        <v>273</v>
      </c>
      <c r="AE9" t="s">
        <v>289</v>
      </c>
      <c r="AF9" t="s">
        <v>273</v>
      </c>
      <c r="AG9" t="s">
        <v>273</v>
      </c>
      <c r="AH9" t="s">
        <v>274</v>
      </c>
      <c r="AI9" t="s">
        <v>274</v>
      </c>
      <c r="AJ9" t="s">
        <v>289</v>
      </c>
      <c r="AK9" t="s">
        <v>287</v>
      </c>
      <c r="AL9" t="s">
        <v>290</v>
      </c>
      <c r="AM9" t="s">
        <v>270</v>
      </c>
      <c r="AN9" t="s">
        <v>291</v>
      </c>
      <c r="AO9" t="s">
        <v>269</v>
      </c>
      <c r="AP9" t="s">
        <v>81</v>
      </c>
    </row>
    <row r="10" spans="1:42" x14ac:dyDescent="0.25">
      <c r="A10" t="s">
        <v>292</v>
      </c>
      <c r="B10" t="s">
        <v>293</v>
      </c>
      <c r="C10" t="s">
        <v>294</v>
      </c>
      <c r="D10" t="s">
        <v>295</v>
      </c>
      <c r="E10" t="s">
        <v>296</v>
      </c>
      <c r="F10" t="s">
        <v>297</v>
      </c>
      <c r="G10" t="s">
        <v>298</v>
      </c>
      <c r="H10" t="s">
        <v>299</v>
      </c>
      <c r="I10" t="s">
        <v>300</v>
      </c>
      <c r="J10" t="s">
        <v>292</v>
      </c>
      <c r="K10" t="s">
        <v>301</v>
      </c>
      <c r="L10" t="s">
        <v>302</v>
      </c>
      <c r="M10" t="s">
        <v>303</v>
      </c>
      <c r="N10" t="s">
        <v>302</v>
      </c>
      <c r="O10" t="s">
        <v>298</v>
      </c>
      <c r="P10" t="s">
        <v>304</v>
      </c>
      <c r="Q10" t="s">
        <v>302</v>
      </c>
      <c r="R10" t="s">
        <v>305</v>
      </c>
      <c r="S10" t="s">
        <v>306</v>
      </c>
      <c r="T10" t="s">
        <v>307</v>
      </c>
      <c r="U10" t="s">
        <v>308</v>
      </c>
      <c r="V10" t="s">
        <v>293</v>
      </c>
      <c r="W10" t="s">
        <v>309</v>
      </c>
      <c r="X10" t="s">
        <v>310</v>
      </c>
      <c r="Y10" t="s">
        <v>311</v>
      </c>
      <c r="Z10" t="s">
        <v>312</v>
      </c>
      <c r="AA10" t="s">
        <v>293</v>
      </c>
      <c r="AB10" t="s">
        <v>313</v>
      </c>
      <c r="AC10" t="s">
        <v>314</v>
      </c>
      <c r="AD10" t="s">
        <v>307</v>
      </c>
      <c r="AE10" t="s">
        <v>298</v>
      </c>
      <c r="AF10" t="s">
        <v>298</v>
      </c>
      <c r="AG10" t="s">
        <v>316</v>
      </c>
      <c r="AH10" t="s">
        <v>301</v>
      </c>
      <c r="AI10" t="s">
        <v>292</v>
      </c>
      <c r="AJ10" t="s">
        <v>298</v>
      </c>
      <c r="AK10" t="s">
        <v>317</v>
      </c>
      <c r="AL10" t="s">
        <v>318</v>
      </c>
      <c r="AM10" t="s">
        <v>296</v>
      </c>
      <c r="AN10" t="s">
        <v>319</v>
      </c>
      <c r="AO10" t="s">
        <v>320</v>
      </c>
      <c r="AP10" t="s">
        <v>321</v>
      </c>
    </row>
    <row r="11" spans="1:42" x14ac:dyDescent="0.25">
      <c r="A11" t="s">
        <v>322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309</v>
      </c>
      <c r="H11" t="s">
        <v>328</v>
      </c>
      <c r="I11" t="s">
        <v>329</v>
      </c>
      <c r="J11" t="s">
        <v>322</v>
      </c>
      <c r="K11" t="s">
        <v>330</v>
      </c>
      <c r="L11" t="s">
        <v>330</v>
      </c>
      <c r="M11" t="s">
        <v>322</v>
      </c>
      <c r="N11" t="s">
        <v>330</v>
      </c>
      <c r="O11" t="s">
        <v>330</v>
      </c>
      <c r="P11" t="s">
        <v>331</v>
      </c>
      <c r="Q11" t="s">
        <v>313</v>
      </c>
      <c r="R11" t="s">
        <v>332</v>
      </c>
      <c r="S11" t="s">
        <v>333</v>
      </c>
      <c r="T11" t="s">
        <v>334</v>
      </c>
      <c r="U11" t="s">
        <v>335</v>
      </c>
      <c r="V11" t="s">
        <v>336</v>
      </c>
      <c r="W11" t="s">
        <v>330</v>
      </c>
      <c r="X11" t="s">
        <v>337</v>
      </c>
      <c r="Y11" t="s">
        <v>293</v>
      </c>
      <c r="Z11" t="s">
        <v>327</v>
      </c>
      <c r="AA11" t="s">
        <v>338</v>
      </c>
      <c r="AB11" t="s">
        <v>330</v>
      </c>
      <c r="AC11" t="s">
        <v>339</v>
      </c>
      <c r="AD11" t="s">
        <v>301</v>
      </c>
      <c r="AE11" t="s">
        <v>330</v>
      </c>
      <c r="AF11" t="s">
        <v>330</v>
      </c>
      <c r="AG11" t="s">
        <v>341</v>
      </c>
      <c r="AH11" t="s">
        <v>330</v>
      </c>
      <c r="AI11" t="s">
        <v>322</v>
      </c>
      <c r="AJ11" t="s">
        <v>309</v>
      </c>
      <c r="AK11" t="s">
        <v>330</v>
      </c>
      <c r="AL11" t="s">
        <v>342</v>
      </c>
      <c r="AM11" t="s">
        <v>309</v>
      </c>
      <c r="AN11" t="s">
        <v>343</v>
      </c>
      <c r="AO11" t="s">
        <v>340</v>
      </c>
      <c r="AP11" t="s">
        <v>344</v>
      </c>
    </row>
    <row r="12" spans="1:42" x14ac:dyDescent="0.25">
      <c r="A12" t="s">
        <v>345</v>
      </c>
      <c r="B12" t="s">
        <v>346</v>
      </c>
      <c r="C12" t="s">
        <v>347</v>
      </c>
      <c r="D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345</v>
      </c>
      <c r="K12" t="s">
        <v>338</v>
      </c>
      <c r="L12" t="s">
        <v>354</v>
      </c>
      <c r="M12" t="s">
        <v>309</v>
      </c>
      <c r="N12" t="s">
        <v>298</v>
      </c>
      <c r="O12" t="s">
        <v>345</v>
      </c>
      <c r="P12" t="s">
        <v>355</v>
      </c>
      <c r="Q12" t="s">
        <v>345</v>
      </c>
      <c r="R12" t="s">
        <v>356</v>
      </c>
      <c r="S12" t="s">
        <v>357</v>
      </c>
      <c r="T12" t="s">
        <v>358</v>
      </c>
      <c r="U12" t="s">
        <v>359</v>
      </c>
      <c r="V12" t="s">
        <v>360</v>
      </c>
      <c r="W12" t="s">
        <v>341</v>
      </c>
      <c r="X12" t="s">
        <v>361</v>
      </c>
      <c r="Y12" t="s">
        <v>362</v>
      </c>
      <c r="Z12" t="s">
        <v>363</v>
      </c>
      <c r="AA12" t="s">
        <v>364</v>
      </c>
      <c r="AB12" t="s">
        <v>343</v>
      </c>
      <c r="AC12" t="s">
        <v>365</v>
      </c>
      <c r="AD12" t="s">
        <v>338</v>
      </c>
      <c r="AE12" t="s">
        <v>351</v>
      </c>
      <c r="AF12" t="s">
        <v>351</v>
      </c>
      <c r="AG12" t="s">
        <v>366</v>
      </c>
      <c r="AH12" t="s">
        <v>338</v>
      </c>
      <c r="AI12" t="s">
        <v>345</v>
      </c>
      <c r="AJ12" t="s">
        <v>345</v>
      </c>
      <c r="AK12" t="s">
        <v>296</v>
      </c>
      <c r="AL12" t="s">
        <v>367</v>
      </c>
      <c r="AM12" t="s">
        <v>368</v>
      </c>
      <c r="AN12" t="s">
        <v>349</v>
      </c>
      <c r="AO12" t="s">
        <v>363</v>
      </c>
      <c r="AP12" t="s">
        <v>369</v>
      </c>
    </row>
    <row r="13" spans="1:42" x14ac:dyDescent="0.25">
      <c r="A13" t="s">
        <v>293</v>
      </c>
      <c r="B13" t="s">
        <v>349</v>
      </c>
      <c r="C13" t="s">
        <v>370</v>
      </c>
      <c r="D13" t="s">
        <v>371</v>
      </c>
      <c r="E13" t="s">
        <v>307</v>
      </c>
      <c r="F13" t="s">
        <v>372</v>
      </c>
      <c r="G13" t="s">
        <v>341</v>
      </c>
      <c r="H13" t="s">
        <v>373</v>
      </c>
      <c r="I13" t="s">
        <v>374</v>
      </c>
      <c r="J13" t="s">
        <v>293</v>
      </c>
      <c r="K13" t="s">
        <v>341</v>
      </c>
      <c r="L13" t="s">
        <v>343</v>
      </c>
      <c r="M13" t="s">
        <v>330</v>
      </c>
      <c r="N13" t="s">
        <v>343</v>
      </c>
      <c r="O13" t="s">
        <v>358</v>
      </c>
      <c r="P13" t="s">
        <v>375</v>
      </c>
      <c r="Q13" t="s">
        <v>376</v>
      </c>
      <c r="R13" t="s">
        <v>377</v>
      </c>
      <c r="S13" t="s">
        <v>378</v>
      </c>
      <c r="T13" t="s">
        <v>330</v>
      </c>
      <c r="U13" t="s">
        <v>379</v>
      </c>
      <c r="V13" t="s">
        <v>343</v>
      </c>
      <c r="W13" t="s">
        <v>313</v>
      </c>
      <c r="X13" t="s">
        <v>380</v>
      </c>
      <c r="Y13" t="s">
        <v>341</v>
      </c>
      <c r="Z13" t="s">
        <v>315</v>
      </c>
      <c r="AA13" t="s">
        <v>343</v>
      </c>
      <c r="AB13" t="s">
        <v>336</v>
      </c>
      <c r="AC13" t="s">
        <v>381</v>
      </c>
      <c r="AD13" t="s">
        <v>341</v>
      </c>
      <c r="AE13" t="s">
        <v>358</v>
      </c>
      <c r="AF13" t="s">
        <v>364</v>
      </c>
      <c r="AG13" t="s">
        <v>364</v>
      </c>
      <c r="AH13" t="s">
        <v>341</v>
      </c>
      <c r="AI13" t="s">
        <v>293</v>
      </c>
      <c r="AJ13" t="s">
        <v>341</v>
      </c>
      <c r="AK13" t="s">
        <v>323</v>
      </c>
      <c r="AL13" t="s">
        <v>382</v>
      </c>
      <c r="AM13" t="s">
        <v>307</v>
      </c>
      <c r="AN13" t="s">
        <v>368</v>
      </c>
      <c r="AO13" t="s">
        <v>327</v>
      </c>
      <c r="AP13" t="s">
        <v>383</v>
      </c>
    </row>
    <row r="14" spans="1:42" x14ac:dyDescent="0.25">
      <c r="A14" t="s">
        <v>384</v>
      </c>
      <c r="B14" t="s">
        <v>385</v>
      </c>
      <c r="C14" t="s">
        <v>386</v>
      </c>
      <c r="D14" t="s">
        <v>387</v>
      </c>
      <c r="E14" t="s">
        <v>388</v>
      </c>
      <c r="F14" t="s">
        <v>389</v>
      </c>
      <c r="G14" t="s">
        <v>390</v>
      </c>
      <c r="H14" t="s">
        <v>391</v>
      </c>
      <c r="I14" t="s">
        <v>392</v>
      </c>
      <c r="J14" t="s">
        <v>384</v>
      </c>
      <c r="K14" t="s">
        <v>393</v>
      </c>
      <c r="L14" t="s">
        <v>394</v>
      </c>
      <c r="M14" t="s">
        <v>395</v>
      </c>
      <c r="N14" t="s">
        <v>394</v>
      </c>
      <c r="O14" t="s">
        <v>396</v>
      </c>
      <c r="P14" t="s">
        <v>397</v>
      </c>
      <c r="Q14" t="s">
        <v>398</v>
      </c>
      <c r="R14" t="s">
        <v>399</v>
      </c>
      <c r="S14" t="s">
        <v>400</v>
      </c>
      <c r="T14" t="s">
        <v>401</v>
      </c>
      <c r="U14" t="s">
        <v>402</v>
      </c>
      <c r="V14" t="s">
        <v>403</v>
      </c>
      <c r="W14" t="s">
        <v>404</v>
      </c>
      <c r="X14" t="s">
        <v>405</v>
      </c>
      <c r="Y14" t="s">
        <v>406</v>
      </c>
      <c r="Z14" t="s">
        <v>407</v>
      </c>
      <c r="AA14" t="s">
        <v>408</v>
      </c>
      <c r="AB14" t="s">
        <v>409</v>
      </c>
      <c r="AC14" t="s">
        <v>410</v>
      </c>
      <c r="AD14" t="s">
        <v>411</v>
      </c>
      <c r="AE14" t="s">
        <v>412</v>
      </c>
      <c r="AF14" t="s">
        <v>413</v>
      </c>
      <c r="AG14" t="s">
        <v>414</v>
      </c>
      <c r="AH14" t="s">
        <v>415</v>
      </c>
      <c r="AI14" t="s">
        <v>384</v>
      </c>
      <c r="AJ14" t="s">
        <v>390</v>
      </c>
      <c r="AK14" t="s">
        <v>416</v>
      </c>
      <c r="AL14" t="s">
        <v>417</v>
      </c>
      <c r="AM14" t="s">
        <v>418</v>
      </c>
      <c r="AN14" t="s">
        <v>419</v>
      </c>
      <c r="AO14" t="s">
        <v>420</v>
      </c>
      <c r="AP14" t="s">
        <v>421</v>
      </c>
    </row>
    <row r="15" spans="1:42" x14ac:dyDescent="0.25">
      <c r="A15" t="s">
        <v>422</v>
      </c>
      <c r="B15" t="s">
        <v>423</v>
      </c>
      <c r="C15" t="s">
        <v>424</v>
      </c>
      <c r="D15" t="s">
        <v>425</v>
      </c>
      <c r="E15" t="s">
        <v>426</v>
      </c>
      <c r="F15" t="s">
        <v>427</v>
      </c>
      <c r="G15" t="s">
        <v>428</v>
      </c>
      <c r="H15" t="s">
        <v>429</v>
      </c>
      <c r="I15" t="s">
        <v>430</v>
      </c>
      <c r="J15" t="s">
        <v>422</v>
      </c>
      <c r="K15" t="s">
        <v>431</v>
      </c>
      <c r="L15" t="s">
        <v>422</v>
      </c>
      <c r="M15" t="s">
        <v>422</v>
      </c>
      <c r="N15" t="s">
        <v>438</v>
      </c>
      <c r="O15" t="s">
        <v>432</v>
      </c>
      <c r="P15" t="s">
        <v>433</v>
      </c>
      <c r="Q15" t="s">
        <v>434</v>
      </c>
      <c r="R15" t="s">
        <v>435</v>
      </c>
      <c r="S15" t="s">
        <v>436</v>
      </c>
      <c r="T15" t="s">
        <v>422</v>
      </c>
      <c r="U15" t="s">
        <v>437</v>
      </c>
      <c r="V15" t="s">
        <v>438</v>
      </c>
      <c r="W15" t="s">
        <v>439</v>
      </c>
      <c r="X15" t="s">
        <v>440</v>
      </c>
      <c r="Y15" t="s">
        <v>441</v>
      </c>
      <c r="Z15" t="s">
        <v>442</v>
      </c>
      <c r="AA15" t="s">
        <v>341</v>
      </c>
      <c r="AB15" t="s">
        <v>341</v>
      </c>
      <c r="AC15" t="s">
        <v>443</v>
      </c>
      <c r="AD15" t="s">
        <v>444</v>
      </c>
      <c r="AE15" t="s">
        <v>341</v>
      </c>
      <c r="AF15" t="s">
        <v>341</v>
      </c>
      <c r="AG15" t="s">
        <v>445</v>
      </c>
      <c r="AH15" t="s">
        <v>431</v>
      </c>
      <c r="AI15" t="s">
        <v>422</v>
      </c>
      <c r="AJ15" t="s">
        <v>432</v>
      </c>
      <c r="AK15" t="s">
        <v>341</v>
      </c>
      <c r="AL15" t="s">
        <v>446</v>
      </c>
      <c r="AM15" t="s">
        <v>341</v>
      </c>
      <c r="AN15" t="s">
        <v>447</v>
      </c>
      <c r="AO15" t="s">
        <v>312</v>
      </c>
      <c r="AP15" t="s">
        <v>448</v>
      </c>
    </row>
    <row r="18" spans="1:42" x14ac:dyDescent="0.25">
      <c r="A18" t="s">
        <v>449</v>
      </c>
      <c r="B18" t="s">
        <v>450</v>
      </c>
      <c r="C18" t="s">
        <v>451</v>
      </c>
      <c r="D18" t="s">
        <v>452</v>
      </c>
      <c r="E18" t="s">
        <v>368</v>
      </c>
      <c r="F18" t="s">
        <v>453</v>
      </c>
      <c r="G18" t="s">
        <v>454</v>
      </c>
      <c r="H18" t="s">
        <v>455</v>
      </c>
      <c r="I18" t="s">
        <v>449</v>
      </c>
      <c r="J18" t="s">
        <v>456</v>
      </c>
      <c r="K18" t="s">
        <v>457</v>
      </c>
      <c r="L18" t="s">
        <v>458</v>
      </c>
      <c r="M18" t="s">
        <v>459</v>
      </c>
      <c r="N18" t="s">
        <v>449</v>
      </c>
      <c r="O18" t="s">
        <v>449</v>
      </c>
      <c r="P18" t="s">
        <v>460</v>
      </c>
      <c r="Q18" t="s">
        <v>449</v>
      </c>
      <c r="R18" t="s">
        <v>461</v>
      </c>
      <c r="S18" t="s">
        <v>462</v>
      </c>
      <c r="T18" t="s">
        <v>463</v>
      </c>
      <c r="U18" t="s">
        <v>464</v>
      </c>
      <c r="V18" t="s">
        <v>449</v>
      </c>
      <c r="W18" t="s">
        <v>465</v>
      </c>
      <c r="X18" t="s">
        <v>466</v>
      </c>
      <c r="Y18" t="s">
        <v>467</v>
      </c>
      <c r="Z18" t="s">
        <v>453</v>
      </c>
      <c r="AA18" t="s">
        <v>468</v>
      </c>
      <c r="AB18" t="s">
        <v>458</v>
      </c>
      <c r="AC18" t="s">
        <v>469</v>
      </c>
      <c r="AD18" t="s">
        <v>470</v>
      </c>
      <c r="AE18" t="s">
        <v>465</v>
      </c>
      <c r="AF18" t="s">
        <v>471</v>
      </c>
      <c r="AG18" t="s">
        <v>456</v>
      </c>
      <c r="AH18" t="s">
        <v>457</v>
      </c>
      <c r="AI18" t="s">
        <v>456</v>
      </c>
      <c r="AJ18" t="s">
        <v>449</v>
      </c>
      <c r="AK18" t="s">
        <v>472</v>
      </c>
      <c r="AL18" t="s">
        <v>473</v>
      </c>
      <c r="AM18" t="s">
        <v>474</v>
      </c>
      <c r="AN18" t="s">
        <v>475</v>
      </c>
      <c r="AO18" t="s">
        <v>476</v>
      </c>
      <c r="AP18" t="s">
        <v>477</v>
      </c>
    </row>
    <row r="19" spans="1:42" x14ac:dyDescent="0.25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t="s">
        <v>485</v>
      </c>
      <c r="I19" t="s">
        <v>478</v>
      </c>
      <c r="J19" t="s">
        <v>486</v>
      </c>
      <c r="K19" t="s">
        <v>487</v>
      </c>
      <c r="L19" t="s">
        <v>488</v>
      </c>
      <c r="M19" t="s">
        <v>489</v>
      </c>
      <c r="N19" t="s">
        <v>495</v>
      </c>
      <c r="O19" t="s">
        <v>478</v>
      </c>
      <c r="P19" t="s">
        <v>490</v>
      </c>
      <c r="Q19" t="s">
        <v>478</v>
      </c>
      <c r="R19" t="s">
        <v>491</v>
      </c>
      <c r="S19" t="s">
        <v>492</v>
      </c>
      <c r="T19" t="s">
        <v>493</v>
      </c>
      <c r="U19" t="s">
        <v>494</v>
      </c>
      <c r="V19" t="s">
        <v>495</v>
      </c>
      <c r="W19" t="s">
        <v>496</v>
      </c>
      <c r="X19" t="s">
        <v>497</v>
      </c>
      <c r="Y19" t="s">
        <v>498</v>
      </c>
      <c r="Z19" t="s">
        <v>483</v>
      </c>
      <c r="AA19" t="s">
        <v>499</v>
      </c>
      <c r="AB19" t="s">
        <v>488</v>
      </c>
      <c r="AC19" t="s">
        <v>500</v>
      </c>
      <c r="AD19" t="s">
        <v>501</v>
      </c>
      <c r="AE19" t="s">
        <v>502</v>
      </c>
      <c r="AF19" t="s">
        <v>496</v>
      </c>
      <c r="AG19" t="s">
        <v>486</v>
      </c>
      <c r="AH19" t="s">
        <v>487</v>
      </c>
      <c r="AI19" t="s">
        <v>486</v>
      </c>
      <c r="AJ19" t="s">
        <v>478</v>
      </c>
      <c r="AK19" t="s">
        <v>504</v>
      </c>
      <c r="AL19" t="s">
        <v>505</v>
      </c>
      <c r="AM19" t="s">
        <v>506</v>
      </c>
      <c r="AN19" t="s">
        <v>507</v>
      </c>
      <c r="AO19" t="s">
        <v>503</v>
      </c>
      <c r="AP19" t="s">
        <v>508</v>
      </c>
    </row>
    <row r="20" spans="1:42" x14ac:dyDescent="0.25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515</v>
      </c>
      <c r="H20" t="s">
        <v>516</v>
      </c>
      <c r="I20" t="s">
        <v>509</v>
      </c>
      <c r="J20" t="s">
        <v>517</v>
      </c>
      <c r="K20" t="s">
        <v>518</v>
      </c>
      <c r="L20" t="s">
        <v>519</v>
      </c>
      <c r="M20" t="s">
        <v>520</v>
      </c>
      <c r="N20" t="s">
        <v>2231</v>
      </c>
      <c r="O20" t="s">
        <v>509</v>
      </c>
      <c r="P20" t="s">
        <v>521</v>
      </c>
      <c r="Q20" t="s">
        <v>509</v>
      </c>
      <c r="R20" t="s">
        <v>522</v>
      </c>
      <c r="S20" t="s">
        <v>523</v>
      </c>
      <c r="T20" t="s">
        <v>524</v>
      </c>
      <c r="U20" t="s">
        <v>525</v>
      </c>
      <c r="V20" t="s">
        <v>526</v>
      </c>
      <c r="W20" t="s">
        <v>510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534</v>
      </c>
      <c r="AF20" t="s">
        <v>510</v>
      </c>
      <c r="AG20" t="s">
        <v>517</v>
      </c>
      <c r="AH20" t="s">
        <v>535</v>
      </c>
      <c r="AI20" t="s">
        <v>536</v>
      </c>
      <c r="AJ20" t="s">
        <v>509</v>
      </c>
      <c r="AK20" t="s">
        <v>537</v>
      </c>
      <c r="AL20" t="s">
        <v>538</v>
      </c>
      <c r="AM20" t="s">
        <v>539</v>
      </c>
      <c r="AN20" t="s">
        <v>540</v>
      </c>
      <c r="AO20" t="s">
        <v>514</v>
      </c>
      <c r="AP20" t="s">
        <v>541</v>
      </c>
    </row>
    <row r="21" spans="1:42" x14ac:dyDescent="0.25">
      <c r="A21" t="s">
        <v>542</v>
      </c>
      <c r="B21" t="s">
        <v>543</v>
      </c>
      <c r="C21" t="s">
        <v>544</v>
      </c>
      <c r="D21" t="s">
        <v>545</v>
      </c>
      <c r="E21" t="s">
        <v>546</v>
      </c>
      <c r="F21" t="s">
        <v>547</v>
      </c>
      <c r="G21" t="s">
        <v>548</v>
      </c>
      <c r="H21" t="s">
        <v>549</v>
      </c>
      <c r="I21" t="s">
        <v>542</v>
      </c>
      <c r="J21" t="s">
        <v>550</v>
      </c>
      <c r="K21" t="s">
        <v>551</v>
      </c>
      <c r="L21" t="s">
        <v>552</v>
      </c>
      <c r="M21" t="s">
        <v>553</v>
      </c>
      <c r="N21" t="s">
        <v>2232</v>
      </c>
      <c r="O21" t="s">
        <v>542</v>
      </c>
      <c r="P21" t="s">
        <v>554</v>
      </c>
      <c r="Q21" t="s">
        <v>542</v>
      </c>
      <c r="R21" t="s">
        <v>555</v>
      </c>
      <c r="S21" t="s">
        <v>556</v>
      </c>
      <c r="T21" t="s">
        <v>557</v>
      </c>
      <c r="U21" t="s">
        <v>558</v>
      </c>
      <c r="V21" t="s">
        <v>559</v>
      </c>
      <c r="W21" t="s">
        <v>560</v>
      </c>
      <c r="X21" t="s">
        <v>561</v>
      </c>
      <c r="Y21" t="s">
        <v>562</v>
      </c>
      <c r="Z21" t="s">
        <v>563</v>
      </c>
      <c r="AA21" t="s">
        <v>564</v>
      </c>
      <c r="AB21" t="s">
        <v>552</v>
      </c>
      <c r="AC21" t="s">
        <v>565</v>
      </c>
      <c r="AD21" t="s">
        <v>566</v>
      </c>
      <c r="AE21" t="s">
        <v>567</v>
      </c>
      <c r="AF21" t="s">
        <v>568</v>
      </c>
      <c r="AG21" t="s">
        <v>570</v>
      </c>
      <c r="AH21" t="s">
        <v>551</v>
      </c>
      <c r="AI21" t="s">
        <v>570</v>
      </c>
      <c r="AJ21" t="s">
        <v>542</v>
      </c>
      <c r="AK21" t="s">
        <v>552</v>
      </c>
      <c r="AL21" t="s">
        <v>571</v>
      </c>
      <c r="AM21" t="s">
        <v>572</v>
      </c>
      <c r="AN21" t="s">
        <v>573</v>
      </c>
      <c r="AO21" t="s">
        <v>569</v>
      </c>
      <c r="AP21" t="s">
        <v>574</v>
      </c>
    </row>
    <row r="22" spans="1:42" x14ac:dyDescent="0.25">
      <c r="A22" t="s">
        <v>575</v>
      </c>
      <c r="B22" t="s">
        <v>576</v>
      </c>
      <c r="C22" t="s">
        <v>577</v>
      </c>
      <c r="D22" t="s">
        <v>578</v>
      </c>
      <c r="E22" t="s">
        <v>579</v>
      </c>
      <c r="F22" t="s">
        <v>580</v>
      </c>
      <c r="G22" t="s">
        <v>581</v>
      </c>
      <c r="H22" t="s">
        <v>582</v>
      </c>
      <c r="I22" t="s">
        <v>575</v>
      </c>
      <c r="J22" t="s">
        <v>583</v>
      </c>
      <c r="K22" t="s">
        <v>584</v>
      </c>
      <c r="L22" t="s">
        <v>536</v>
      </c>
      <c r="M22" t="s">
        <v>585</v>
      </c>
      <c r="N22" t="s">
        <v>2233</v>
      </c>
      <c r="O22" t="s">
        <v>575</v>
      </c>
      <c r="P22" t="s">
        <v>586</v>
      </c>
      <c r="Q22" t="s">
        <v>575</v>
      </c>
      <c r="R22" t="s">
        <v>587</v>
      </c>
      <c r="S22" t="s">
        <v>588</v>
      </c>
      <c r="T22" t="s">
        <v>589</v>
      </c>
      <c r="U22" t="s">
        <v>590</v>
      </c>
      <c r="V22" t="s">
        <v>591</v>
      </c>
      <c r="W22" t="s">
        <v>592</v>
      </c>
      <c r="X22" t="s">
        <v>593</v>
      </c>
      <c r="Y22" t="s">
        <v>594</v>
      </c>
      <c r="Z22" t="s">
        <v>595</v>
      </c>
      <c r="AA22" t="s">
        <v>596</v>
      </c>
      <c r="AB22" t="s">
        <v>597</v>
      </c>
      <c r="AC22" t="s">
        <v>598</v>
      </c>
      <c r="AD22" t="s">
        <v>599</v>
      </c>
      <c r="AE22" t="s">
        <v>600</v>
      </c>
      <c r="AF22" t="s">
        <v>601</v>
      </c>
      <c r="AG22" t="s">
        <v>583</v>
      </c>
      <c r="AH22" t="s">
        <v>603</v>
      </c>
      <c r="AI22" t="s">
        <v>583</v>
      </c>
      <c r="AJ22" t="s">
        <v>575</v>
      </c>
      <c r="AK22" t="s">
        <v>536</v>
      </c>
      <c r="AL22" t="s">
        <v>604</v>
      </c>
      <c r="AM22" t="s">
        <v>605</v>
      </c>
      <c r="AN22" t="s">
        <v>606</v>
      </c>
      <c r="AO22" t="s">
        <v>602</v>
      </c>
      <c r="AP22" t="s">
        <v>607</v>
      </c>
    </row>
    <row r="23" spans="1:42" x14ac:dyDescent="0.25">
      <c r="A23" t="s">
        <v>608</v>
      </c>
      <c r="B23" t="s">
        <v>609</v>
      </c>
      <c r="C23" t="s">
        <v>610</v>
      </c>
      <c r="D23" t="s">
        <v>611</v>
      </c>
      <c r="E23" t="s">
        <v>612</v>
      </c>
      <c r="F23" t="s">
        <v>613</v>
      </c>
      <c r="G23" t="s">
        <v>614</v>
      </c>
      <c r="H23" t="s">
        <v>615</v>
      </c>
      <c r="I23" t="s">
        <v>608</v>
      </c>
      <c r="J23" t="s">
        <v>616</v>
      </c>
      <c r="K23" t="s">
        <v>617</v>
      </c>
      <c r="L23" t="s">
        <v>618</v>
      </c>
      <c r="M23" t="s">
        <v>619</v>
      </c>
      <c r="N23" t="s">
        <v>2234</v>
      </c>
      <c r="O23" t="s">
        <v>608</v>
      </c>
      <c r="P23" t="s">
        <v>620</v>
      </c>
      <c r="Q23" t="s">
        <v>608</v>
      </c>
      <c r="R23" t="s">
        <v>621</v>
      </c>
      <c r="S23" t="s">
        <v>622</v>
      </c>
      <c r="T23" t="s">
        <v>623</v>
      </c>
      <c r="U23" t="s">
        <v>624</v>
      </c>
      <c r="V23" t="s">
        <v>625</v>
      </c>
      <c r="W23" t="s">
        <v>626</v>
      </c>
      <c r="X23" t="s">
        <v>627</v>
      </c>
      <c r="Y23" t="s">
        <v>628</v>
      </c>
      <c r="Z23" t="s">
        <v>613</v>
      </c>
      <c r="AA23" t="s">
        <v>629</v>
      </c>
      <c r="AB23" t="s">
        <v>618</v>
      </c>
      <c r="AC23" t="s">
        <v>630</v>
      </c>
      <c r="AD23" t="s">
        <v>631</v>
      </c>
      <c r="AE23" t="s">
        <v>632</v>
      </c>
      <c r="AF23" t="s">
        <v>633</v>
      </c>
      <c r="AG23" t="s">
        <v>616</v>
      </c>
      <c r="AH23" t="s">
        <v>635</v>
      </c>
      <c r="AI23" t="s">
        <v>616</v>
      </c>
      <c r="AJ23" t="s">
        <v>608</v>
      </c>
      <c r="AK23" t="s">
        <v>618</v>
      </c>
      <c r="AL23" t="s">
        <v>636</v>
      </c>
      <c r="AM23" t="s">
        <v>637</v>
      </c>
      <c r="AN23" t="s">
        <v>638</v>
      </c>
      <c r="AO23" t="s">
        <v>634</v>
      </c>
      <c r="AP23" t="s">
        <v>639</v>
      </c>
    </row>
    <row r="24" spans="1:42" x14ac:dyDescent="0.25">
      <c r="A24" t="s">
        <v>640</v>
      </c>
      <c r="B24" t="s">
        <v>641</v>
      </c>
      <c r="C24" t="s">
        <v>642</v>
      </c>
      <c r="D24" t="s">
        <v>643</v>
      </c>
      <c r="E24" t="s">
        <v>644</v>
      </c>
      <c r="F24" t="s">
        <v>645</v>
      </c>
      <c r="G24" t="s">
        <v>646</v>
      </c>
      <c r="H24" t="s">
        <v>647</v>
      </c>
      <c r="I24" t="s">
        <v>640</v>
      </c>
      <c r="J24" t="s">
        <v>648</v>
      </c>
      <c r="K24" t="s">
        <v>649</v>
      </c>
      <c r="L24" t="s">
        <v>650</v>
      </c>
      <c r="M24" t="s">
        <v>651</v>
      </c>
      <c r="N24" t="s">
        <v>2235</v>
      </c>
      <c r="O24" t="s">
        <v>640</v>
      </c>
      <c r="P24" t="s">
        <v>652</v>
      </c>
      <c r="Q24" t="s">
        <v>640</v>
      </c>
      <c r="R24" t="s">
        <v>653</v>
      </c>
      <c r="S24" t="s">
        <v>654</v>
      </c>
      <c r="T24" t="s">
        <v>655</v>
      </c>
      <c r="U24" t="s">
        <v>656</v>
      </c>
      <c r="V24" t="s">
        <v>657</v>
      </c>
      <c r="W24" t="s">
        <v>656</v>
      </c>
      <c r="X24" t="s">
        <v>658</v>
      </c>
      <c r="Y24" t="s">
        <v>659</v>
      </c>
      <c r="Z24" t="s">
        <v>660</v>
      </c>
      <c r="AA24" t="s">
        <v>661</v>
      </c>
      <c r="AB24" t="s">
        <v>650</v>
      </c>
      <c r="AC24" t="s">
        <v>662</v>
      </c>
      <c r="AD24" t="s">
        <v>649</v>
      </c>
      <c r="AE24" t="s">
        <v>656</v>
      </c>
      <c r="AF24" t="s">
        <v>663</v>
      </c>
      <c r="AG24" t="s">
        <v>648</v>
      </c>
      <c r="AH24" t="s">
        <v>649</v>
      </c>
      <c r="AI24" t="s">
        <v>665</v>
      </c>
      <c r="AJ24" t="s">
        <v>640</v>
      </c>
      <c r="AK24" t="s">
        <v>666</v>
      </c>
      <c r="AL24" t="s">
        <v>667</v>
      </c>
      <c r="AM24" t="s">
        <v>668</v>
      </c>
      <c r="AN24" t="s">
        <v>669</v>
      </c>
      <c r="AO24" t="s">
        <v>664</v>
      </c>
      <c r="AP24" t="s">
        <v>670</v>
      </c>
    </row>
    <row r="25" spans="1:42" x14ac:dyDescent="0.25">
      <c r="A25" t="s">
        <v>671</v>
      </c>
      <c r="B25" t="s">
        <v>671</v>
      </c>
      <c r="C25" t="s">
        <v>672</v>
      </c>
      <c r="D25" t="s">
        <v>673</v>
      </c>
      <c r="E25" t="s">
        <v>674</v>
      </c>
      <c r="F25" t="s">
        <v>675</v>
      </c>
      <c r="G25" t="s">
        <v>676</v>
      </c>
      <c r="H25" t="s">
        <v>677</v>
      </c>
      <c r="I25" t="s">
        <v>671</v>
      </c>
      <c r="J25" t="s">
        <v>678</v>
      </c>
      <c r="K25" t="s">
        <v>671</v>
      </c>
      <c r="L25" t="s">
        <v>671</v>
      </c>
      <c r="M25" t="s">
        <v>671</v>
      </c>
      <c r="N25" t="s">
        <v>671</v>
      </c>
      <c r="O25" t="s">
        <v>679</v>
      </c>
      <c r="P25" t="s">
        <v>680</v>
      </c>
      <c r="Q25" t="s">
        <v>671</v>
      </c>
      <c r="R25" t="s">
        <v>681</v>
      </c>
      <c r="S25" t="s">
        <v>682</v>
      </c>
      <c r="T25" t="s">
        <v>671</v>
      </c>
      <c r="U25" t="s">
        <v>671</v>
      </c>
      <c r="V25" t="s">
        <v>671</v>
      </c>
      <c r="W25" t="s">
        <v>676</v>
      </c>
      <c r="X25" t="s">
        <v>683</v>
      </c>
      <c r="Y25" t="s">
        <v>684</v>
      </c>
      <c r="Z25" t="s">
        <v>685</v>
      </c>
      <c r="AA25" t="s">
        <v>671</v>
      </c>
      <c r="AB25" t="s">
        <v>671</v>
      </c>
      <c r="AC25" t="s">
        <v>686</v>
      </c>
      <c r="AD25" t="s">
        <v>687</v>
      </c>
      <c r="AE25" t="s">
        <v>671</v>
      </c>
      <c r="AF25" t="s">
        <v>688</v>
      </c>
      <c r="AG25" t="s">
        <v>671</v>
      </c>
      <c r="AH25" t="s">
        <v>671</v>
      </c>
      <c r="AI25" t="s">
        <v>671</v>
      </c>
      <c r="AJ25" t="s">
        <v>689</v>
      </c>
      <c r="AK25" t="s">
        <v>690</v>
      </c>
      <c r="AL25" t="s">
        <v>691</v>
      </c>
      <c r="AM25" t="s">
        <v>692</v>
      </c>
      <c r="AN25" t="s">
        <v>693</v>
      </c>
      <c r="AO25" t="s">
        <v>694</v>
      </c>
      <c r="AP25" t="s">
        <v>695</v>
      </c>
    </row>
    <row r="26" spans="1:42" x14ac:dyDescent="0.25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  <c r="G26" t="s">
        <v>696</v>
      </c>
      <c r="H26" t="s">
        <v>702</v>
      </c>
      <c r="I26" t="s">
        <v>696</v>
      </c>
      <c r="J26" t="s">
        <v>703</v>
      </c>
      <c r="K26" t="s">
        <v>696</v>
      </c>
      <c r="L26" t="s">
        <v>696</v>
      </c>
      <c r="M26" t="s">
        <v>696</v>
      </c>
      <c r="N26" t="s">
        <v>696</v>
      </c>
      <c r="O26" t="s">
        <v>704</v>
      </c>
      <c r="P26" t="s">
        <v>705</v>
      </c>
      <c r="Q26" t="s">
        <v>696</v>
      </c>
      <c r="R26" t="s">
        <v>706</v>
      </c>
      <c r="S26" t="s">
        <v>707</v>
      </c>
      <c r="T26" t="s">
        <v>696</v>
      </c>
      <c r="U26" t="s">
        <v>708</v>
      </c>
      <c r="V26" t="s">
        <v>696</v>
      </c>
      <c r="W26" t="s">
        <v>696</v>
      </c>
      <c r="X26" t="s">
        <v>709</v>
      </c>
      <c r="Y26" t="s">
        <v>463</v>
      </c>
      <c r="Z26" t="s">
        <v>710</v>
      </c>
      <c r="AA26" t="s">
        <v>711</v>
      </c>
      <c r="AB26" t="s">
        <v>696</v>
      </c>
      <c r="AC26" t="s">
        <v>712</v>
      </c>
      <c r="AD26" t="s">
        <v>713</v>
      </c>
      <c r="AE26" t="s">
        <v>700</v>
      </c>
      <c r="AF26" t="s">
        <v>696</v>
      </c>
      <c r="AG26" t="s">
        <v>696</v>
      </c>
      <c r="AH26" t="s">
        <v>696</v>
      </c>
      <c r="AI26" t="s">
        <v>696</v>
      </c>
      <c r="AJ26" t="s">
        <v>696</v>
      </c>
      <c r="AK26" t="s">
        <v>696</v>
      </c>
      <c r="AL26" t="s">
        <v>714</v>
      </c>
      <c r="AM26" t="s">
        <v>715</v>
      </c>
      <c r="AN26" t="s">
        <v>716</v>
      </c>
      <c r="AO26" t="s">
        <v>717</v>
      </c>
      <c r="AP26" t="s">
        <v>718</v>
      </c>
    </row>
    <row r="27" spans="1:42" x14ac:dyDescent="0.25">
      <c r="A27" t="s">
        <v>510</v>
      </c>
      <c r="B27" t="s">
        <v>510</v>
      </c>
      <c r="C27" t="s">
        <v>719</v>
      </c>
      <c r="D27" t="s">
        <v>720</v>
      </c>
      <c r="E27" t="s">
        <v>510</v>
      </c>
      <c r="F27" t="s">
        <v>721</v>
      </c>
      <c r="G27" t="s">
        <v>510</v>
      </c>
      <c r="H27" t="s">
        <v>722</v>
      </c>
      <c r="I27" t="s">
        <v>510</v>
      </c>
      <c r="J27" t="s">
        <v>723</v>
      </c>
      <c r="K27" t="s">
        <v>510</v>
      </c>
      <c r="L27" t="s">
        <v>510</v>
      </c>
      <c r="M27" t="s">
        <v>724</v>
      </c>
      <c r="N27" t="s">
        <v>510</v>
      </c>
      <c r="O27" t="s">
        <v>725</v>
      </c>
      <c r="P27" t="s">
        <v>726</v>
      </c>
      <c r="Q27" t="s">
        <v>727</v>
      </c>
      <c r="R27" t="s">
        <v>728</v>
      </c>
      <c r="S27" t="s">
        <v>729</v>
      </c>
      <c r="T27" t="s">
        <v>730</v>
      </c>
      <c r="U27" t="s">
        <v>510</v>
      </c>
      <c r="V27" t="s">
        <v>510</v>
      </c>
      <c r="W27" t="s">
        <v>510</v>
      </c>
      <c r="X27" t="s">
        <v>731</v>
      </c>
      <c r="Y27" t="s">
        <v>732</v>
      </c>
      <c r="Z27" t="s">
        <v>733</v>
      </c>
      <c r="AA27" t="s">
        <v>510</v>
      </c>
      <c r="AB27" t="s">
        <v>510</v>
      </c>
      <c r="AC27" t="s">
        <v>734</v>
      </c>
      <c r="AD27" t="s">
        <v>510</v>
      </c>
      <c r="AE27" t="s">
        <v>510</v>
      </c>
      <c r="AF27" t="s">
        <v>510</v>
      </c>
      <c r="AG27" t="s">
        <v>510</v>
      </c>
      <c r="AH27" t="s">
        <v>510</v>
      </c>
      <c r="AI27" t="s">
        <v>510</v>
      </c>
      <c r="AJ27" t="s">
        <v>510</v>
      </c>
      <c r="AK27" t="s">
        <v>735</v>
      </c>
      <c r="AL27" t="s">
        <v>736</v>
      </c>
      <c r="AM27" t="s">
        <v>510</v>
      </c>
      <c r="AN27" t="s">
        <v>737</v>
      </c>
      <c r="AO27" t="s">
        <v>738</v>
      </c>
      <c r="AP27" t="s">
        <v>739</v>
      </c>
    </row>
    <row r="28" spans="1:42" x14ac:dyDescent="0.25">
      <c r="A28" t="s">
        <v>740</v>
      </c>
      <c r="B28" t="s">
        <v>741</v>
      </c>
      <c r="C28" t="s">
        <v>742</v>
      </c>
      <c r="D28" t="s">
        <v>743</v>
      </c>
      <c r="E28" t="s">
        <v>740</v>
      </c>
      <c r="F28" t="s">
        <v>744</v>
      </c>
      <c r="G28" t="s">
        <v>745</v>
      </c>
      <c r="H28" t="s">
        <v>746</v>
      </c>
      <c r="I28" t="s">
        <v>740</v>
      </c>
      <c r="J28" t="s">
        <v>747</v>
      </c>
      <c r="K28" t="s">
        <v>740</v>
      </c>
      <c r="L28" t="s">
        <v>740</v>
      </c>
      <c r="M28" t="s">
        <v>740</v>
      </c>
      <c r="N28" t="s">
        <v>740</v>
      </c>
      <c r="O28" t="s">
        <v>748</v>
      </c>
      <c r="P28" t="s">
        <v>749</v>
      </c>
      <c r="Q28" t="s">
        <v>740</v>
      </c>
      <c r="R28" t="s">
        <v>750</v>
      </c>
      <c r="S28" t="s">
        <v>751</v>
      </c>
      <c r="T28" t="s">
        <v>752</v>
      </c>
      <c r="U28" t="s">
        <v>740</v>
      </c>
      <c r="V28" t="s">
        <v>740</v>
      </c>
      <c r="W28" t="s">
        <v>740</v>
      </c>
      <c r="X28" t="s">
        <v>753</v>
      </c>
      <c r="Y28" t="s">
        <v>754</v>
      </c>
      <c r="Z28" t="s">
        <v>755</v>
      </c>
      <c r="AA28" t="s">
        <v>740</v>
      </c>
      <c r="AB28" t="s">
        <v>740</v>
      </c>
      <c r="AC28" t="s">
        <v>756</v>
      </c>
      <c r="AD28" t="s">
        <v>757</v>
      </c>
      <c r="AE28" t="s">
        <v>745</v>
      </c>
      <c r="AF28" t="s">
        <v>740</v>
      </c>
      <c r="AG28" t="s">
        <v>740</v>
      </c>
      <c r="AH28" t="s">
        <v>740</v>
      </c>
      <c r="AI28" t="s">
        <v>740</v>
      </c>
      <c r="AJ28" t="s">
        <v>745</v>
      </c>
      <c r="AK28" t="s">
        <v>758</v>
      </c>
      <c r="AL28" t="s">
        <v>759</v>
      </c>
      <c r="AM28" t="s">
        <v>760</v>
      </c>
      <c r="AN28" t="s">
        <v>761</v>
      </c>
      <c r="AO28" t="s">
        <v>762</v>
      </c>
      <c r="AP28" t="s">
        <v>763</v>
      </c>
    </row>
    <row r="29" spans="1:42" x14ac:dyDescent="0.25">
      <c r="A29" t="s">
        <v>764</v>
      </c>
      <c r="B29" t="s">
        <v>765</v>
      </c>
      <c r="C29" t="s">
        <v>766</v>
      </c>
      <c r="D29" t="s">
        <v>767</v>
      </c>
      <c r="E29" t="s">
        <v>764</v>
      </c>
      <c r="F29" t="s">
        <v>768</v>
      </c>
      <c r="G29" t="s">
        <v>769</v>
      </c>
      <c r="H29" t="s">
        <v>770</v>
      </c>
      <c r="I29" t="s">
        <v>764</v>
      </c>
      <c r="J29" t="s">
        <v>771</v>
      </c>
      <c r="K29" t="s">
        <v>764</v>
      </c>
      <c r="L29" t="s">
        <v>765</v>
      </c>
      <c r="M29" t="s">
        <v>772</v>
      </c>
      <c r="N29" t="s">
        <v>769</v>
      </c>
      <c r="O29" t="s">
        <v>769</v>
      </c>
      <c r="P29" t="s">
        <v>773</v>
      </c>
      <c r="Q29" t="s">
        <v>769</v>
      </c>
      <c r="R29" t="s">
        <v>774</v>
      </c>
      <c r="S29" t="s">
        <v>775</v>
      </c>
      <c r="T29" t="s">
        <v>776</v>
      </c>
      <c r="U29" t="s">
        <v>772</v>
      </c>
      <c r="V29" t="s">
        <v>777</v>
      </c>
      <c r="W29" t="s">
        <v>778</v>
      </c>
      <c r="X29" t="s">
        <v>779</v>
      </c>
      <c r="Y29" t="s">
        <v>780</v>
      </c>
      <c r="Z29" t="s">
        <v>781</v>
      </c>
      <c r="AA29" t="s">
        <v>782</v>
      </c>
      <c r="AB29" t="s">
        <v>769</v>
      </c>
      <c r="AC29" t="s">
        <v>783</v>
      </c>
      <c r="AD29" t="s">
        <v>765</v>
      </c>
      <c r="AE29" t="s">
        <v>769</v>
      </c>
      <c r="AF29" t="s">
        <v>769</v>
      </c>
      <c r="AG29" t="s">
        <v>765</v>
      </c>
      <c r="AH29" t="s">
        <v>776</v>
      </c>
      <c r="AI29" t="s">
        <v>765</v>
      </c>
      <c r="AJ29" t="s">
        <v>764</v>
      </c>
      <c r="AK29" t="s">
        <v>784</v>
      </c>
      <c r="AL29" t="s">
        <v>785</v>
      </c>
      <c r="AM29" t="s">
        <v>764</v>
      </c>
      <c r="AN29" t="s">
        <v>786</v>
      </c>
      <c r="AO29" t="s">
        <v>787</v>
      </c>
      <c r="AP29" t="s">
        <v>788</v>
      </c>
    </row>
    <row r="30" spans="1:42" x14ac:dyDescent="0.25">
      <c r="A30" t="s">
        <v>789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789</v>
      </c>
      <c r="H30" t="s">
        <v>795</v>
      </c>
      <c r="I30" t="s">
        <v>789</v>
      </c>
      <c r="J30" t="s">
        <v>796</v>
      </c>
      <c r="K30" t="s">
        <v>797</v>
      </c>
      <c r="L30" t="s">
        <v>789</v>
      </c>
      <c r="M30" t="s">
        <v>789</v>
      </c>
      <c r="N30" t="s">
        <v>789</v>
      </c>
      <c r="O30" t="s">
        <v>798</v>
      </c>
      <c r="P30" t="s">
        <v>799</v>
      </c>
      <c r="Q30" t="s">
        <v>789</v>
      </c>
      <c r="R30" t="s">
        <v>800</v>
      </c>
      <c r="S30" t="s">
        <v>801</v>
      </c>
      <c r="T30" t="s">
        <v>802</v>
      </c>
      <c r="U30" t="s">
        <v>789</v>
      </c>
      <c r="V30" t="s">
        <v>802</v>
      </c>
      <c r="W30" t="s">
        <v>803</v>
      </c>
      <c r="X30" t="s">
        <v>804</v>
      </c>
      <c r="Y30" t="s">
        <v>805</v>
      </c>
      <c r="Z30" t="s">
        <v>806</v>
      </c>
      <c r="AA30" t="s">
        <v>807</v>
      </c>
      <c r="AB30" t="s">
        <v>789</v>
      </c>
      <c r="AC30" t="s">
        <v>808</v>
      </c>
      <c r="AD30" t="s">
        <v>809</v>
      </c>
      <c r="AE30" t="s">
        <v>789</v>
      </c>
      <c r="AF30" t="s">
        <v>810</v>
      </c>
      <c r="AG30" t="s">
        <v>789</v>
      </c>
      <c r="AH30" t="s">
        <v>802</v>
      </c>
      <c r="AI30" t="s">
        <v>789</v>
      </c>
      <c r="AJ30" t="s">
        <v>789</v>
      </c>
      <c r="AK30" t="s">
        <v>811</v>
      </c>
      <c r="AL30" t="s">
        <v>812</v>
      </c>
      <c r="AM30" t="s">
        <v>813</v>
      </c>
      <c r="AN30" t="s">
        <v>814</v>
      </c>
      <c r="AO30" t="s">
        <v>815</v>
      </c>
      <c r="AP30" t="s">
        <v>816</v>
      </c>
    </row>
    <row r="31" spans="1:42" x14ac:dyDescent="0.25">
      <c r="A31" t="s">
        <v>817</v>
      </c>
      <c r="B31" t="s">
        <v>818</v>
      </c>
      <c r="C31" t="s">
        <v>819</v>
      </c>
      <c r="D31" t="s">
        <v>820</v>
      </c>
      <c r="E31" t="s">
        <v>821</v>
      </c>
      <c r="F31" t="s">
        <v>822</v>
      </c>
      <c r="G31" t="s">
        <v>817</v>
      </c>
      <c r="H31" t="s">
        <v>823</v>
      </c>
      <c r="I31" t="s">
        <v>817</v>
      </c>
      <c r="J31" t="s">
        <v>824</v>
      </c>
      <c r="K31" t="s">
        <v>825</v>
      </c>
      <c r="L31" t="s">
        <v>817</v>
      </c>
      <c r="M31" t="s">
        <v>817</v>
      </c>
      <c r="N31" t="s">
        <v>817</v>
      </c>
      <c r="O31" t="s">
        <v>826</v>
      </c>
      <c r="P31" t="s">
        <v>827</v>
      </c>
      <c r="Q31" t="s">
        <v>817</v>
      </c>
      <c r="R31" t="s">
        <v>828</v>
      </c>
      <c r="S31" t="s">
        <v>829</v>
      </c>
      <c r="T31" t="s">
        <v>830</v>
      </c>
      <c r="U31" t="s">
        <v>817</v>
      </c>
      <c r="V31" t="s">
        <v>830</v>
      </c>
      <c r="W31" t="s">
        <v>831</v>
      </c>
      <c r="X31" t="s">
        <v>832</v>
      </c>
      <c r="Y31" t="s">
        <v>833</v>
      </c>
      <c r="Z31" t="s">
        <v>834</v>
      </c>
      <c r="AA31" t="s">
        <v>835</v>
      </c>
      <c r="AB31" t="s">
        <v>817</v>
      </c>
      <c r="AC31" t="s">
        <v>836</v>
      </c>
      <c r="AD31" t="s">
        <v>796</v>
      </c>
      <c r="AE31" t="s">
        <v>817</v>
      </c>
      <c r="AF31" t="s">
        <v>837</v>
      </c>
      <c r="AG31" t="s">
        <v>817</v>
      </c>
      <c r="AH31" t="s">
        <v>830</v>
      </c>
      <c r="AI31" t="s">
        <v>817</v>
      </c>
      <c r="AJ31" t="s">
        <v>817</v>
      </c>
      <c r="AK31" t="s">
        <v>838</v>
      </c>
      <c r="AL31" t="s">
        <v>839</v>
      </c>
      <c r="AM31" t="s">
        <v>840</v>
      </c>
      <c r="AN31" t="s">
        <v>841</v>
      </c>
      <c r="AO31" t="s">
        <v>842</v>
      </c>
      <c r="AP31" t="s">
        <v>843</v>
      </c>
    </row>
    <row r="32" spans="1:42" x14ac:dyDescent="0.25">
      <c r="A32" t="s">
        <v>844</v>
      </c>
      <c r="B32" t="s">
        <v>845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  <c r="H32" t="s">
        <v>851</v>
      </c>
      <c r="I32" t="s">
        <v>844</v>
      </c>
      <c r="J32" t="s">
        <v>852</v>
      </c>
      <c r="K32" t="s">
        <v>844</v>
      </c>
      <c r="L32" t="s">
        <v>844</v>
      </c>
      <c r="M32" t="s">
        <v>844</v>
      </c>
      <c r="N32" t="s">
        <v>844</v>
      </c>
      <c r="O32" t="s">
        <v>853</v>
      </c>
      <c r="P32" t="s">
        <v>854</v>
      </c>
      <c r="Q32" t="s">
        <v>844</v>
      </c>
      <c r="R32" t="s">
        <v>855</v>
      </c>
      <c r="S32" t="s">
        <v>856</v>
      </c>
      <c r="T32" t="s">
        <v>844</v>
      </c>
      <c r="U32" t="s">
        <v>857</v>
      </c>
      <c r="V32" t="s">
        <v>858</v>
      </c>
      <c r="W32" t="s">
        <v>850</v>
      </c>
      <c r="X32" t="s">
        <v>859</v>
      </c>
      <c r="Y32" t="s">
        <v>860</v>
      </c>
      <c r="Z32" t="s">
        <v>861</v>
      </c>
      <c r="AA32" t="s">
        <v>862</v>
      </c>
      <c r="AB32" t="s">
        <v>844</v>
      </c>
      <c r="AC32" t="s">
        <v>863</v>
      </c>
      <c r="AD32" t="s">
        <v>864</v>
      </c>
      <c r="AE32" t="s">
        <v>850</v>
      </c>
      <c r="AF32" t="s">
        <v>844</v>
      </c>
      <c r="AG32" t="s">
        <v>865</v>
      </c>
      <c r="AH32" t="s">
        <v>844</v>
      </c>
      <c r="AI32" t="s">
        <v>865</v>
      </c>
      <c r="AJ32" t="s">
        <v>850</v>
      </c>
      <c r="AK32" t="s">
        <v>844</v>
      </c>
      <c r="AL32" t="s">
        <v>866</v>
      </c>
      <c r="AM32" t="s">
        <v>867</v>
      </c>
      <c r="AN32" t="s">
        <v>868</v>
      </c>
      <c r="AO32" t="s">
        <v>869</v>
      </c>
      <c r="AP32" t="s">
        <v>870</v>
      </c>
    </row>
    <row r="33" spans="1:42" x14ac:dyDescent="0.25">
      <c r="A33" t="s">
        <v>871</v>
      </c>
      <c r="B33" t="s">
        <v>872</v>
      </c>
      <c r="C33" t="s">
        <v>873</v>
      </c>
      <c r="D33" t="s">
        <v>874</v>
      </c>
      <c r="E33" t="s">
        <v>494</v>
      </c>
      <c r="F33" t="s">
        <v>875</v>
      </c>
      <c r="G33" t="s">
        <v>876</v>
      </c>
      <c r="H33" t="s">
        <v>877</v>
      </c>
      <c r="I33" t="s">
        <v>871</v>
      </c>
      <c r="J33" t="s">
        <v>878</v>
      </c>
      <c r="K33" t="s">
        <v>871</v>
      </c>
      <c r="L33" t="s">
        <v>871</v>
      </c>
      <c r="M33" t="s">
        <v>871</v>
      </c>
      <c r="N33" t="s">
        <v>871</v>
      </c>
      <c r="O33" t="s">
        <v>879</v>
      </c>
      <c r="P33" t="s">
        <v>880</v>
      </c>
      <c r="Q33" t="s">
        <v>871</v>
      </c>
      <c r="R33" t="s">
        <v>881</v>
      </c>
      <c r="S33" t="s">
        <v>882</v>
      </c>
      <c r="T33" t="s">
        <v>883</v>
      </c>
      <c r="U33" t="s">
        <v>871</v>
      </c>
      <c r="V33" t="s">
        <v>871</v>
      </c>
      <c r="W33" t="s">
        <v>876</v>
      </c>
      <c r="X33" t="s">
        <v>884</v>
      </c>
      <c r="Y33" t="s">
        <v>885</v>
      </c>
      <c r="Z33" t="s">
        <v>886</v>
      </c>
      <c r="AA33" t="s">
        <v>876</v>
      </c>
      <c r="AB33" t="s">
        <v>871</v>
      </c>
      <c r="AC33" t="s">
        <v>887</v>
      </c>
      <c r="AD33" t="s">
        <v>888</v>
      </c>
      <c r="AE33" t="s">
        <v>876</v>
      </c>
      <c r="AF33" t="s">
        <v>871</v>
      </c>
      <c r="AG33" t="s">
        <v>871</v>
      </c>
      <c r="AH33" t="s">
        <v>871</v>
      </c>
      <c r="AI33" t="s">
        <v>871</v>
      </c>
      <c r="AJ33" t="s">
        <v>871</v>
      </c>
      <c r="AK33" t="s">
        <v>889</v>
      </c>
      <c r="AL33" t="s">
        <v>890</v>
      </c>
      <c r="AM33" t="s">
        <v>891</v>
      </c>
      <c r="AN33" t="s">
        <v>892</v>
      </c>
      <c r="AO33" t="s">
        <v>893</v>
      </c>
      <c r="AP33" t="s">
        <v>894</v>
      </c>
    </row>
    <row r="34" spans="1:42" x14ac:dyDescent="0.25">
      <c r="A34" t="s">
        <v>895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895</v>
      </c>
      <c r="H34" t="s">
        <v>901</v>
      </c>
      <c r="I34" t="s">
        <v>895</v>
      </c>
      <c r="J34" t="s">
        <v>902</v>
      </c>
      <c r="K34" t="s">
        <v>895</v>
      </c>
      <c r="L34" t="s">
        <v>899</v>
      </c>
      <c r="M34" t="s">
        <v>899</v>
      </c>
      <c r="N34" t="s">
        <v>899</v>
      </c>
      <c r="O34" t="s">
        <v>895</v>
      </c>
      <c r="P34" t="s">
        <v>903</v>
      </c>
      <c r="Q34" t="s">
        <v>899</v>
      </c>
      <c r="R34" t="s">
        <v>904</v>
      </c>
      <c r="S34" t="s">
        <v>905</v>
      </c>
      <c r="T34" t="s">
        <v>899</v>
      </c>
      <c r="U34" t="s">
        <v>899</v>
      </c>
      <c r="V34" t="s">
        <v>899</v>
      </c>
      <c r="W34" t="s">
        <v>906</v>
      </c>
      <c r="X34" t="s">
        <v>907</v>
      </c>
      <c r="Y34" t="s">
        <v>908</v>
      </c>
      <c r="Z34" t="s">
        <v>909</v>
      </c>
      <c r="AA34" t="s">
        <v>906</v>
      </c>
      <c r="AB34" t="s">
        <v>899</v>
      </c>
      <c r="AC34" t="s">
        <v>910</v>
      </c>
      <c r="AD34" t="s">
        <v>911</v>
      </c>
      <c r="AE34" t="s">
        <v>912</v>
      </c>
      <c r="AF34" t="s">
        <v>895</v>
      </c>
      <c r="AG34" t="s">
        <v>899</v>
      </c>
      <c r="AH34" t="s">
        <v>899</v>
      </c>
      <c r="AI34" t="s">
        <v>895</v>
      </c>
      <c r="AJ34" t="s">
        <v>895</v>
      </c>
      <c r="AK34" t="s">
        <v>913</v>
      </c>
      <c r="AL34" t="s">
        <v>914</v>
      </c>
      <c r="AM34" t="s">
        <v>915</v>
      </c>
      <c r="AN34" t="s">
        <v>916</v>
      </c>
      <c r="AO34" t="s">
        <v>917</v>
      </c>
      <c r="AP34" t="s">
        <v>918</v>
      </c>
    </row>
    <row r="35" spans="1:42" x14ac:dyDescent="0.25">
      <c r="A35" t="s">
        <v>919</v>
      </c>
      <c r="B35" t="s">
        <v>920</v>
      </c>
      <c r="C35" t="s">
        <v>921</v>
      </c>
      <c r="D35" t="s">
        <v>922</v>
      </c>
      <c r="E35" t="s">
        <v>923</v>
      </c>
      <c r="F35" t="s">
        <v>924</v>
      </c>
      <c r="G35" t="s">
        <v>919</v>
      </c>
      <c r="H35" t="s">
        <v>925</v>
      </c>
      <c r="I35" t="s">
        <v>919</v>
      </c>
      <c r="J35" t="s">
        <v>926</v>
      </c>
      <c r="K35" t="s">
        <v>919</v>
      </c>
      <c r="L35" t="s">
        <v>919</v>
      </c>
      <c r="M35" t="s">
        <v>919</v>
      </c>
      <c r="N35" t="s">
        <v>919</v>
      </c>
      <c r="O35" t="s">
        <v>919</v>
      </c>
      <c r="P35" t="s">
        <v>927</v>
      </c>
      <c r="Q35" t="s">
        <v>919</v>
      </c>
      <c r="R35" t="s">
        <v>928</v>
      </c>
      <c r="S35" t="s">
        <v>929</v>
      </c>
      <c r="T35" t="s">
        <v>919</v>
      </c>
      <c r="U35" t="s">
        <v>930</v>
      </c>
      <c r="V35" t="s">
        <v>931</v>
      </c>
      <c r="W35" t="s">
        <v>919</v>
      </c>
      <c r="X35" t="s">
        <v>932</v>
      </c>
      <c r="Y35" t="s">
        <v>933</v>
      </c>
      <c r="Z35" t="s">
        <v>934</v>
      </c>
      <c r="AA35" t="s">
        <v>919</v>
      </c>
      <c r="AB35" t="s">
        <v>919</v>
      </c>
      <c r="AC35" t="s">
        <v>935</v>
      </c>
      <c r="AD35" t="s">
        <v>902</v>
      </c>
      <c r="AE35" t="s">
        <v>919</v>
      </c>
      <c r="AF35" t="s">
        <v>936</v>
      </c>
      <c r="AG35" t="s">
        <v>919</v>
      </c>
      <c r="AH35" t="s">
        <v>919</v>
      </c>
      <c r="AI35" t="s">
        <v>919</v>
      </c>
      <c r="AJ35" t="s">
        <v>919</v>
      </c>
      <c r="AK35" t="s">
        <v>937</v>
      </c>
      <c r="AL35" t="s">
        <v>938</v>
      </c>
      <c r="AM35" t="s">
        <v>939</v>
      </c>
      <c r="AN35" t="s">
        <v>940</v>
      </c>
      <c r="AO35" t="s">
        <v>941</v>
      </c>
      <c r="AP35" t="s">
        <v>942</v>
      </c>
    </row>
    <row r="36" spans="1:42" x14ac:dyDescent="0.25">
      <c r="A36" t="s">
        <v>943</v>
      </c>
      <c r="B36" t="s">
        <v>944</v>
      </c>
      <c r="C36" t="s">
        <v>945</v>
      </c>
      <c r="D36" t="s">
        <v>946</v>
      </c>
      <c r="E36" t="s">
        <v>947</v>
      </c>
      <c r="F36" t="s">
        <v>948</v>
      </c>
      <c r="G36" t="s">
        <v>949</v>
      </c>
      <c r="H36" t="s">
        <v>950</v>
      </c>
      <c r="I36" t="s">
        <v>943</v>
      </c>
      <c r="J36" t="s">
        <v>951</v>
      </c>
      <c r="K36" t="s">
        <v>943</v>
      </c>
      <c r="L36" t="s">
        <v>943</v>
      </c>
      <c r="M36" t="s">
        <v>943</v>
      </c>
      <c r="N36" t="s">
        <v>949</v>
      </c>
      <c r="O36" t="s">
        <v>952</v>
      </c>
      <c r="P36" t="s">
        <v>953</v>
      </c>
      <c r="Q36" t="s">
        <v>954</v>
      </c>
      <c r="R36" t="s">
        <v>955</v>
      </c>
      <c r="S36" t="s">
        <v>956</v>
      </c>
      <c r="T36" t="s">
        <v>943</v>
      </c>
      <c r="U36" t="s">
        <v>949</v>
      </c>
      <c r="V36" t="s">
        <v>949</v>
      </c>
      <c r="W36" t="s">
        <v>957</v>
      </c>
      <c r="X36" t="s">
        <v>958</v>
      </c>
      <c r="Y36" t="s">
        <v>959</v>
      </c>
      <c r="Z36" t="s">
        <v>960</v>
      </c>
      <c r="AA36" t="s">
        <v>961</v>
      </c>
      <c r="AB36" t="s">
        <v>949</v>
      </c>
      <c r="AC36" t="s">
        <v>962</v>
      </c>
      <c r="AD36" t="s">
        <v>963</v>
      </c>
      <c r="AE36" t="s">
        <v>954</v>
      </c>
      <c r="AF36" t="s">
        <v>943</v>
      </c>
      <c r="AG36" t="s">
        <v>943</v>
      </c>
      <c r="AH36" t="s">
        <v>943</v>
      </c>
      <c r="AI36" t="s">
        <v>943</v>
      </c>
      <c r="AJ36" t="s">
        <v>957</v>
      </c>
      <c r="AK36" t="s">
        <v>964</v>
      </c>
      <c r="AL36" t="s">
        <v>965</v>
      </c>
      <c r="AM36" t="s">
        <v>966</v>
      </c>
      <c r="AN36" t="s">
        <v>967</v>
      </c>
      <c r="AO36" t="s">
        <v>968</v>
      </c>
      <c r="AP36" t="s">
        <v>969</v>
      </c>
    </row>
    <row r="37" spans="1:42" x14ac:dyDescent="0.25">
      <c r="A37" t="s">
        <v>970</v>
      </c>
      <c r="B37" t="s">
        <v>971</v>
      </c>
      <c r="C37" t="s">
        <v>972</v>
      </c>
      <c r="D37" t="s">
        <v>973</v>
      </c>
      <c r="E37" t="s">
        <v>974</v>
      </c>
      <c r="F37" t="s">
        <v>975</v>
      </c>
      <c r="G37" t="s">
        <v>976</v>
      </c>
      <c r="H37" t="s">
        <v>977</v>
      </c>
      <c r="I37" t="s">
        <v>978</v>
      </c>
      <c r="J37" t="s">
        <v>970</v>
      </c>
      <c r="K37" t="s">
        <v>970</v>
      </c>
      <c r="L37" t="s">
        <v>979</v>
      </c>
      <c r="M37" t="s">
        <v>970</v>
      </c>
      <c r="N37" t="s">
        <v>986</v>
      </c>
      <c r="O37" t="s">
        <v>980</v>
      </c>
      <c r="P37" t="s">
        <v>981</v>
      </c>
      <c r="Q37" t="s">
        <v>970</v>
      </c>
      <c r="R37" t="s">
        <v>982</v>
      </c>
      <c r="S37" t="s">
        <v>983</v>
      </c>
      <c r="T37" t="s">
        <v>984</v>
      </c>
      <c r="U37" t="s">
        <v>985</v>
      </c>
      <c r="V37" t="s">
        <v>986</v>
      </c>
      <c r="W37" t="s">
        <v>987</v>
      </c>
      <c r="X37" t="s">
        <v>988</v>
      </c>
      <c r="Y37" t="s">
        <v>974</v>
      </c>
      <c r="Z37" t="s">
        <v>989</v>
      </c>
      <c r="AA37" t="s">
        <v>985</v>
      </c>
      <c r="AB37" t="s">
        <v>990</v>
      </c>
      <c r="AC37" t="s">
        <v>991</v>
      </c>
      <c r="AD37" t="s">
        <v>992</v>
      </c>
      <c r="AE37" t="s">
        <v>993</v>
      </c>
      <c r="AF37" t="s">
        <v>994</v>
      </c>
      <c r="AG37" t="s">
        <v>996</v>
      </c>
      <c r="AH37" t="s">
        <v>997</v>
      </c>
      <c r="AI37" t="s">
        <v>998</v>
      </c>
      <c r="AJ37" t="s">
        <v>999</v>
      </c>
      <c r="AK37" t="s">
        <v>990</v>
      </c>
      <c r="AL37" t="s">
        <v>1000</v>
      </c>
      <c r="AM37" t="s">
        <v>1001</v>
      </c>
      <c r="AN37" t="s">
        <v>1002</v>
      </c>
      <c r="AO37" t="s">
        <v>995</v>
      </c>
      <c r="AP37" t="s">
        <v>1003</v>
      </c>
    </row>
    <row r="38" spans="1:42" x14ac:dyDescent="0.25">
      <c r="A38" t="s">
        <v>2004</v>
      </c>
      <c r="B38" t="s">
        <v>2004</v>
      </c>
      <c r="C38" t="s">
        <v>2115</v>
      </c>
      <c r="D38" t="s">
        <v>2116</v>
      </c>
      <c r="E38" t="s">
        <v>2117</v>
      </c>
      <c r="F38" t="s">
        <v>2118</v>
      </c>
      <c r="G38" t="s">
        <v>2004</v>
      </c>
      <c r="H38" t="s">
        <v>2119</v>
      </c>
      <c r="I38" t="s">
        <v>2120</v>
      </c>
      <c r="J38" t="s">
        <v>2004</v>
      </c>
      <c r="K38" t="s">
        <v>2004</v>
      </c>
      <c r="L38" t="s">
        <v>2004</v>
      </c>
      <c r="M38" t="s">
        <v>2004</v>
      </c>
      <c r="N38" t="s">
        <v>2004</v>
      </c>
      <c r="O38" t="s">
        <v>2121</v>
      </c>
      <c r="P38" t="s">
        <v>2122</v>
      </c>
      <c r="Q38" t="s">
        <v>2004</v>
      </c>
      <c r="R38" t="s">
        <v>2123</v>
      </c>
      <c r="S38" t="s">
        <v>2124</v>
      </c>
      <c r="T38" t="s">
        <v>2125</v>
      </c>
      <c r="U38" t="s">
        <v>2126</v>
      </c>
      <c r="V38" t="s">
        <v>2004</v>
      </c>
      <c r="W38" t="s">
        <v>2004</v>
      </c>
      <c r="X38" t="s">
        <v>2127</v>
      </c>
      <c r="Y38" t="s">
        <v>2128</v>
      </c>
      <c r="Z38" t="s">
        <v>2118</v>
      </c>
      <c r="AA38" t="s">
        <v>2126</v>
      </c>
      <c r="AB38" t="s">
        <v>2004</v>
      </c>
      <c r="AC38" t="s">
        <v>2129</v>
      </c>
      <c r="AD38" t="s">
        <v>2004</v>
      </c>
      <c r="AE38" t="s">
        <v>2004</v>
      </c>
      <c r="AF38" t="s">
        <v>2004</v>
      </c>
      <c r="AG38" t="s">
        <v>2130</v>
      </c>
      <c r="AH38" t="s">
        <v>2004</v>
      </c>
      <c r="AI38" t="s">
        <v>2004</v>
      </c>
      <c r="AJ38" t="s">
        <v>2004</v>
      </c>
      <c r="AK38" t="s">
        <v>2004</v>
      </c>
      <c r="AL38" t="s">
        <v>2131</v>
      </c>
      <c r="AM38" t="s">
        <v>2004</v>
      </c>
      <c r="AN38" t="s">
        <v>2004</v>
      </c>
      <c r="AO38" t="s">
        <v>2118</v>
      </c>
      <c r="AP38" t="s">
        <v>2132</v>
      </c>
    </row>
    <row r="39" spans="1:42" x14ac:dyDescent="0.25">
      <c r="A39" t="s">
        <v>2287</v>
      </c>
      <c r="B39" t="s">
        <v>2288</v>
      </c>
      <c r="C39" t="s">
        <v>2289</v>
      </c>
      <c r="D39" t="s">
        <v>2290</v>
      </c>
      <c r="E39" t="s">
        <v>2287</v>
      </c>
      <c r="F39" t="s">
        <v>2291</v>
      </c>
      <c r="G39" t="s">
        <v>2287</v>
      </c>
      <c r="H39" t="s">
        <v>2292</v>
      </c>
      <c r="I39" t="s">
        <v>2293</v>
      </c>
      <c r="J39" t="s">
        <v>2294</v>
      </c>
      <c r="K39" t="s">
        <v>2294</v>
      </c>
      <c r="L39" t="s">
        <v>2287</v>
      </c>
      <c r="M39" t="s">
        <v>2287</v>
      </c>
      <c r="N39" t="s">
        <v>2287</v>
      </c>
      <c r="O39" t="s">
        <v>2287</v>
      </c>
      <c r="P39" t="s">
        <v>2295</v>
      </c>
      <c r="Q39" t="s">
        <v>2294</v>
      </c>
      <c r="R39" t="s">
        <v>2296</v>
      </c>
      <c r="S39" t="s">
        <v>2297</v>
      </c>
      <c r="T39" t="s">
        <v>2294</v>
      </c>
      <c r="U39" t="s">
        <v>2287</v>
      </c>
      <c r="V39" t="s">
        <v>2294</v>
      </c>
      <c r="W39" t="s">
        <v>2287</v>
      </c>
      <c r="X39" t="s">
        <v>2298</v>
      </c>
      <c r="Y39" t="s">
        <v>2299</v>
      </c>
      <c r="Z39" t="s">
        <v>2291</v>
      </c>
      <c r="AA39" t="s">
        <v>2287</v>
      </c>
      <c r="AB39" t="s">
        <v>2287</v>
      </c>
      <c r="AC39" t="s">
        <v>2300</v>
      </c>
      <c r="AD39" t="s">
        <v>2294</v>
      </c>
      <c r="AE39" t="s">
        <v>2301</v>
      </c>
      <c r="AF39" t="s">
        <v>2287</v>
      </c>
      <c r="AG39" t="s">
        <v>2291</v>
      </c>
      <c r="AH39" t="s">
        <v>2294</v>
      </c>
      <c r="AI39" t="s">
        <v>2294</v>
      </c>
      <c r="AJ39" t="s">
        <v>2294</v>
      </c>
      <c r="AK39" t="s">
        <v>2287</v>
      </c>
      <c r="AL39" t="s">
        <v>2302</v>
      </c>
      <c r="AM39" t="s">
        <v>2294</v>
      </c>
      <c r="AN39" t="s">
        <v>2287</v>
      </c>
      <c r="AO39" t="s">
        <v>2291</v>
      </c>
      <c r="AP39" t="s">
        <v>2300</v>
      </c>
    </row>
    <row r="40" spans="1:42" x14ac:dyDescent="0.25">
      <c r="A40" t="s">
        <v>2303</v>
      </c>
      <c r="B40" t="s">
        <v>2304</v>
      </c>
      <c r="C40" t="s">
        <v>2305</v>
      </c>
      <c r="D40" t="s">
        <v>2306</v>
      </c>
      <c r="E40" t="s">
        <v>2307</v>
      </c>
      <c r="F40" t="s">
        <v>2308</v>
      </c>
      <c r="G40" t="s">
        <v>2303</v>
      </c>
      <c r="H40" t="s">
        <v>2309</v>
      </c>
      <c r="I40" t="s">
        <v>2310</v>
      </c>
      <c r="J40" t="s">
        <v>2307</v>
      </c>
      <c r="K40" t="s">
        <v>2311</v>
      </c>
      <c r="L40" t="s">
        <v>2303</v>
      </c>
      <c r="M40" t="s">
        <v>2303</v>
      </c>
      <c r="N40" t="s">
        <v>2312</v>
      </c>
      <c r="O40" t="s">
        <v>2312</v>
      </c>
      <c r="P40" t="s">
        <v>2313</v>
      </c>
      <c r="Q40" t="s">
        <v>2303</v>
      </c>
      <c r="R40" t="s">
        <v>2314</v>
      </c>
      <c r="S40" t="s">
        <v>2315</v>
      </c>
      <c r="T40" t="s">
        <v>2303</v>
      </c>
      <c r="U40" t="s">
        <v>2304</v>
      </c>
      <c r="V40" t="s">
        <v>2307</v>
      </c>
      <c r="W40" t="s">
        <v>2303</v>
      </c>
      <c r="X40" t="s">
        <v>2316</v>
      </c>
      <c r="Y40" t="s">
        <v>2317</v>
      </c>
      <c r="Z40" t="s">
        <v>2308</v>
      </c>
      <c r="AA40" t="s">
        <v>2318</v>
      </c>
      <c r="AB40" t="s">
        <v>2303</v>
      </c>
      <c r="AC40" t="s">
        <v>2319</v>
      </c>
      <c r="AD40" t="s">
        <v>2318</v>
      </c>
      <c r="AE40" t="s">
        <v>2320</v>
      </c>
      <c r="AF40" t="s">
        <v>2303</v>
      </c>
      <c r="AG40" t="s">
        <v>2308</v>
      </c>
      <c r="AH40" t="s">
        <v>2311</v>
      </c>
      <c r="AI40" t="s">
        <v>2307</v>
      </c>
      <c r="AJ40" t="s">
        <v>2303</v>
      </c>
      <c r="AK40" t="s">
        <v>2303</v>
      </c>
      <c r="AL40" t="s">
        <v>2321</v>
      </c>
      <c r="AM40" t="s">
        <v>2307</v>
      </c>
      <c r="AN40" t="s">
        <v>2303</v>
      </c>
      <c r="AO40" t="s">
        <v>2308</v>
      </c>
      <c r="AP40" t="s">
        <v>2322</v>
      </c>
    </row>
    <row r="41" spans="1:42" x14ac:dyDescent="0.25">
      <c r="A41" t="s">
        <v>2323</v>
      </c>
      <c r="B41" t="s">
        <v>2324</v>
      </c>
      <c r="C41" t="s">
        <v>2325</v>
      </c>
      <c r="D41" t="s">
        <v>2326</v>
      </c>
      <c r="E41" t="s">
        <v>2327</v>
      </c>
      <c r="F41" t="s">
        <v>2328</v>
      </c>
      <c r="G41" t="s">
        <v>2329</v>
      </c>
      <c r="H41" t="s">
        <v>2330</v>
      </c>
      <c r="I41" t="s">
        <v>2331</v>
      </c>
      <c r="J41" t="s">
        <v>2332</v>
      </c>
      <c r="K41" t="s">
        <v>2333</v>
      </c>
      <c r="L41" t="s">
        <v>2334</v>
      </c>
      <c r="M41" t="s">
        <v>2335</v>
      </c>
      <c r="N41" t="s">
        <v>2336</v>
      </c>
      <c r="O41" t="s">
        <v>2336</v>
      </c>
      <c r="P41" t="s">
        <v>2337</v>
      </c>
      <c r="Q41" t="s">
        <v>2338</v>
      </c>
      <c r="R41" t="s">
        <v>2339</v>
      </c>
      <c r="S41" t="s">
        <v>2340</v>
      </c>
      <c r="T41" t="s">
        <v>2341</v>
      </c>
      <c r="U41" t="s">
        <v>2342</v>
      </c>
      <c r="V41" t="s">
        <v>2334</v>
      </c>
      <c r="W41" t="s">
        <v>2343</v>
      </c>
      <c r="X41" t="s">
        <v>2344</v>
      </c>
      <c r="Y41" t="s">
        <v>2345</v>
      </c>
      <c r="Z41" t="s">
        <v>2346</v>
      </c>
      <c r="AA41" t="s">
        <v>2343</v>
      </c>
      <c r="AB41" t="s">
        <v>2335</v>
      </c>
      <c r="AC41" t="s">
        <v>2347</v>
      </c>
      <c r="AD41" t="s">
        <v>2348</v>
      </c>
      <c r="AE41" t="s">
        <v>2349</v>
      </c>
      <c r="AF41" t="s">
        <v>2343</v>
      </c>
      <c r="AG41" t="s">
        <v>2350</v>
      </c>
      <c r="AH41" t="s">
        <v>2333</v>
      </c>
      <c r="AI41" t="s">
        <v>2332</v>
      </c>
      <c r="AJ41" t="s">
        <v>2351</v>
      </c>
      <c r="AK41" t="s">
        <v>2352</v>
      </c>
      <c r="AL41" t="s">
        <v>2353</v>
      </c>
      <c r="AM41" t="s">
        <v>2354</v>
      </c>
      <c r="AN41" t="s">
        <v>2355</v>
      </c>
      <c r="AO41" t="s">
        <v>2356</v>
      </c>
      <c r="AP41" t="s">
        <v>2357</v>
      </c>
    </row>
    <row r="42" spans="1:42" x14ac:dyDescent="0.25">
      <c r="A42" t="s">
        <v>1170</v>
      </c>
      <c r="B42" t="s">
        <v>1171</v>
      </c>
      <c r="C42" t="s">
        <v>1172</v>
      </c>
      <c r="D42" t="s">
        <v>1173</v>
      </c>
      <c r="E42" t="s">
        <v>1174</v>
      </c>
      <c r="F42" t="s">
        <v>1175</v>
      </c>
      <c r="G42" t="s">
        <v>1176</v>
      </c>
      <c r="H42" t="s">
        <v>1177</v>
      </c>
      <c r="I42" t="s">
        <v>1178</v>
      </c>
      <c r="J42" t="s">
        <v>1179</v>
      </c>
      <c r="K42" t="s">
        <v>1180</v>
      </c>
      <c r="L42" t="s">
        <v>1170</v>
      </c>
      <c r="M42" t="s">
        <v>1181</v>
      </c>
      <c r="N42" t="s">
        <v>1170</v>
      </c>
      <c r="O42" t="s">
        <v>1182</v>
      </c>
      <c r="P42" t="s">
        <v>2084</v>
      </c>
      <c r="Q42" t="s">
        <v>1170</v>
      </c>
      <c r="R42" t="s">
        <v>1183</v>
      </c>
      <c r="S42" t="s">
        <v>1184</v>
      </c>
      <c r="T42" t="s">
        <v>1185</v>
      </c>
      <c r="U42" t="s">
        <v>1186</v>
      </c>
      <c r="V42" t="s">
        <v>1170</v>
      </c>
      <c r="W42" t="s">
        <v>1187</v>
      </c>
      <c r="X42" t="s">
        <v>1188</v>
      </c>
      <c r="Y42" t="s">
        <v>1189</v>
      </c>
      <c r="Z42" t="s">
        <v>1190</v>
      </c>
      <c r="AA42" t="s">
        <v>1191</v>
      </c>
      <c r="AB42" t="s">
        <v>1170</v>
      </c>
      <c r="AC42" t="s">
        <v>1192</v>
      </c>
      <c r="AD42" t="s">
        <v>1185</v>
      </c>
      <c r="AE42" t="s">
        <v>1193</v>
      </c>
      <c r="AF42" t="s">
        <v>1185</v>
      </c>
      <c r="AG42" t="s">
        <v>1194</v>
      </c>
      <c r="AH42" t="s">
        <v>1195</v>
      </c>
      <c r="AI42" t="s">
        <v>1189</v>
      </c>
      <c r="AJ42" t="s">
        <v>1193</v>
      </c>
      <c r="AK42" t="s">
        <v>1170</v>
      </c>
      <c r="AL42" t="s">
        <v>1196</v>
      </c>
      <c r="AM42" t="s">
        <v>1197</v>
      </c>
      <c r="AN42" t="s">
        <v>1198</v>
      </c>
      <c r="AO42" t="s">
        <v>1199</v>
      </c>
      <c r="AP42" t="s">
        <v>1200</v>
      </c>
    </row>
    <row r="43" spans="1:42" x14ac:dyDescent="0.25">
      <c r="A43" t="s">
        <v>1316</v>
      </c>
      <c r="B43" t="s">
        <v>1316</v>
      </c>
      <c r="C43" t="s">
        <v>1317</v>
      </c>
      <c r="D43" t="s">
        <v>1318</v>
      </c>
      <c r="E43" t="s">
        <v>1319</v>
      </c>
      <c r="F43" t="s">
        <v>1320</v>
      </c>
      <c r="G43" t="s">
        <v>1316</v>
      </c>
      <c r="H43" t="s">
        <v>1321</v>
      </c>
      <c r="I43" t="s">
        <v>1321</v>
      </c>
      <c r="J43" t="s">
        <v>1316</v>
      </c>
      <c r="K43" t="s">
        <v>1322</v>
      </c>
      <c r="L43" t="s">
        <v>1316</v>
      </c>
      <c r="M43" t="s">
        <v>1316</v>
      </c>
      <c r="N43" t="s">
        <v>1316</v>
      </c>
      <c r="O43" t="s">
        <v>1316</v>
      </c>
      <c r="P43" t="s">
        <v>1323</v>
      </c>
      <c r="Q43" t="s">
        <v>1316</v>
      </c>
      <c r="R43" t="s">
        <v>1324</v>
      </c>
      <c r="S43" t="s">
        <v>1325</v>
      </c>
      <c r="T43" t="s">
        <v>1326</v>
      </c>
      <c r="U43" t="s">
        <v>1316</v>
      </c>
      <c r="V43" t="s">
        <v>1327</v>
      </c>
      <c r="W43" t="s">
        <v>1316</v>
      </c>
      <c r="X43" t="s">
        <v>1328</v>
      </c>
      <c r="Y43" t="s">
        <v>1329</v>
      </c>
      <c r="Z43" t="s">
        <v>1320</v>
      </c>
      <c r="AA43" t="s">
        <v>1316</v>
      </c>
      <c r="AB43" t="s">
        <v>1316</v>
      </c>
      <c r="AC43" t="s">
        <v>1330</v>
      </c>
      <c r="AD43" t="s">
        <v>1316</v>
      </c>
      <c r="AE43" t="s">
        <v>1331</v>
      </c>
      <c r="AF43" t="s">
        <v>1316</v>
      </c>
      <c r="AG43" t="s">
        <v>1320</v>
      </c>
      <c r="AH43" t="s">
        <v>1326</v>
      </c>
      <c r="AI43" t="s">
        <v>1316</v>
      </c>
      <c r="AJ43" t="s">
        <v>1326</v>
      </c>
      <c r="AK43" t="s">
        <v>1316</v>
      </c>
      <c r="AL43" t="s">
        <v>1332</v>
      </c>
      <c r="AM43" t="s">
        <v>1319</v>
      </c>
      <c r="AN43" t="s">
        <v>1316</v>
      </c>
      <c r="AO43" t="s">
        <v>1333</v>
      </c>
      <c r="AP43" t="s">
        <v>1330</v>
      </c>
    </row>
    <row r="44" spans="1:42" x14ac:dyDescent="0.25">
      <c r="A44" t="s">
        <v>2358</v>
      </c>
      <c r="B44" t="s">
        <v>2359</v>
      </c>
      <c r="C44" t="s">
        <v>2360</v>
      </c>
      <c r="D44" t="s">
        <v>2361</v>
      </c>
      <c r="E44" t="s">
        <v>2362</v>
      </c>
      <c r="F44" t="s">
        <v>2363</v>
      </c>
      <c r="G44" t="s">
        <v>2364</v>
      </c>
      <c r="H44" t="s">
        <v>2365</v>
      </c>
      <c r="I44" t="s">
        <v>2366</v>
      </c>
      <c r="J44" t="s">
        <v>2367</v>
      </c>
      <c r="K44" t="s">
        <v>2368</v>
      </c>
      <c r="L44" t="s">
        <v>2369</v>
      </c>
      <c r="M44" t="s">
        <v>2370</v>
      </c>
      <c r="N44" t="s">
        <v>2371</v>
      </c>
      <c r="O44" t="s">
        <v>2371</v>
      </c>
      <c r="P44" t="s">
        <v>2372</v>
      </c>
      <c r="Q44" t="s">
        <v>2373</v>
      </c>
      <c r="R44" t="s">
        <v>2374</v>
      </c>
      <c r="S44" t="s">
        <v>2375</v>
      </c>
      <c r="T44" t="s">
        <v>2376</v>
      </c>
      <c r="U44" t="s">
        <v>2377</v>
      </c>
      <c r="V44" t="s">
        <v>2378</v>
      </c>
      <c r="W44" t="s">
        <v>2379</v>
      </c>
      <c r="X44" t="s">
        <v>2380</v>
      </c>
      <c r="Y44" t="s">
        <v>2381</v>
      </c>
      <c r="Z44" t="s">
        <v>2382</v>
      </c>
      <c r="AA44" t="s">
        <v>2379</v>
      </c>
      <c r="AB44" t="s">
        <v>2517</v>
      </c>
      <c r="AC44" t="s">
        <v>2383</v>
      </c>
      <c r="AD44" t="s">
        <v>2384</v>
      </c>
      <c r="AE44" t="s">
        <v>2385</v>
      </c>
      <c r="AF44" t="s">
        <v>2386</v>
      </c>
      <c r="AG44" t="s">
        <v>2387</v>
      </c>
      <c r="AH44" t="s">
        <v>2388</v>
      </c>
      <c r="AI44" t="s">
        <v>2389</v>
      </c>
      <c r="AJ44" t="s">
        <v>2385</v>
      </c>
      <c r="AK44" t="s">
        <v>2390</v>
      </c>
      <c r="AL44" t="s">
        <v>2391</v>
      </c>
      <c r="AM44" t="s">
        <v>2392</v>
      </c>
      <c r="AN44" t="s">
        <v>2393</v>
      </c>
      <c r="AO44" t="s">
        <v>2394</v>
      </c>
      <c r="AP44" t="s">
        <v>2395</v>
      </c>
    </row>
    <row r="45" spans="1:42" x14ac:dyDescent="0.25">
      <c r="A45" t="s">
        <v>2396</v>
      </c>
      <c r="B45" t="s">
        <v>2397</v>
      </c>
      <c r="C45" t="s">
        <v>2398</v>
      </c>
      <c r="D45" t="s">
        <v>2399</v>
      </c>
      <c r="E45" t="s">
        <v>2400</v>
      </c>
      <c r="F45" t="s">
        <v>2401</v>
      </c>
      <c r="G45" t="s">
        <v>2402</v>
      </c>
      <c r="H45" t="s">
        <v>2403</v>
      </c>
      <c r="I45" t="s">
        <v>2404</v>
      </c>
      <c r="J45" t="s">
        <v>2396</v>
      </c>
      <c r="K45" t="s">
        <v>2396</v>
      </c>
      <c r="L45" t="s">
        <v>2396</v>
      </c>
      <c r="M45" t="s">
        <v>2396</v>
      </c>
      <c r="N45" t="s">
        <v>2405</v>
      </c>
      <c r="O45" t="s">
        <v>2405</v>
      </c>
      <c r="P45" t="s">
        <v>2406</v>
      </c>
      <c r="Q45" t="s">
        <v>2396</v>
      </c>
      <c r="R45" t="s">
        <v>2407</v>
      </c>
      <c r="S45" t="s">
        <v>2408</v>
      </c>
      <c r="T45" t="s">
        <v>2396</v>
      </c>
      <c r="U45" t="s">
        <v>2396</v>
      </c>
      <c r="V45" t="s">
        <v>2396</v>
      </c>
      <c r="W45" t="s">
        <v>2409</v>
      </c>
      <c r="X45" t="s">
        <v>2410</v>
      </c>
      <c r="Y45" t="s">
        <v>2411</v>
      </c>
      <c r="Z45" t="s">
        <v>2412</v>
      </c>
      <c r="AA45" t="s">
        <v>2396</v>
      </c>
      <c r="AB45" t="s">
        <v>2396</v>
      </c>
      <c r="AC45" t="s">
        <v>2413</v>
      </c>
      <c r="AD45" t="s">
        <v>2414</v>
      </c>
      <c r="AE45" t="s">
        <v>2415</v>
      </c>
      <c r="AF45" t="s">
        <v>2416</v>
      </c>
      <c r="AG45" t="s">
        <v>2417</v>
      </c>
      <c r="AH45" t="s">
        <v>2396</v>
      </c>
      <c r="AI45" t="s">
        <v>2396</v>
      </c>
      <c r="AJ45" t="s">
        <v>2415</v>
      </c>
      <c r="AK45" t="s">
        <v>2396</v>
      </c>
      <c r="AL45" t="s">
        <v>2418</v>
      </c>
      <c r="AM45" t="s">
        <v>2419</v>
      </c>
      <c r="AN45" t="s">
        <v>2420</v>
      </c>
      <c r="AO45" t="s">
        <v>2421</v>
      </c>
      <c r="AP45" t="s">
        <v>2422</v>
      </c>
    </row>
    <row r="46" spans="1:42" x14ac:dyDescent="0.25">
      <c r="A46" t="s">
        <v>1115</v>
      </c>
      <c r="B46" t="s">
        <v>1116</v>
      </c>
      <c r="C46" t="s">
        <v>1117</v>
      </c>
      <c r="D46" t="s">
        <v>1118</v>
      </c>
      <c r="E46" t="s">
        <v>1115</v>
      </c>
      <c r="F46" t="s">
        <v>1119</v>
      </c>
      <c r="G46" t="s">
        <v>1115</v>
      </c>
      <c r="H46" t="s">
        <v>1120</v>
      </c>
      <c r="I46" t="s">
        <v>1120</v>
      </c>
      <c r="J46" t="s">
        <v>1115</v>
      </c>
      <c r="K46" t="s">
        <v>1115</v>
      </c>
      <c r="L46" t="s">
        <v>1115</v>
      </c>
      <c r="M46" t="s">
        <v>1121</v>
      </c>
      <c r="N46" t="s">
        <v>1115</v>
      </c>
      <c r="O46" t="s">
        <v>1122</v>
      </c>
      <c r="P46" t="s">
        <v>1123</v>
      </c>
      <c r="Q46" t="s">
        <v>1124</v>
      </c>
      <c r="R46" t="s">
        <v>1125</v>
      </c>
      <c r="S46" t="s">
        <v>1126</v>
      </c>
      <c r="T46" t="s">
        <v>1127</v>
      </c>
      <c r="U46" t="s">
        <v>1115</v>
      </c>
      <c r="V46" t="s">
        <v>1115</v>
      </c>
      <c r="W46" t="s">
        <v>1115</v>
      </c>
      <c r="X46" t="s">
        <v>1128</v>
      </c>
      <c r="Y46" t="s">
        <v>1115</v>
      </c>
      <c r="Z46" t="s">
        <v>1129</v>
      </c>
      <c r="AA46" t="s">
        <v>1130</v>
      </c>
      <c r="AB46" t="s">
        <v>1115</v>
      </c>
      <c r="AC46" t="s">
        <v>1131</v>
      </c>
      <c r="AD46" t="s">
        <v>1132</v>
      </c>
      <c r="AE46" t="s">
        <v>1115</v>
      </c>
      <c r="AF46" t="s">
        <v>1115</v>
      </c>
      <c r="AG46" t="s">
        <v>1129</v>
      </c>
      <c r="AH46" t="s">
        <v>1127</v>
      </c>
      <c r="AI46" t="s">
        <v>1115</v>
      </c>
      <c r="AJ46" t="s">
        <v>1115</v>
      </c>
      <c r="AK46" t="s">
        <v>1115</v>
      </c>
      <c r="AL46" t="s">
        <v>1133</v>
      </c>
      <c r="AM46" t="s">
        <v>1134</v>
      </c>
      <c r="AN46" t="s">
        <v>1115</v>
      </c>
      <c r="AO46" t="s">
        <v>1129</v>
      </c>
      <c r="AP46" t="s">
        <v>1135</v>
      </c>
    </row>
    <row r="47" spans="1:42" x14ac:dyDescent="0.25">
      <c r="A47" t="s">
        <v>1998</v>
      </c>
      <c r="B47" t="s">
        <v>2186</v>
      </c>
      <c r="C47" t="s">
        <v>2187</v>
      </c>
      <c r="D47" t="s">
        <v>2188</v>
      </c>
      <c r="E47" t="s">
        <v>2189</v>
      </c>
      <c r="F47" t="s">
        <v>2190</v>
      </c>
      <c r="G47" t="s">
        <v>2191</v>
      </c>
      <c r="H47" t="s">
        <v>2192</v>
      </c>
      <c r="I47" t="s">
        <v>2192</v>
      </c>
      <c r="J47" t="s">
        <v>2193</v>
      </c>
      <c r="K47" t="s">
        <v>2194</v>
      </c>
      <c r="L47" t="s">
        <v>2195</v>
      </c>
      <c r="M47" t="s">
        <v>2196</v>
      </c>
      <c r="N47" t="s">
        <v>1998</v>
      </c>
      <c r="O47" t="s">
        <v>2197</v>
      </c>
      <c r="P47" t="s">
        <v>2198</v>
      </c>
      <c r="Q47" t="s">
        <v>2195</v>
      </c>
      <c r="R47" t="s">
        <v>2199</v>
      </c>
      <c r="S47" t="s">
        <v>2200</v>
      </c>
      <c r="T47" t="s">
        <v>2201</v>
      </c>
      <c r="U47" t="s">
        <v>2202</v>
      </c>
      <c r="V47" t="s">
        <v>2203</v>
      </c>
      <c r="W47" t="s">
        <v>2204</v>
      </c>
      <c r="X47" t="s">
        <v>2205</v>
      </c>
      <c r="Y47" t="s">
        <v>2206</v>
      </c>
      <c r="Z47" t="s">
        <v>2207</v>
      </c>
      <c r="AA47" t="s">
        <v>2208</v>
      </c>
      <c r="AB47" t="s">
        <v>2209</v>
      </c>
      <c r="AC47" t="s">
        <v>2210</v>
      </c>
      <c r="AD47" t="s">
        <v>2211</v>
      </c>
      <c r="AE47" t="s">
        <v>2212</v>
      </c>
      <c r="AF47" t="s">
        <v>2213</v>
      </c>
      <c r="AG47" t="s">
        <v>2214</v>
      </c>
      <c r="AH47" t="s">
        <v>2215</v>
      </c>
      <c r="AI47" t="s">
        <v>2216</v>
      </c>
      <c r="AJ47" t="s">
        <v>2204</v>
      </c>
      <c r="AK47" t="s">
        <v>2217</v>
      </c>
      <c r="AL47" t="s">
        <v>2218</v>
      </c>
      <c r="AM47" t="s">
        <v>2219</v>
      </c>
      <c r="AN47" t="s">
        <v>2220</v>
      </c>
      <c r="AO47" t="s">
        <v>2221</v>
      </c>
      <c r="AP47" t="s">
        <v>2222</v>
      </c>
    </row>
    <row r="48" spans="1:42" x14ac:dyDescent="0.25">
      <c r="A48" t="s">
        <v>1039</v>
      </c>
      <c r="B48" t="s">
        <v>1040</v>
      </c>
      <c r="C48" t="s">
        <v>1041</v>
      </c>
      <c r="D48" t="s">
        <v>1042</v>
      </c>
      <c r="E48" t="s">
        <v>1043</v>
      </c>
      <c r="F48" t="s">
        <v>1044</v>
      </c>
      <c r="G48" t="s">
        <v>1045</v>
      </c>
      <c r="H48" t="s">
        <v>1046</v>
      </c>
      <c r="I48" t="s">
        <v>1046</v>
      </c>
      <c r="J48" t="s">
        <v>1047</v>
      </c>
      <c r="K48" t="s">
        <v>1048</v>
      </c>
      <c r="L48" t="s">
        <v>1039</v>
      </c>
      <c r="M48" t="s">
        <v>1039</v>
      </c>
      <c r="N48" t="s">
        <v>1047</v>
      </c>
      <c r="O48" t="s">
        <v>1049</v>
      </c>
      <c r="P48" t="s">
        <v>2082</v>
      </c>
      <c r="Q48" t="s">
        <v>1048</v>
      </c>
      <c r="R48" t="s">
        <v>1050</v>
      </c>
      <c r="S48" t="s">
        <v>1051</v>
      </c>
      <c r="T48" t="s">
        <v>1052</v>
      </c>
      <c r="U48" t="s">
        <v>1047</v>
      </c>
      <c r="V48" t="s">
        <v>1039</v>
      </c>
      <c r="W48" t="s">
        <v>1054</v>
      </c>
      <c r="X48" t="s">
        <v>1055</v>
      </c>
      <c r="Y48" t="s">
        <v>1043</v>
      </c>
      <c r="Z48" t="s">
        <v>1044</v>
      </c>
      <c r="AA48" t="s">
        <v>1056</v>
      </c>
      <c r="AB48" t="s">
        <v>1039</v>
      </c>
      <c r="AC48" t="s">
        <v>1057</v>
      </c>
      <c r="AD48" t="s">
        <v>1058</v>
      </c>
      <c r="AE48" t="s">
        <v>1059</v>
      </c>
      <c r="AF48" t="s">
        <v>1060</v>
      </c>
      <c r="AG48" t="s">
        <v>1044</v>
      </c>
      <c r="AH48" t="s">
        <v>1048</v>
      </c>
      <c r="AI48" t="s">
        <v>1053</v>
      </c>
      <c r="AJ48" t="s">
        <v>1059</v>
      </c>
      <c r="AK48" t="s">
        <v>1048</v>
      </c>
      <c r="AL48" t="s">
        <v>1062</v>
      </c>
      <c r="AM48" t="s">
        <v>1043</v>
      </c>
      <c r="AN48" t="s">
        <v>1039</v>
      </c>
      <c r="AO48" t="s">
        <v>1061</v>
      </c>
      <c r="AP48" t="s">
        <v>1063</v>
      </c>
    </row>
    <row r="49" spans="1:42" x14ac:dyDescent="0.25">
      <c r="A49" t="s">
        <v>2003</v>
      </c>
      <c r="B49" t="s">
        <v>2017</v>
      </c>
      <c r="C49" t="s">
        <v>2018</v>
      </c>
      <c r="D49" t="s">
        <v>2049</v>
      </c>
      <c r="E49" t="s">
        <v>2019</v>
      </c>
      <c r="F49" t="s">
        <v>2020</v>
      </c>
      <c r="G49" t="s">
        <v>2021</v>
      </c>
      <c r="H49" t="s">
        <v>2022</v>
      </c>
      <c r="I49" t="s">
        <v>2023</v>
      </c>
      <c r="J49" t="s">
        <v>2024</v>
      </c>
      <c r="K49" t="s">
        <v>2025</v>
      </c>
      <c r="L49" t="s">
        <v>2026</v>
      </c>
      <c r="M49" t="s">
        <v>2026</v>
      </c>
      <c r="N49" t="s">
        <v>2244</v>
      </c>
      <c r="O49" t="s">
        <v>2027</v>
      </c>
      <c r="P49" t="s">
        <v>2028</v>
      </c>
      <c r="Q49" t="s">
        <v>2026</v>
      </c>
      <c r="R49" t="s">
        <v>2029</v>
      </c>
      <c r="S49" t="s">
        <v>2030</v>
      </c>
      <c r="T49" t="s">
        <v>2031</v>
      </c>
      <c r="U49" t="s">
        <v>2032</v>
      </c>
      <c r="V49" t="s">
        <v>2003</v>
      </c>
      <c r="W49" t="s">
        <v>2033</v>
      </c>
      <c r="X49" t="s">
        <v>2034</v>
      </c>
      <c r="Y49" t="s">
        <v>2035</v>
      </c>
      <c r="Z49" t="s">
        <v>2036</v>
      </c>
      <c r="AA49" t="s">
        <v>2037</v>
      </c>
      <c r="AB49" t="s">
        <v>2026</v>
      </c>
      <c r="AC49" t="s">
        <v>2038</v>
      </c>
      <c r="AD49" t="s">
        <v>2039</v>
      </c>
      <c r="AE49" t="s">
        <v>2040</v>
      </c>
      <c r="AF49" t="s">
        <v>2033</v>
      </c>
      <c r="AG49" t="s">
        <v>2041</v>
      </c>
      <c r="AH49" t="s">
        <v>2042</v>
      </c>
      <c r="AI49" t="s">
        <v>2024</v>
      </c>
      <c r="AJ49" t="s">
        <v>2033</v>
      </c>
      <c r="AK49" t="s">
        <v>2043</v>
      </c>
      <c r="AL49" t="s">
        <v>2044</v>
      </c>
      <c r="AM49" t="s">
        <v>2045</v>
      </c>
      <c r="AN49" t="s">
        <v>2046</v>
      </c>
      <c r="AO49" t="s">
        <v>2047</v>
      </c>
      <c r="AP49" t="s">
        <v>2048</v>
      </c>
    </row>
    <row r="50" spans="1:42" x14ac:dyDescent="0.25">
      <c r="A50" t="s">
        <v>1084</v>
      </c>
      <c r="B50" t="s">
        <v>1085</v>
      </c>
      <c r="C50" t="s">
        <v>1086</v>
      </c>
      <c r="D50" t="s">
        <v>2050</v>
      </c>
      <c r="E50" t="s">
        <v>1087</v>
      </c>
      <c r="F50" t="s">
        <v>1088</v>
      </c>
      <c r="G50" t="s">
        <v>1089</v>
      </c>
      <c r="H50" t="s">
        <v>1090</v>
      </c>
      <c r="I50" t="s">
        <v>1091</v>
      </c>
      <c r="J50" t="s">
        <v>1092</v>
      </c>
      <c r="K50" t="s">
        <v>1093</v>
      </c>
      <c r="L50" t="s">
        <v>1094</v>
      </c>
      <c r="M50" t="s">
        <v>1095</v>
      </c>
      <c r="N50" t="s">
        <v>2236</v>
      </c>
      <c r="O50" t="s">
        <v>1084</v>
      </c>
      <c r="P50" t="s">
        <v>2083</v>
      </c>
      <c r="Q50" t="s">
        <v>1096</v>
      </c>
      <c r="R50" t="s">
        <v>1097</v>
      </c>
      <c r="S50" t="s">
        <v>1098</v>
      </c>
      <c r="T50" t="s">
        <v>1099</v>
      </c>
      <c r="U50" t="s">
        <v>1100</v>
      </c>
      <c r="V50" t="s">
        <v>1084</v>
      </c>
      <c r="W50" t="s">
        <v>1101</v>
      </c>
      <c r="X50" t="s">
        <v>1102</v>
      </c>
      <c r="Y50" t="s">
        <v>1103</v>
      </c>
      <c r="Z50" t="s">
        <v>1104</v>
      </c>
      <c r="AA50" t="s">
        <v>1105</v>
      </c>
      <c r="AB50" t="s">
        <v>1106</v>
      </c>
      <c r="AC50" t="s">
        <v>1107</v>
      </c>
      <c r="AD50" t="s">
        <v>1108</v>
      </c>
      <c r="AE50" t="s">
        <v>1089</v>
      </c>
      <c r="AF50" t="s">
        <v>1109</v>
      </c>
      <c r="AG50" t="s">
        <v>1110</v>
      </c>
      <c r="AH50" t="s">
        <v>2080</v>
      </c>
      <c r="AI50" t="s">
        <v>1084</v>
      </c>
      <c r="AJ50" t="s">
        <v>1101</v>
      </c>
      <c r="AK50" t="s">
        <v>1106</v>
      </c>
      <c r="AL50" t="s">
        <v>1111</v>
      </c>
      <c r="AM50" t="s">
        <v>1087</v>
      </c>
      <c r="AN50" t="s">
        <v>1112</v>
      </c>
      <c r="AO50" t="s">
        <v>1113</v>
      </c>
      <c r="AP50" t="s">
        <v>1114</v>
      </c>
    </row>
    <row r="51" spans="1:42" x14ac:dyDescent="0.25">
      <c r="A51" t="s">
        <v>1236</v>
      </c>
      <c r="B51" t="s">
        <v>1237</v>
      </c>
      <c r="C51" t="s">
        <v>1238</v>
      </c>
      <c r="D51" t="s">
        <v>1239</v>
      </c>
      <c r="E51" t="s">
        <v>1240</v>
      </c>
      <c r="F51" t="s">
        <v>1241</v>
      </c>
      <c r="G51" t="s">
        <v>1242</v>
      </c>
      <c r="H51" t="s">
        <v>1243</v>
      </c>
      <c r="I51" t="s">
        <v>1244</v>
      </c>
      <c r="J51" t="s">
        <v>1245</v>
      </c>
      <c r="K51" t="s">
        <v>1246</v>
      </c>
      <c r="L51" t="s">
        <v>1247</v>
      </c>
      <c r="M51" t="s">
        <v>1248</v>
      </c>
      <c r="N51" t="s">
        <v>1236</v>
      </c>
      <c r="O51" t="s">
        <v>1249</v>
      </c>
      <c r="P51" t="s">
        <v>1250</v>
      </c>
      <c r="Q51" t="s">
        <v>1247</v>
      </c>
      <c r="R51" t="s">
        <v>1251</v>
      </c>
      <c r="S51" t="s">
        <v>1252</v>
      </c>
      <c r="T51" t="s">
        <v>1253</v>
      </c>
      <c r="U51" t="s">
        <v>1236</v>
      </c>
      <c r="V51" t="s">
        <v>1236</v>
      </c>
      <c r="W51" t="s">
        <v>1236</v>
      </c>
      <c r="X51" t="s">
        <v>1254</v>
      </c>
      <c r="Y51" t="s">
        <v>1245</v>
      </c>
      <c r="Z51" t="s">
        <v>1255</v>
      </c>
      <c r="AA51" t="s">
        <v>1256</v>
      </c>
      <c r="AB51" t="s">
        <v>1236</v>
      </c>
      <c r="AC51" t="s">
        <v>1257</v>
      </c>
      <c r="AD51" t="s">
        <v>1236</v>
      </c>
      <c r="AE51" t="s">
        <v>1258</v>
      </c>
      <c r="AF51" t="s">
        <v>1236</v>
      </c>
      <c r="AG51" t="s">
        <v>1259</v>
      </c>
      <c r="AH51" t="s">
        <v>1258</v>
      </c>
      <c r="AI51" t="s">
        <v>1260</v>
      </c>
      <c r="AJ51" t="s">
        <v>1236</v>
      </c>
      <c r="AK51" t="s">
        <v>1247</v>
      </c>
      <c r="AL51" t="s">
        <v>1261</v>
      </c>
      <c r="AM51" t="s">
        <v>1262</v>
      </c>
      <c r="AN51" t="s">
        <v>1263</v>
      </c>
      <c r="AO51" t="s">
        <v>1264</v>
      </c>
      <c r="AP51" t="s">
        <v>1265</v>
      </c>
    </row>
    <row r="52" spans="1:42" x14ac:dyDescent="0.25">
      <c r="A52" t="s">
        <v>2000</v>
      </c>
      <c r="B52" t="s">
        <v>2086</v>
      </c>
      <c r="C52" t="s">
        <v>2087</v>
      </c>
      <c r="D52" t="s">
        <v>2088</v>
      </c>
      <c r="E52" t="s">
        <v>2089</v>
      </c>
      <c r="F52" t="s">
        <v>2090</v>
      </c>
      <c r="G52" t="s">
        <v>2091</v>
      </c>
      <c r="H52" t="s">
        <v>2092</v>
      </c>
      <c r="I52" t="s">
        <v>2093</v>
      </c>
      <c r="J52" t="s">
        <v>2094</v>
      </c>
      <c r="K52" t="s">
        <v>2095</v>
      </c>
      <c r="L52" t="s">
        <v>2096</v>
      </c>
      <c r="M52" t="s">
        <v>2097</v>
      </c>
      <c r="N52" t="s">
        <v>2096</v>
      </c>
      <c r="O52" t="s">
        <v>2098</v>
      </c>
      <c r="P52" t="s">
        <v>2099</v>
      </c>
      <c r="Q52" t="s">
        <v>2100</v>
      </c>
      <c r="R52" t="s">
        <v>2101</v>
      </c>
      <c r="S52" t="s">
        <v>2102</v>
      </c>
      <c r="T52" t="s">
        <v>2103</v>
      </c>
      <c r="U52" t="s">
        <v>2000</v>
      </c>
      <c r="V52" t="s">
        <v>2000</v>
      </c>
      <c r="W52" t="s">
        <v>2104</v>
      </c>
      <c r="X52" t="s">
        <v>2105</v>
      </c>
      <c r="Y52" t="s">
        <v>2106</v>
      </c>
      <c r="Z52" t="s">
        <v>2107</v>
      </c>
      <c r="AA52" t="s">
        <v>2089</v>
      </c>
      <c r="AB52" t="s">
        <v>2096</v>
      </c>
      <c r="AC52" t="s">
        <v>2108</v>
      </c>
      <c r="AD52" t="s">
        <v>2109</v>
      </c>
      <c r="AE52" t="s">
        <v>2091</v>
      </c>
      <c r="AF52" t="s">
        <v>2110</v>
      </c>
      <c r="AG52" t="s">
        <v>2107</v>
      </c>
      <c r="AH52" t="s">
        <v>2095</v>
      </c>
      <c r="AI52" t="s">
        <v>2094</v>
      </c>
      <c r="AJ52" t="s">
        <v>2091</v>
      </c>
      <c r="AK52" t="s">
        <v>2096</v>
      </c>
      <c r="AL52" t="s">
        <v>2111</v>
      </c>
      <c r="AM52" t="s">
        <v>2089</v>
      </c>
      <c r="AN52" t="s">
        <v>2112</v>
      </c>
      <c r="AO52" t="s">
        <v>2113</v>
      </c>
      <c r="AP52" t="s">
        <v>2114</v>
      </c>
    </row>
    <row r="53" spans="1:42" x14ac:dyDescent="0.25">
      <c r="A53" t="s">
        <v>2002</v>
      </c>
      <c r="B53" t="s">
        <v>2133</v>
      </c>
      <c r="C53" t="s">
        <v>2134</v>
      </c>
      <c r="D53" t="s">
        <v>2135</v>
      </c>
      <c r="E53" t="s">
        <v>2136</v>
      </c>
      <c r="F53" t="s">
        <v>2137</v>
      </c>
      <c r="G53" t="s">
        <v>2138</v>
      </c>
      <c r="H53" t="s">
        <v>2139</v>
      </c>
      <c r="I53" t="s">
        <v>2139</v>
      </c>
      <c r="J53" t="s">
        <v>2136</v>
      </c>
      <c r="K53" t="s">
        <v>2140</v>
      </c>
      <c r="L53" t="s">
        <v>2141</v>
      </c>
      <c r="M53" t="s">
        <v>2142</v>
      </c>
      <c r="N53" t="s">
        <v>2239</v>
      </c>
      <c r="O53" t="s">
        <v>2143</v>
      </c>
      <c r="P53" t="s">
        <v>2144</v>
      </c>
      <c r="Q53" t="s">
        <v>2141</v>
      </c>
      <c r="R53" t="s">
        <v>2145</v>
      </c>
      <c r="S53" t="s">
        <v>2146</v>
      </c>
      <c r="T53" t="s">
        <v>2147</v>
      </c>
      <c r="U53" t="s">
        <v>2002</v>
      </c>
      <c r="V53" t="s">
        <v>2148</v>
      </c>
      <c r="W53" t="s">
        <v>2002</v>
      </c>
      <c r="X53" t="s">
        <v>2149</v>
      </c>
      <c r="Y53" t="s">
        <v>2150</v>
      </c>
      <c r="Z53" t="s">
        <v>2137</v>
      </c>
      <c r="AA53" t="s">
        <v>2151</v>
      </c>
      <c r="AB53" t="s">
        <v>2002</v>
      </c>
      <c r="AC53" t="s">
        <v>2134</v>
      </c>
      <c r="AD53" t="s">
        <v>2152</v>
      </c>
      <c r="AE53" t="s">
        <v>2138</v>
      </c>
      <c r="AF53" t="s">
        <v>2002</v>
      </c>
      <c r="AG53" t="s">
        <v>2137</v>
      </c>
      <c r="AH53" t="s">
        <v>2140</v>
      </c>
      <c r="AI53" t="s">
        <v>2153</v>
      </c>
      <c r="AJ53" t="s">
        <v>2154</v>
      </c>
      <c r="AK53" t="s">
        <v>2159</v>
      </c>
      <c r="AL53" t="s">
        <v>2155</v>
      </c>
      <c r="AM53" t="s">
        <v>2156</v>
      </c>
      <c r="AN53" t="s">
        <v>2002</v>
      </c>
      <c r="AO53" t="s">
        <v>2157</v>
      </c>
      <c r="AP53" t="s">
        <v>2158</v>
      </c>
    </row>
    <row r="54" spans="1:42" x14ac:dyDescent="0.25">
      <c r="A54" t="s">
        <v>1417</v>
      </c>
      <c r="B54" t="s">
        <v>1418</v>
      </c>
      <c r="C54" t="s">
        <v>1419</v>
      </c>
      <c r="D54" t="s">
        <v>1420</v>
      </c>
      <c r="E54" t="s">
        <v>1421</v>
      </c>
      <c r="F54" t="s">
        <v>1422</v>
      </c>
      <c r="G54" t="s">
        <v>1423</v>
      </c>
      <c r="H54" t="s">
        <v>1424</v>
      </c>
      <c r="I54" t="s">
        <v>1424</v>
      </c>
      <c r="J54" t="s">
        <v>1425</v>
      </c>
      <c r="K54" t="s">
        <v>1426</v>
      </c>
      <c r="L54" t="s">
        <v>1427</v>
      </c>
      <c r="M54" t="s">
        <v>1428</v>
      </c>
      <c r="N54" t="s">
        <v>1427</v>
      </c>
      <c r="O54" t="s">
        <v>1429</v>
      </c>
      <c r="P54" t="s">
        <v>1430</v>
      </c>
      <c r="Q54" t="s">
        <v>1427</v>
      </c>
      <c r="R54" t="s">
        <v>1431</v>
      </c>
      <c r="S54" t="s">
        <v>1432</v>
      </c>
      <c r="T54" t="s">
        <v>1433</v>
      </c>
      <c r="U54" t="s">
        <v>1434</v>
      </c>
      <c r="V54" t="s">
        <v>1435</v>
      </c>
      <c r="W54" t="s">
        <v>1436</v>
      </c>
      <c r="X54" t="s">
        <v>1437</v>
      </c>
      <c r="Y54" t="s">
        <v>1438</v>
      </c>
      <c r="Z54" t="s">
        <v>1439</v>
      </c>
      <c r="AA54" t="s">
        <v>1440</v>
      </c>
      <c r="AB54" t="s">
        <v>1441</v>
      </c>
      <c r="AC54" t="s">
        <v>1442</v>
      </c>
      <c r="AD54" t="s">
        <v>1443</v>
      </c>
      <c r="AE54" t="s">
        <v>1444</v>
      </c>
      <c r="AF54" t="s">
        <v>1441</v>
      </c>
      <c r="AG54" t="s">
        <v>1439</v>
      </c>
      <c r="AH54" t="s">
        <v>1445</v>
      </c>
      <c r="AI54" t="s">
        <v>1446</v>
      </c>
      <c r="AJ54" t="s">
        <v>1447</v>
      </c>
      <c r="AK54" t="s">
        <v>1427</v>
      </c>
      <c r="AL54" t="s">
        <v>1448</v>
      </c>
      <c r="AM54" t="s">
        <v>1449</v>
      </c>
      <c r="AN54" t="s">
        <v>1450</v>
      </c>
      <c r="AO54" t="s">
        <v>1451</v>
      </c>
      <c r="AP54" t="s">
        <v>1452</v>
      </c>
    </row>
    <row r="55" spans="1:42" x14ac:dyDescent="0.25">
      <c r="A55" t="s">
        <v>1266</v>
      </c>
      <c r="B55" t="s">
        <v>1267</v>
      </c>
      <c r="C55" t="s">
        <v>1268</v>
      </c>
      <c r="D55" t="s">
        <v>1269</v>
      </c>
      <c r="E55" t="s">
        <v>1266</v>
      </c>
      <c r="F55" t="s">
        <v>1266</v>
      </c>
      <c r="G55" t="s">
        <v>1266</v>
      </c>
      <c r="H55" t="s">
        <v>1270</v>
      </c>
      <c r="I55" t="s">
        <v>1271</v>
      </c>
      <c r="J55" t="s">
        <v>1272</v>
      </c>
      <c r="K55" t="s">
        <v>1272</v>
      </c>
      <c r="L55" t="s">
        <v>1266</v>
      </c>
      <c r="M55" t="s">
        <v>1266</v>
      </c>
      <c r="N55" t="s">
        <v>1276</v>
      </c>
      <c r="O55" t="s">
        <v>1266</v>
      </c>
      <c r="P55" t="s">
        <v>1273</v>
      </c>
      <c r="Q55" t="s">
        <v>1266</v>
      </c>
      <c r="R55" t="s">
        <v>1274</v>
      </c>
      <c r="S55" t="s">
        <v>1275</v>
      </c>
      <c r="T55" t="s">
        <v>1266</v>
      </c>
      <c r="U55" t="s">
        <v>1276</v>
      </c>
      <c r="V55" t="s">
        <v>1266</v>
      </c>
      <c r="W55" t="s">
        <v>1277</v>
      </c>
      <c r="X55" t="s">
        <v>1278</v>
      </c>
      <c r="Y55" t="s">
        <v>1276</v>
      </c>
      <c r="Z55" t="s">
        <v>1279</v>
      </c>
      <c r="AA55" t="s">
        <v>1266</v>
      </c>
      <c r="AB55" t="s">
        <v>1266</v>
      </c>
      <c r="AC55" t="s">
        <v>1280</v>
      </c>
      <c r="AD55" t="s">
        <v>1281</v>
      </c>
      <c r="AE55" t="s">
        <v>1266</v>
      </c>
      <c r="AF55" t="s">
        <v>1266</v>
      </c>
      <c r="AG55" t="s">
        <v>1282</v>
      </c>
      <c r="AH55" t="s">
        <v>1272</v>
      </c>
      <c r="AI55" t="s">
        <v>1266</v>
      </c>
      <c r="AJ55" t="s">
        <v>1266</v>
      </c>
      <c r="AK55" t="s">
        <v>1283</v>
      </c>
      <c r="AL55" t="s">
        <v>1284</v>
      </c>
      <c r="AM55" t="s">
        <v>1272</v>
      </c>
      <c r="AN55" t="s">
        <v>1266</v>
      </c>
      <c r="AO55" t="s">
        <v>1285</v>
      </c>
      <c r="AP55" t="s">
        <v>1286</v>
      </c>
    </row>
    <row r="56" spans="1:42" x14ac:dyDescent="0.25">
      <c r="A56" t="s">
        <v>1201</v>
      </c>
      <c r="B56" t="s">
        <v>1202</v>
      </c>
      <c r="C56" t="s">
        <v>1203</v>
      </c>
      <c r="D56" t="s">
        <v>1204</v>
      </c>
      <c r="E56" t="s">
        <v>1205</v>
      </c>
      <c r="F56" t="s">
        <v>1206</v>
      </c>
      <c r="G56" t="s">
        <v>1207</v>
      </c>
      <c r="H56" t="s">
        <v>1208</v>
      </c>
      <c r="I56" t="s">
        <v>1209</v>
      </c>
      <c r="J56" t="s">
        <v>1210</v>
      </c>
      <c r="K56" t="s">
        <v>1211</v>
      </c>
      <c r="L56" t="s">
        <v>1212</v>
      </c>
      <c r="M56" t="s">
        <v>1213</v>
      </c>
      <c r="N56" t="s">
        <v>2238</v>
      </c>
      <c r="O56" t="s">
        <v>1214</v>
      </c>
      <c r="P56" t="s">
        <v>2085</v>
      </c>
      <c r="Q56" t="s">
        <v>1215</v>
      </c>
      <c r="R56" t="s">
        <v>1216</v>
      </c>
      <c r="S56" t="s">
        <v>1217</v>
      </c>
      <c r="T56" t="s">
        <v>1218</v>
      </c>
      <c r="U56" t="s">
        <v>1219</v>
      </c>
      <c r="V56" t="s">
        <v>1220</v>
      </c>
      <c r="W56" t="s">
        <v>1221</v>
      </c>
      <c r="X56" t="s">
        <v>1222</v>
      </c>
      <c r="Y56" t="s">
        <v>1223</v>
      </c>
      <c r="Z56" t="s">
        <v>2243</v>
      </c>
      <c r="AA56" t="s">
        <v>1224</v>
      </c>
      <c r="AB56" t="s">
        <v>1212</v>
      </c>
      <c r="AC56" t="s">
        <v>1225</v>
      </c>
      <c r="AD56" t="s">
        <v>1226</v>
      </c>
      <c r="AE56" t="s">
        <v>1227</v>
      </c>
      <c r="AF56" t="s">
        <v>1221</v>
      </c>
      <c r="AG56" t="s">
        <v>1228</v>
      </c>
      <c r="AH56" t="s">
        <v>2078</v>
      </c>
      <c r="AI56" t="s">
        <v>1229</v>
      </c>
      <c r="AJ56" t="s">
        <v>1230</v>
      </c>
      <c r="AK56" t="s">
        <v>1212</v>
      </c>
      <c r="AL56" t="s">
        <v>1231</v>
      </c>
      <c r="AM56" t="s">
        <v>1232</v>
      </c>
      <c r="AN56" t="s">
        <v>1233</v>
      </c>
      <c r="AO56" t="s">
        <v>1234</v>
      </c>
      <c r="AP56" t="s">
        <v>1235</v>
      </c>
    </row>
    <row r="57" spans="1:42" x14ac:dyDescent="0.25">
      <c r="A57" t="s">
        <v>1287</v>
      </c>
      <c r="B57" t="s">
        <v>1288</v>
      </c>
      <c r="C57" t="s">
        <v>1289</v>
      </c>
      <c r="D57" t="s">
        <v>1290</v>
      </c>
      <c r="E57" t="s">
        <v>1291</v>
      </c>
      <c r="F57" t="s">
        <v>1292</v>
      </c>
      <c r="G57" t="s">
        <v>1293</v>
      </c>
      <c r="H57" t="s">
        <v>1294</v>
      </c>
      <c r="I57" t="s">
        <v>1294</v>
      </c>
      <c r="J57" t="s">
        <v>1287</v>
      </c>
      <c r="K57" t="s">
        <v>1295</v>
      </c>
      <c r="L57" t="s">
        <v>1287</v>
      </c>
      <c r="M57" t="s">
        <v>1287</v>
      </c>
      <c r="N57" t="s">
        <v>1287</v>
      </c>
      <c r="O57" t="s">
        <v>1296</v>
      </c>
      <c r="P57" t="s">
        <v>1297</v>
      </c>
      <c r="Q57" t="s">
        <v>1287</v>
      </c>
      <c r="R57" t="s">
        <v>1298</v>
      </c>
      <c r="S57" t="s">
        <v>1299</v>
      </c>
      <c r="T57" t="s">
        <v>1300</v>
      </c>
      <c r="U57" t="s">
        <v>1301</v>
      </c>
      <c r="V57" t="s">
        <v>1287</v>
      </c>
      <c r="W57" t="s">
        <v>1302</v>
      </c>
      <c r="X57" t="s">
        <v>1303</v>
      </c>
      <c r="Y57" t="s">
        <v>1304</v>
      </c>
      <c r="Z57" t="s">
        <v>1305</v>
      </c>
      <c r="AA57" t="s">
        <v>1306</v>
      </c>
      <c r="AB57" t="s">
        <v>1287</v>
      </c>
      <c r="AC57" t="s">
        <v>1307</v>
      </c>
      <c r="AD57" t="s">
        <v>1288</v>
      </c>
      <c r="AE57" t="s">
        <v>1308</v>
      </c>
      <c r="AF57" t="s">
        <v>1288</v>
      </c>
      <c r="AG57" t="s">
        <v>1287</v>
      </c>
      <c r="AH57" t="s">
        <v>1295</v>
      </c>
      <c r="AI57" t="s">
        <v>1309</v>
      </c>
      <c r="AJ57" t="s">
        <v>1310</v>
      </c>
      <c r="AK57" t="s">
        <v>1287</v>
      </c>
      <c r="AL57" t="s">
        <v>1311</v>
      </c>
      <c r="AM57" t="s">
        <v>1312</v>
      </c>
      <c r="AN57" t="s">
        <v>1313</v>
      </c>
      <c r="AO57" t="s">
        <v>1314</v>
      </c>
      <c r="AP57" t="s">
        <v>1315</v>
      </c>
    </row>
    <row r="58" spans="1:42" x14ac:dyDescent="0.25">
      <c r="A58" t="s">
        <v>1364</v>
      </c>
      <c r="B58" t="s">
        <v>1365</v>
      </c>
      <c r="C58" t="s">
        <v>1366</v>
      </c>
      <c r="D58" t="s">
        <v>1367</v>
      </c>
      <c r="E58" t="s">
        <v>1368</v>
      </c>
      <c r="F58" t="s">
        <v>1369</v>
      </c>
      <c r="G58" t="s">
        <v>1370</v>
      </c>
      <c r="H58" t="s">
        <v>1371</v>
      </c>
      <c r="I58" t="s">
        <v>1372</v>
      </c>
      <c r="J58" t="s">
        <v>1373</v>
      </c>
      <c r="K58" t="s">
        <v>1374</v>
      </c>
      <c r="L58" t="s">
        <v>1375</v>
      </c>
      <c r="M58" t="s">
        <v>1376</v>
      </c>
      <c r="N58" t="s">
        <v>1381</v>
      </c>
      <c r="O58" t="s">
        <v>1377</v>
      </c>
      <c r="P58" t="s">
        <v>1378</v>
      </c>
      <c r="Q58" t="s">
        <v>1375</v>
      </c>
      <c r="R58" t="s">
        <v>1379</v>
      </c>
      <c r="S58" t="s">
        <v>1380</v>
      </c>
      <c r="T58" t="s">
        <v>1364</v>
      </c>
      <c r="U58" t="s">
        <v>1381</v>
      </c>
      <c r="V58" t="s">
        <v>1364</v>
      </c>
      <c r="W58" t="s">
        <v>1382</v>
      </c>
      <c r="X58" t="s">
        <v>1383</v>
      </c>
      <c r="Y58" t="s">
        <v>1373</v>
      </c>
      <c r="Z58" t="s">
        <v>1386</v>
      </c>
      <c r="AA58" t="s">
        <v>2160</v>
      </c>
      <c r="AB58" t="s">
        <v>1381</v>
      </c>
      <c r="AC58" t="s">
        <v>1384</v>
      </c>
      <c r="AD58" t="s">
        <v>1381</v>
      </c>
      <c r="AE58" t="s">
        <v>1385</v>
      </c>
      <c r="AF58" t="s">
        <v>1381</v>
      </c>
      <c r="AG58" t="s">
        <v>1386</v>
      </c>
      <c r="AH58" t="s">
        <v>1387</v>
      </c>
      <c r="AI58" t="s">
        <v>1373</v>
      </c>
      <c r="AJ58" t="s">
        <v>1385</v>
      </c>
      <c r="AK58" t="s">
        <v>1375</v>
      </c>
      <c r="AL58" t="s">
        <v>1388</v>
      </c>
      <c r="AM58" t="s">
        <v>1368</v>
      </c>
      <c r="AN58" t="s">
        <v>1389</v>
      </c>
      <c r="AO58" t="s">
        <v>1390</v>
      </c>
      <c r="AP58" t="s">
        <v>1391</v>
      </c>
    </row>
    <row r="59" spans="1:42" x14ac:dyDescent="0.25">
      <c r="A59" t="s">
        <v>2423</v>
      </c>
      <c r="B59" t="s">
        <v>2424</v>
      </c>
      <c r="C59" t="s">
        <v>2425</v>
      </c>
      <c r="D59" t="s">
        <v>2426</v>
      </c>
      <c r="E59" t="s">
        <v>2424</v>
      </c>
      <c r="F59" t="s">
        <v>2427</v>
      </c>
      <c r="G59" t="s">
        <v>2428</v>
      </c>
      <c r="H59" t="s">
        <v>2429</v>
      </c>
      <c r="I59" t="s">
        <v>2429</v>
      </c>
      <c r="J59" t="s">
        <v>2424</v>
      </c>
      <c r="K59" t="s">
        <v>2424</v>
      </c>
      <c r="L59" t="s">
        <v>2423</v>
      </c>
      <c r="M59" t="s">
        <v>2423</v>
      </c>
      <c r="N59" t="s">
        <v>2423</v>
      </c>
      <c r="O59" t="s">
        <v>2423</v>
      </c>
      <c r="P59" t="s">
        <v>2430</v>
      </c>
      <c r="Q59" t="s">
        <v>2424</v>
      </c>
      <c r="R59" t="s">
        <v>2431</v>
      </c>
      <c r="S59" t="s">
        <v>2432</v>
      </c>
      <c r="T59" t="s">
        <v>2424</v>
      </c>
      <c r="U59" t="s">
        <v>2424</v>
      </c>
      <c r="V59" t="s">
        <v>2424</v>
      </c>
      <c r="W59" t="s">
        <v>2423</v>
      </c>
      <c r="X59" t="s">
        <v>2433</v>
      </c>
      <c r="Y59" t="s">
        <v>2424</v>
      </c>
      <c r="Z59" t="s">
        <v>2427</v>
      </c>
      <c r="AA59" t="s">
        <v>2424</v>
      </c>
      <c r="AB59" t="s">
        <v>2423</v>
      </c>
      <c r="AC59" t="s">
        <v>2434</v>
      </c>
      <c r="AD59" t="s">
        <v>2424</v>
      </c>
      <c r="AE59" t="s">
        <v>2435</v>
      </c>
      <c r="AF59" t="s">
        <v>2423</v>
      </c>
      <c r="AG59" t="s">
        <v>2427</v>
      </c>
      <c r="AH59" t="s">
        <v>2424</v>
      </c>
      <c r="AI59" t="s">
        <v>2424</v>
      </c>
      <c r="AJ59" t="s">
        <v>2435</v>
      </c>
      <c r="AK59" t="s">
        <v>2423</v>
      </c>
      <c r="AL59" t="s">
        <v>2436</v>
      </c>
      <c r="AM59" t="s">
        <v>2424</v>
      </c>
      <c r="AN59" t="s">
        <v>2423</v>
      </c>
      <c r="AO59" t="s">
        <v>2427</v>
      </c>
      <c r="AP59" t="s">
        <v>2437</v>
      </c>
    </row>
    <row r="60" spans="1:42" x14ac:dyDescent="0.25">
      <c r="A60" t="s">
        <v>1999</v>
      </c>
      <c r="B60" t="s">
        <v>2161</v>
      </c>
      <c r="C60" t="s">
        <v>2162</v>
      </c>
      <c r="D60" t="s">
        <v>2163</v>
      </c>
      <c r="E60" t="s">
        <v>2185</v>
      </c>
      <c r="F60" t="s">
        <v>2164</v>
      </c>
      <c r="G60" t="s">
        <v>2165</v>
      </c>
      <c r="H60" t="s">
        <v>2166</v>
      </c>
      <c r="I60" t="s">
        <v>2166</v>
      </c>
      <c r="J60" t="s">
        <v>2167</v>
      </c>
      <c r="K60" t="s">
        <v>2167</v>
      </c>
      <c r="L60" t="s">
        <v>2168</v>
      </c>
      <c r="M60" t="s">
        <v>2168</v>
      </c>
      <c r="N60" t="s">
        <v>2168</v>
      </c>
      <c r="O60" t="s">
        <v>2169</v>
      </c>
      <c r="P60" t="s">
        <v>2170</v>
      </c>
      <c r="Q60" t="s">
        <v>2168</v>
      </c>
      <c r="R60" t="s">
        <v>2171</v>
      </c>
      <c r="S60" t="s">
        <v>2172</v>
      </c>
      <c r="T60" t="s">
        <v>2173</v>
      </c>
      <c r="U60" t="s">
        <v>2167</v>
      </c>
      <c r="V60" t="s">
        <v>2173</v>
      </c>
      <c r="W60" t="s">
        <v>2174</v>
      </c>
      <c r="X60" t="s">
        <v>2175</v>
      </c>
      <c r="Y60" t="s">
        <v>2176</v>
      </c>
      <c r="Z60" t="s">
        <v>2164</v>
      </c>
      <c r="AA60" t="s">
        <v>2177</v>
      </c>
      <c r="AB60" t="s">
        <v>2168</v>
      </c>
      <c r="AC60" t="s">
        <v>2178</v>
      </c>
      <c r="AD60" t="s">
        <v>2167</v>
      </c>
      <c r="AE60" t="s">
        <v>2179</v>
      </c>
      <c r="AF60" t="s">
        <v>2169</v>
      </c>
      <c r="AG60" t="s">
        <v>2164</v>
      </c>
      <c r="AH60" t="s">
        <v>2167</v>
      </c>
      <c r="AI60" t="s">
        <v>2167</v>
      </c>
      <c r="AJ60" t="s">
        <v>2181</v>
      </c>
      <c r="AK60" t="s">
        <v>2182</v>
      </c>
      <c r="AL60" t="s">
        <v>2183</v>
      </c>
      <c r="AM60" t="s">
        <v>2184</v>
      </c>
      <c r="AN60" t="s">
        <v>1999</v>
      </c>
      <c r="AO60" t="s">
        <v>2180</v>
      </c>
      <c r="AP60" t="s">
        <v>2178</v>
      </c>
    </row>
    <row r="61" spans="1:42" x14ac:dyDescent="0.25">
      <c r="A61" t="s">
        <v>1004</v>
      </c>
      <c r="B61" t="s">
        <v>1005</v>
      </c>
      <c r="C61" t="s">
        <v>1006</v>
      </c>
      <c r="D61" t="s">
        <v>1007</v>
      </c>
      <c r="E61" t="s">
        <v>1008</v>
      </c>
      <c r="F61" t="s">
        <v>1009</v>
      </c>
      <c r="G61" t="s">
        <v>1010</v>
      </c>
      <c r="H61" t="s">
        <v>1011</v>
      </c>
      <c r="I61" t="s">
        <v>1012</v>
      </c>
      <c r="J61" t="s">
        <v>1013</v>
      </c>
      <c r="K61" t="s">
        <v>1014</v>
      </c>
      <c r="L61" t="s">
        <v>1015</v>
      </c>
      <c r="M61" t="s">
        <v>1016</v>
      </c>
      <c r="N61" t="s">
        <v>1027</v>
      </c>
      <c r="O61" t="s">
        <v>1017</v>
      </c>
      <c r="P61" t="s">
        <v>1018</v>
      </c>
      <c r="Q61" t="s">
        <v>1015</v>
      </c>
      <c r="R61" t="s">
        <v>1019</v>
      </c>
      <c r="S61" t="s">
        <v>1020</v>
      </c>
      <c r="T61" t="s">
        <v>1021</v>
      </c>
      <c r="U61" t="s">
        <v>1022</v>
      </c>
      <c r="V61" t="s">
        <v>1004</v>
      </c>
      <c r="W61" t="s">
        <v>1023</v>
      </c>
      <c r="X61" t="s">
        <v>1024</v>
      </c>
      <c r="Y61" t="s">
        <v>1025</v>
      </c>
      <c r="Z61" t="s">
        <v>1032</v>
      </c>
      <c r="AA61" t="s">
        <v>1026</v>
      </c>
      <c r="AB61" t="s">
        <v>1027</v>
      </c>
      <c r="AC61" t="s">
        <v>1028</v>
      </c>
      <c r="AD61" t="s">
        <v>1029</v>
      </c>
      <c r="AE61" t="s">
        <v>1030</v>
      </c>
      <c r="AF61" t="s">
        <v>1031</v>
      </c>
      <c r="AG61" t="s">
        <v>1032</v>
      </c>
      <c r="AH61" t="s">
        <v>2079</v>
      </c>
      <c r="AI61" t="s">
        <v>1033</v>
      </c>
      <c r="AJ61" t="s">
        <v>1034</v>
      </c>
      <c r="AK61" t="s">
        <v>1015</v>
      </c>
      <c r="AL61" t="s">
        <v>1035</v>
      </c>
      <c r="AM61" t="s">
        <v>1036</v>
      </c>
      <c r="AN61" t="s">
        <v>1004</v>
      </c>
      <c r="AO61" t="s">
        <v>1037</v>
      </c>
      <c r="AP61" t="s">
        <v>1038</v>
      </c>
    </row>
    <row r="62" spans="1:42" x14ac:dyDescent="0.25">
      <c r="A62" t="s">
        <v>1334</v>
      </c>
      <c r="B62" t="s">
        <v>1335</v>
      </c>
      <c r="C62" t="s">
        <v>1336</v>
      </c>
      <c r="D62" t="s">
        <v>1337</v>
      </c>
      <c r="E62" t="s">
        <v>1338</v>
      </c>
      <c r="F62" t="s">
        <v>1339</v>
      </c>
      <c r="G62" t="s">
        <v>1340</v>
      </c>
      <c r="H62" t="s">
        <v>1341</v>
      </c>
      <c r="I62" t="s">
        <v>1341</v>
      </c>
      <c r="J62" t="s">
        <v>1334</v>
      </c>
      <c r="K62" t="s">
        <v>1342</v>
      </c>
      <c r="L62" t="s">
        <v>1343</v>
      </c>
      <c r="M62" t="s">
        <v>1344</v>
      </c>
      <c r="N62" t="s">
        <v>2240</v>
      </c>
      <c r="O62" t="s">
        <v>1345</v>
      </c>
      <c r="P62" t="s">
        <v>1346</v>
      </c>
      <c r="Q62" t="s">
        <v>1343</v>
      </c>
      <c r="R62" t="s">
        <v>1347</v>
      </c>
      <c r="S62" t="s">
        <v>1348</v>
      </c>
      <c r="T62" t="s">
        <v>1349</v>
      </c>
      <c r="U62" t="s">
        <v>1334</v>
      </c>
      <c r="V62" t="s">
        <v>1350</v>
      </c>
      <c r="W62" t="s">
        <v>1351</v>
      </c>
      <c r="X62" t="s">
        <v>1352</v>
      </c>
      <c r="Y62" t="s">
        <v>1353</v>
      </c>
      <c r="Z62" t="s">
        <v>1354</v>
      </c>
      <c r="AA62" t="s">
        <v>1355</v>
      </c>
      <c r="AB62" t="s">
        <v>1340</v>
      </c>
      <c r="AC62" t="s">
        <v>1356</v>
      </c>
      <c r="AD62" t="s">
        <v>1357</v>
      </c>
      <c r="AE62" t="s">
        <v>1340</v>
      </c>
      <c r="AF62" t="s">
        <v>1358</v>
      </c>
      <c r="AG62" t="s">
        <v>1334</v>
      </c>
      <c r="AH62" t="s">
        <v>1349</v>
      </c>
      <c r="AI62" t="s">
        <v>1353</v>
      </c>
      <c r="AJ62" t="s">
        <v>1340</v>
      </c>
      <c r="AK62" t="s">
        <v>1343</v>
      </c>
      <c r="AL62" t="s">
        <v>1359</v>
      </c>
      <c r="AM62" t="s">
        <v>1360</v>
      </c>
      <c r="AN62" t="s">
        <v>1361</v>
      </c>
      <c r="AO62" t="s">
        <v>1362</v>
      </c>
      <c r="AP62" t="s">
        <v>1363</v>
      </c>
    </row>
    <row r="63" spans="1:42" x14ac:dyDescent="0.25">
      <c r="A63" t="s">
        <v>2001</v>
      </c>
      <c r="B63" t="s">
        <v>2001</v>
      </c>
      <c r="C63" t="s">
        <v>2051</v>
      </c>
      <c r="D63" t="s">
        <v>2052</v>
      </c>
      <c r="E63" t="s">
        <v>2053</v>
      </c>
      <c r="F63" t="s">
        <v>2054</v>
      </c>
      <c r="G63" t="s">
        <v>2055</v>
      </c>
      <c r="H63" t="s">
        <v>2056</v>
      </c>
      <c r="I63" t="s">
        <v>2057</v>
      </c>
      <c r="J63" t="s">
        <v>2058</v>
      </c>
      <c r="K63" t="s">
        <v>2059</v>
      </c>
      <c r="L63" t="s">
        <v>2060</v>
      </c>
      <c r="M63" t="s">
        <v>2061</v>
      </c>
      <c r="N63" t="s">
        <v>2001</v>
      </c>
      <c r="O63" t="s">
        <v>2062</v>
      </c>
      <c r="P63" t="s">
        <v>2063</v>
      </c>
      <c r="Q63" t="s">
        <v>2060</v>
      </c>
      <c r="R63" t="s">
        <v>2064</v>
      </c>
      <c r="S63" t="s">
        <v>2065</v>
      </c>
      <c r="T63" t="s">
        <v>2066</v>
      </c>
      <c r="U63" t="s">
        <v>2001</v>
      </c>
      <c r="V63" t="s">
        <v>2067</v>
      </c>
      <c r="W63" t="s">
        <v>2001</v>
      </c>
      <c r="X63" t="s">
        <v>2068</v>
      </c>
      <c r="Y63" t="s">
        <v>2069</v>
      </c>
      <c r="Z63" t="s">
        <v>2070</v>
      </c>
      <c r="AA63" t="s">
        <v>2071</v>
      </c>
      <c r="AB63" t="s">
        <v>2001</v>
      </c>
      <c r="AC63" t="s">
        <v>2072</v>
      </c>
      <c r="AD63" t="s">
        <v>2001</v>
      </c>
      <c r="AE63" t="s">
        <v>2073</v>
      </c>
      <c r="AF63" t="s">
        <v>2001</v>
      </c>
      <c r="AG63" t="s">
        <v>2070</v>
      </c>
      <c r="AH63" t="s">
        <v>2059</v>
      </c>
      <c r="AI63" t="s">
        <v>2058</v>
      </c>
      <c r="AJ63" t="s">
        <v>2001</v>
      </c>
      <c r="AK63" t="s">
        <v>2060</v>
      </c>
      <c r="AL63" t="s">
        <v>2074</v>
      </c>
      <c r="AM63" t="s">
        <v>2075</v>
      </c>
      <c r="AN63" t="s">
        <v>2001</v>
      </c>
      <c r="AO63" t="s">
        <v>2076</v>
      </c>
      <c r="AP63" t="s">
        <v>2077</v>
      </c>
    </row>
    <row r="64" spans="1:42" x14ac:dyDescent="0.25">
      <c r="A64" t="s">
        <v>1453</v>
      </c>
      <c r="B64" t="s">
        <v>1454</v>
      </c>
      <c r="C64" t="s">
        <v>1455</v>
      </c>
      <c r="D64" t="s">
        <v>1456</v>
      </c>
      <c r="E64" t="s">
        <v>1457</v>
      </c>
      <c r="F64" t="s">
        <v>1458</v>
      </c>
      <c r="G64" t="s">
        <v>1459</v>
      </c>
      <c r="H64" t="s">
        <v>1460</v>
      </c>
      <c r="I64" t="s">
        <v>1460</v>
      </c>
      <c r="J64" t="s">
        <v>1461</v>
      </c>
      <c r="K64" t="s">
        <v>1462</v>
      </c>
      <c r="L64" t="s">
        <v>1463</v>
      </c>
      <c r="M64" t="s">
        <v>1464</v>
      </c>
      <c r="N64" t="s">
        <v>2241</v>
      </c>
      <c r="O64" t="s">
        <v>1465</v>
      </c>
      <c r="P64" t="s">
        <v>1453</v>
      </c>
      <c r="Q64" t="s">
        <v>1463</v>
      </c>
      <c r="R64" t="s">
        <v>1466</v>
      </c>
      <c r="S64" t="s">
        <v>1467</v>
      </c>
      <c r="T64" t="s">
        <v>1468</v>
      </c>
      <c r="U64" t="s">
        <v>1469</v>
      </c>
      <c r="V64" t="s">
        <v>1470</v>
      </c>
      <c r="W64" t="s">
        <v>1471</v>
      </c>
      <c r="X64" t="s">
        <v>1472</v>
      </c>
      <c r="Y64" t="s">
        <v>1473</v>
      </c>
      <c r="Z64" t="s">
        <v>1474</v>
      </c>
      <c r="AA64" t="s">
        <v>1475</v>
      </c>
      <c r="AB64" t="s">
        <v>1476</v>
      </c>
      <c r="AC64" t="s">
        <v>1477</v>
      </c>
      <c r="AD64" t="s">
        <v>1478</v>
      </c>
      <c r="AE64" t="s">
        <v>1479</v>
      </c>
      <c r="AF64" t="s">
        <v>1480</v>
      </c>
      <c r="AG64" t="s">
        <v>1481</v>
      </c>
      <c r="AH64" t="s">
        <v>1482</v>
      </c>
      <c r="AI64" t="s">
        <v>1483</v>
      </c>
      <c r="AJ64" t="s">
        <v>1484</v>
      </c>
      <c r="AK64" t="s">
        <v>1463</v>
      </c>
      <c r="AL64" t="s">
        <v>1485</v>
      </c>
      <c r="AM64" t="s">
        <v>1486</v>
      </c>
      <c r="AN64" t="s">
        <v>1487</v>
      </c>
      <c r="AO64" t="s">
        <v>1488</v>
      </c>
      <c r="AP64" t="s">
        <v>1489</v>
      </c>
    </row>
    <row r="65" spans="1:42" x14ac:dyDescent="0.25">
      <c r="A65" t="s">
        <v>2438</v>
      </c>
      <c r="B65" t="s">
        <v>2439</v>
      </c>
      <c r="C65" t="s">
        <v>2440</v>
      </c>
      <c r="D65" t="s">
        <v>2441</v>
      </c>
      <c r="E65" t="s">
        <v>2442</v>
      </c>
      <c r="F65" t="s">
        <v>2443</v>
      </c>
      <c r="G65" t="s">
        <v>2444</v>
      </c>
      <c r="H65" t="s">
        <v>2445</v>
      </c>
      <c r="I65" t="s">
        <v>2446</v>
      </c>
      <c r="J65" t="s">
        <v>2439</v>
      </c>
      <c r="K65" t="s">
        <v>2439</v>
      </c>
      <c r="L65" t="s">
        <v>2439</v>
      </c>
      <c r="M65" t="s">
        <v>2447</v>
      </c>
      <c r="N65" t="s">
        <v>2448</v>
      </c>
      <c r="O65" t="s">
        <v>2448</v>
      </c>
      <c r="P65" t="s">
        <v>2449</v>
      </c>
      <c r="Q65" t="s">
        <v>2439</v>
      </c>
      <c r="R65" t="s">
        <v>2450</v>
      </c>
      <c r="S65" t="s">
        <v>2451</v>
      </c>
      <c r="T65" t="s">
        <v>2439</v>
      </c>
      <c r="U65" t="s">
        <v>2439</v>
      </c>
      <c r="V65" t="s">
        <v>2452</v>
      </c>
      <c r="W65" t="s">
        <v>2444</v>
      </c>
      <c r="X65" t="s">
        <v>2453</v>
      </c>
      <c r="Y65" t="s">
        <v>2454</v>
      </c>
      <c r="Z65" t="s">
        <v>2443</v>
      </c>
      <c r="AA65" t="s">
        <v>2439</v>
      </c>
      <c r="AB65" t="s">
        <v>2439</v>
      </c>
      <c r="AC65" t="s">
        <v>2455</v>
      </c>
      <c r="AD65" t="s">
        <v>2439</v>
      </c>
      <c r="AE65" t="s">
        <v>2456</v>
      </c>
      <c r="AF65" t="s">
        <v>2444</v>
      </c>
      <c r="AG65" t="s">
        <v>2443</v>
      </c>
      <c r="AH65" t="s">
        <v>2439</v>
      </c>
      <c r="AI65" t="s">
        <v>2439</v>
      </c>
      <c r="AJ65" t="s">
        <v>2457</v>
      </c>
      <c r="AK65" t="s">
        <v>2439</v>
      </c>
      <c r="AL65" t="s">
        <v>2458</v>
      </c>
      <c r="AM65" t="s">
        <v>2439</v>
      </c>
      <c r="AN65" t="s">
        <v>2438</v>
      </c>
      <c r="AO65" t="s">
        <v>2443</v>
      </c>
      <c r="AP65" t="s">
        <v>2459</v>
      </c>
    </row>
    <row r="66" spans="1:42" x14ac:dyDescent="0.25">
      <c r="A66" t="s">
        <v>1392</v>
      </c>
      <c r="B66" t="s">
        <v>1393</v>
      </c>
      <c r="C66" t="s">
        <v>1394</v>
      </c>
      <c r="D66" t="s">
        <v>1395</v>
      </c>
      <c r="E66" t="s">
        <v>1396</v>
      </c>
      <c r="F66" t="s">
        <v>1397</v>
      </c>
      <c r="G66" t="s">
        <v>1392</v>
      </c>
      <c r="H66" t="s">
        <v>1398</v>
      </c>
      <c r="I66" t="s">
        <v>1398</v>
      </c>
      <c r="J66" t="s">
        <v>1399</v>
      </c>
      <c r="K66" t="s">
        <v>1400</v>
      </c>
      <c r="L66" t="s">
        <v>1392</v>
      </c>
      <c r="M66" t="s">
        <v>1392</v>
      </c>
      <c r="N66" t="s">
        <v>1392</v>
      </c>
      <c r="O66" t="s">
        <v>1392</v>
      </c>
      <c r="P66" t="s">
        <v>1401</v>
      </c>
      <c r="Q66" t="s">
        <v>1392</v>
      </c>
      <c r="R66" t="s">
        <v>1402</v>
      </c>
      <c r="S66" t="s">
        <v>1403</v>
      </c>
      <c r="T66" t="s">
        <v>1404</v>
      </c>
      <c r="U66" t="s">
        <v>1392</v>
      </c>
      <c r="V66" t="s">
        <v>1392</v>
      </c>
      <c r="W66" t="s">
        <v>1405</v>
      </c>
      <c r="X66" t="s">
        <v>1406</v>
      </c>
      <c r="Y66" t="s">
        <v>1399</v>
      </c>
      <c r="Z66" t="s">
        <v>1407</v>
      </c>
      <c r="AA66" t="s">
        <v>1408</v>
      </c>
      <c r="AB66" t="s">
        <v>1392</v>
      </c>
      <c r="AC66" t="s">
        <v>1409</v>
      </c>
      <c r="AD66" t="s">
        <v>1410</v>
      </c>
      <c r="AE66" t="s">
        <v>1392</v>
      </c>
      <c r="AF66" t="s">
        <v>1410</v>
      </c>
      <c r="AG66" t="s">
        <v>1407</v>
      </c>
      <c r="AH66" t="s">
        <v>1400</v>
      </c>
      <c r="AI66" t="s">
        <v>1411</v>
      </c>
      <c r="AJ66" t="s">
        <v>1392</v>
      </c>
      <c r="AK66" t="s">
        <v>1392</v>
      </c>
      <c r="AL66" t="s">
        <v>1412</v>
      </c>
      <c r="AM66" t="s">
        <v>1413</v>
      </c>
      <c r="AN66" t="s">
        <v>1414</v>
      </c>
      <c r="AO66" t="s">
        <v>1415</v>
      </c>
      <c r="AP66" t="s">
        <v>1416</v>
      </c>
    </row>
    <row r="67" spans="1:42" x14ac:dyDescent="0.25">
      <c r="A67" t="s">
        <v>2460</v>
      </c>
      <c r="B67" t="s">
        <v>2461</v>
      </c>
      <c r="C67" t="s">
        <v>2462</v>
      </c>
      <c r="D67" t="s">
        <v>2463</v>
      </c>
      <c r="E67" t="s">
        <v>2464</v>
      </c>
      <c r="F67" t="s">
        <v>2465</v>
      </c>
      <c r="G67" t="s">
        <v>2460</v>
      </c>
      <c r="H67" t="s">
        <v>2466</v>
      </c>
      <c r="I67" t="s">
        <v>2467</v>
      </c>
      <c r="J67" t="s">
        <v>2468</v>
      </c>
      <c r="K67" t="s">
        <v>2460</v>
      </c>
      <c r="L67" t="s">
        <v>2460</v>
      </c>
      <c r="M67" t="s">
        <v>2460</v>
      </c>
      <c r="N67" t="s">
        <v>2460</v>
      </c>
      <c r="O67" t="s">
        <v>2460</v>
      </c>
      <c r="P67" t="s">
        <v>2469</v>
      </c>
      <c r="Q67" t="s">
        <v>2460</v>
      </c>
      <c r="R67" t="s">
        <v>2470</v>
      </c>
      <c r="S67" t="s">
        <v>2471</v>
      </c>
      <c r="T67" t="s">
        <v>2472</v>
      </c>
      <c r="U67" t="s">
        <v>2460</v>
      </c>
      <c r="V67" t="s">
        <v>2468</v>
      </c>
      <c r="W67" t="s">
        <v>2460</v>
      </c>
      <c r="X67" t="s">
        <v>2473</v>
      </c>
      <c r="Y67" t="s">
        <v>2468</v>
      </c>
      <c r="Z67" t="s">
        <v>2465</v>
      </c>
      <c r="AA67" t="s">
        <v>2460</v>
      </c>
      <c r="AB67" t="s">
        <v>2460</v>
      </c>
      <c r="AC67" t="s">
        <v>2474</v>
      </c>
      <c r="AD67" t="s">
        <v>2460</v>
      </c>
      <c r="AE67" t="s">
        <v>2468</v>
      </c>
      <c r="AF67" t="s">
        <v>2460</v>
      </c>
      <c r="AG67" t="s">
        <v>2465</v>
      </c>
      <c r="AH67" t="s">
        <v>2460</v>
      </c>
      <c r="AI67" t="s">
        <v>2468</v>
      </c>
      <c r="AJ67" t="s">
        <v>2460</v>
      </c>
      <c r="AK67" t="s">
        <v>2460</v>
      </c>
      <c r="AL67" t="s">
        <v>2475</v>
      </c>
      <c r="AM67" t="s">
        <v>2468</v>
      </c>
      <c r="AN67" t="s">
        <v>2460</v>
      </c>
      <c r="AO67" t="s">
        <v>2465</v>
      </c>
      <c r="AP67" t="s">
        <v>2476</v>
      </c>
    </row>
    <row r="68" spans="1:42" x14ac:dyDescent="0.25">
      <c r="A68" t="s">
        <v>1064</v>
      </c>
      <c r="B68" t="s">
        <v>1064</v>
      </c>
      <c r="C68" t="s">
        <v>1065</v>
      </c>
      <c r="D68" t="s">
        <v>1066</v>
      </c>
      <c r="E68" t="s">
        <v>1067</v>
      </c>
      <c r="F68" t="s">
        <v>1068</v>
      </c>
      <c r="G68" t="s">
        <v>1069</v>
      </c>
      <c r="H68" t="s">
        <v>1070</v>
      </c>
      <c r="I68" t="s">
        <v>1071</v>
      </c>
      <c r="J68" t="s">
        <v>1072</v>
      </c>
      <c r="K68" t="s">
        <v>1064</v>
      </c>
      <c r="L68" t="s">
        <v>1064</v>
      </c>
      <c r="M68" t="s">
        <v>1064</v>
      </c>
      <c r="N68" t="s">
        <v>1064</v>
      </c>
      <c r="O68" t="s">
        <v>1064</v>
      </c>
      <c r="P68" t="s">
        <v>1073</v>
      </c>
      <c r="Q68" t="s">
        <v>1064</v>
      </c>
      <c r="R68" t="s">
        <v>1074</v>
      </c>
      <c r="S68" t="s">
        <v>1075</v>
      </c>
      <c r="T68" t="s">
        <v>1064</v>
      </c>
      <c r="U68" t="s">
        <v>1064</v>
      </c>
      <c r="V68" t="s">
        <v>1064</v>
      </c>
      <c r="W68" t="s">
        <v>1064</v>
      </c>
      <c r="X68" t="s">
        <v>1076</v>
      </c>
      <c r="Y68" t="s">
        <v>1077</v>
      </c>
      <c r="Z68" t="s">
        <v>1080</v>
      </c>
      <c r="AA68" t="s">
        <v>1078</v>
      </c>
      <c r="AB68" t="s">
        <v>1064</v>
      </c>
      <c r="AC68" t="s">
        <v>1079</v>
      </c>
      <c r="AD68" t="s">
        <v>1078</v>
      </c>
      <c r="AE68" t="s">
        <v>1069</v>
      </c>
      <c r="AF68" t="s">
        <v>1064</v>
      </c>
      <c r="AG68" t="s">
        <v>1080</v>
      </c>
      <c r="AH68" t="s">
        <v>1081</v>
      </c>
      <c r="AI68" t="s">
        <v>1072</v>
      </c>
      <c r="AJ68" t="s">
        <v>1064</v>
      </c>
      <c r="AK68" t="s">
        <v>1064</v>
      </c>
      <c r="AL68" t="s">
        <v>1082</v>
      </c>
      <c r="AM68" t="s">
        <v>1064</v>
      </c>
      <c r="AN68" t="s">
        <v>1064</v>
      </c>
      <c r="AO68" t="s">
        <v>1068</v>
      </c>
      <c r="AP68" t="s">
        <v>1083</v>
      </c>
    </row>
    <row r="69" spans="1:42" x14ac:dyDescent="0.25">
      <c r="A69" t="s">
        <v>1136</v>
      </c>
      <c r="B69" t="s">
        <v>1136</v>
      </c>
      <c r="C69" t="s">
        <v>1137</v>
      </c>
      <c r="D69" t="s">
        <v>1138</v>
      </c>
      <c r="E69" t="s">
        <v>1139</v>
      </c>
      <c r="F69" t="s">
        <v>1140</v>
      </c>
      <c r="G69" t="s">
        <v>1141</v>
      </c>
      <c r="H69" t="s">
        <v>1142</v>
      </c>
      <c r="I69" t="s">
        <v>1143</v>
      </c>
      <c r="J69" t="s">
        <v>1144</v>
      </c>
      <c r="K69" t="s">
        <v>1145</v>
      </c>
      <c r="L69" t="s">
        <v>1146</v>
      </c>
      <c r="M69" t="s">
        <v>1147</v>
      </c>
      <c r="N69" t="s">
        <v>2237</v>
      </c>
      <c r="O69" t="s">
        <v>1148</v>
      </c>
      <c r="P69" t="s">
        <v>1149</v>
      </c>
      <c r="Q69" t="s">
        <v>1150</v>
      </c>
      <c r="R69" t="s">
        <v>1151</v>
      </c>
      <c r="S69" t="s">
        <v>1152</v>
      </c>
      <c r="T69" t="s">
        <v>1153</v>
      </c>
      <c r="U69" t="s">
        <v>1154</v>
      </c>
      <c r="V69" t="s">
        <v>1155</v>
      </c>
      <c r="W69" t="s">
        <v>1156</v>
      </c>
      <c r="X69" t="s">
        <v>1157</v>
      </c>
      <c r="Y69" t="s">
        <v>1158</v>
      </c>
      <c r="Z69" t="s">
        <v>2242</v>
      </c>
      <c r="AA69" t="s">
        <v>1159</v>
      </c>
      <c r="AB69" t="s">
        <v>1160</v>
      </c>
      <c r="AC69" t="s">
        <v>1161</v>
      </c>
      <c r="AD69" t="s">
        <v>1162</v>
      </c>
      <c r="AE69" t="s">
        <v>2245</v>
      </c>
      <c r="AF69" t="s">
        <v>1163</v>
      </c>
      <c r="AG69" t="s">
        <v>1164</v>
      </c>
      <c r="AH69" t="s">
        <v>2081</v>
      </c>
      <c r="AI69" t="s">
        <v>1144</v>
      </c>
      <c r="AJ69" t="s">
        <v>1141</v>
      </c>
      <c r="AK69" t="s">
        <v>1146</v>
      </c>
      <c r="AL69" t="s">
        <v>1165</v>
      </c>
      <c r="AM69" t="s">
        <v>1166</v>
      </c>
      <c r="AN69" t="s">
        <v>1167</v>
      </c>
      <c r="AO69" t="s">
        <v>1168</v>
      </c>
      <c r="AP69" t="s">
        <v>1169</v>
      </c>
    </row>
    <row r="70" spans="1:42" x14ac:dyDescent="0.25">
      <c r="A70" t="s">
        <v>1490</v>
      </c>
      <c r="B70" t="s">
        <v>1490</v>
      </c>
      <c r="C70" t="s">
        <v>1490</v>
      </c>
      <c r="D70" t="s">
        <v>1490</v>
      </c>
      <c r="E70" t="s">
        <v>1490</v>
      </c>
      <c r="F70" t="s">
        <v>1490</v>
      </c>
      <c r="G70" t="s">
        <v>1490</v>
      </c>
      <c r="H70" t="s">
        <v>1490</v>
      </c>
      <c r="I70" t="s">
        <v>1490</v>
      </c>
      <c r="J70" t="s">
        <v>1490</v>
      </c>
      <c r="K70" t="s">
        <v>1490</v>
      </c>
      <c r="L70" t="s">
        <v>1490</v>
      </c>
      <c r="M70" t="s">
        <v>1491</v>
      </c>
      <c r="N70" t="s">
        <v>1490</v>
      </c>
      <c r="O70" t="s">
        <v>1490</v>
      </c>
      <c r="P70" t="s">
        <v>1490</v>
      </c>
      <c r="Q70" t="s">
        <v>1490</v>
      </c>
      <c r="R70" t="s">
        <v>1490</v>
      </c>
      <c r="S70" t="s">
        <v>1490</v>
      </c>
      <c r="T70" t="s">
        <v>1490</v>
      </c>
      <c r="U70" t="s">
        <v>1490</v>
      </c>
      <c r="V70" t="s">
        <v>1490</v>
      </c>
      <c r="W70" t="s">
        <v>1490</v>
      </c>
      <c r="X70" t="s">
        <v>1492</v>
      </c>
      <c r="Y70" t="s">
        <v>1490</v>
      </c>
      <c r="Z70" t="s">
        <v>1490</v>
      </c>
      <c r="AA70" t="s">
        <v>1490</v>
      </c>
      <c r="AB70" t="s">
        <v>1490</v>
      </c>
      <c r="AC70" t="s">
        <v>1493</v>
      </c>
      <c r="AD70" t="s">
        <v>1490</v>
      </c>
      <c r="AE70" t="s">
        <v>1490</v>
      </c>
      <c r="AF70" t="s">
        <v>1490</v>
      </c>
      <c r="AG70" t="s">
        <v>1490</v>
      </c>
      <c r="AH70" t="s">
        <v>1490</v>
      </c>
      <c r="AI70" t="s">
        <v>1490</v>
      </c>
      <c r="AJ70" t="s">
        <v>1490</v>
      </c>
      <c r="AK70" t="s">
        <v>1490</v>
      </c>
      <c r="AL70" t="s">
        <v>1494</v>
      </c>
      <c r="AM70" t="s">
        <v>1491</v>
      </c>
      <c r="AN70" t="s">
        <v>1490</v>
      </c>
      <c r="AO70" t="s">
        <v>1490</v>
      </c>
      <c r="AP70" t="s">
        <v>1495</v>
      </c>
    </row>
    <row r="71" spans="1:42" x14ac:dyDescent="0.25">
      <c r="A71" t="s">
        <v>1496</v>
      </c>
      <c r="B71" t="s">
        <v>1496</v>
      </c>
      <c r="C71" t="s">
        <v>1496</v>
      </c>
      <c r="D71" t="s">
        <v>1496</v>
      </c>
      <c r="E71" t="s">
        <v>1496</v>
      </c>
      <c r="F71" t="s">
        <v>1496</v>
      </c>
      <c r="G71" t="s">
        <v>1496</v>
      </c>
      <c r="H71" t="s">
        <v>1496</v>
      </c>
      <c r="I71" t="s">
        <v>1496</v>
      </c>
      <c r="J71" t="s">
        <v>1496</v>
      </c>
      <c r="K71" t="s">
        <v>1496</v>
      </c>
      <c r="L71" t="s">
        <v>1496</v>
      </c>
      <c r="M71" t="s">
        <v>1497</v>
      </c>
      <c r="N71" t="s">
        <v>1496</v>
      </c>
      <c r="O71" t="s">
        <v>1496</v>
      </c>
      <c r="P71" t="s">
        <v>1496</v>
      </c>
      <c r="Q71" t="s">
        <v>1496</v>
      </c>
      <c r="R71" t="s">
        <v>1496</v>
      </c>
      <c r="S71" t="s">
        <v>1496</v>
      </c>
      <c r="T71" t="s">
        <v>1496</v>
      </c>
      <c r="U71" t="s">
        <v>1496</v>
      </c>
      <c r="V71" t="s">
        <v>1496</v>
      </c>
      <c r="W71" t="s">
        <v>1496</v>
      </c>
      <c r="X71" t="s">
        <v>1498</v>
      </c>
      <c r="Y71" t="s">
        <v>1496</v>
      </c>
      <c r="Z71" t="s">
        <v>1496</v>
      </c>
      <c r="AA71" t="s">
        <v>1496</v>
      </c>
      <c r="AB71" t="s">
        <v>1496</v>
      </c>
      <c r="AC71" t="s">
        <v>1499</v>
      </c>
      <c r="AD71" t="s">
        <v>1496</v>
      </c>
      <c r="AE71" t="s">
        <v>1496</v>
      </c>
      <c r="AF71" t="s">
        <v>1496</v>
      </c>
      <c r="AG71" t="s">
        <v>1496</v>
      </c>
      <c r="AH71" t="s">
        <v>1496</v>
      </c>
      <c r="AI71" t="s">
        <v>1496</v>
      </c>
      <c r="AJ71" t="s">
        <v>1496</v>
      </c>
      <c r="AK71" t="s">
        <v>1496</v>
      </c>
      <c r="AL71" t="s">
        <v>1500</v>
      </c>
      <c r="AM71" t="s">
        <v>1497</v>
      </c>
      <c r="AN71" t="s">
        <v>1496</v>
      </c>
      <c r="AO71" t="s">
        <v>1496</v>
      </c>
      <c r="AP71" t="s">
        <v>1501</v>
      </c>
    </row>
    <row r="72" spans="1:42" x14ac:dyDescent="0.25">
      <c r="A72" t="s">
        <v>1502</v>
      </c>
      <c r="B72" t="s">
        <v>1502</v>
      </c>
      <c r="C72" t="s">
        <v>1502</v>
      </c>
      <c r="D72" t="s">
        <v>1502</v>
      </c>
      <c r="E72" t="s">
        <v>1502</v>
      </c>
      <c r="F72" t="s">
        <v>1502</v>
      </c>
      <c r="G72" t="s">
        <v>1502</v>
      </c>
      <c r="H72" t="s">
        <v>1502</v>
      </c>
      <c r="I72" t="s">
        <v>1502</v>
      </c>
      <c r="J72" t="s">
        <v>1502</v>
      </c>
      <c r="K72" t="s">
        <v>1502</v>
      </c>
      <c r="L72" t="s">
        <v>1502</v>
      </c>
      <c r="M72" t="s">
        <v>1503</v>
      </c>
      <c r="N72" t="s">
        <v>1502</v>
      </c>
      <c r="O72" t="s">
        <v>1502</v>
      </c>
      <c r="P72" t="s">
        <v>1502</v>
      </c>
      <c r="Q72" t="s">
        <v>1502</v>
      </c>
      <c r="R72" t="s">
        <v>1502</v>
      </c>
      <c r="S72" t="s">
        <v>1502</v>
      </c>
      <c r="T72" t="s">
        <v>1502</v>
      </c>
      <c r="U72" t="s">
        <v>1502</v>
      </c>
      <c r="V72" t="s">
        <v>1502</v>
      </c>
      <c r="W72" t="s">
        <v>1502</v>
      </c>
      <c r="X72" t="s">
        <v>1504</v>
      </c>
      <c r="Y72" t="s">
        <v>1502</v>
      </c>
      <c r="Z72" t="s">
        <v>1502</v>
      </c>
      <c r="AA72" t="s">
        <v>1502</v>
      </c>
      <c r="AB72" t="s">
        <v>1502</v>
      </c>
      <c r="AC72" t="s">
        <v>1505</v>
      </c>
      <c r="AD72" t="s">
        <v>1502</v>
      </c>
      <c r="AE72" t="s">
        <v>1502</v>
      </c>
      <c r="AF72" t="s">
        <v>1502</v>
      </c>
      <c r="AG72" t="s">
        <v>1502</v>
      </c>
      <c r="AH72" t="s">
        <v>1502</v>
      </c>
      <c r="AI72" t="s">
        <v>1502</v>
      </c>
      <c r="AJ72" t="s">
        <v>1502</v>
      </c>
      <c r="AK72" t="s">
        <v>1502</v>
      </c>
      <c r="AL72" t="s">
        <v>1506</v>
      </c>
      <c r="AM72" t="s">
        <v>1503</v>
      </c>
      <c r="AN72" t="s">
        <v>1502</v>
      </c>
      <c r="AO72" t="s">
        <v>1502</v>
      </c>
      <c r="AP72" t="s">
        <v>1507</v>
      </c>
    </row>
    <row r="73" spans="1:42" x14ac:dyDescent="0.25">
      <c r="A73" t="s">
        <v>1508</v>
      </c>
      <c r="B73" t="s">
        <v>1508</v>
      </c>
      <c r="C73" t="s">
        <v>1508</v>
      </c>
      <c r="D73" t="s">
        <v>1508</v>
      </c>
      <c r="E73" t="s">
        <v>1508</v>
      </c>
      <c r="F73" t="s">
        <v>1508</v>
      </c>
      <c r="G73" t="s">
        <v>1508</v>
      </c>
      <c r="H73" t="s">
        <v>1508</v>
      </c>
      <c r="I73" t="s">
        <v>1508</v>
      </c>
      <c r="J73" t="s">
        <v>1508</v>
      </c>
      <c r="K73" t="s">
        <v>1508</v>
      </c>
      <c r="L73" t="s">
        <v>1508</v>
      </c>
      <c r="M73" t="s">
        <v>1509</v>
      </c>
      <c r="N73" t="s">
        <v>1508</v>
      </c>
      <c r="O73" t="s">
        <v>1508</v>
      </c>
      <c r="P73" t="s">
        <v>1508</v>
      </c>
      <c r="Q73" t="s">
        <v>1508</v>
      </c>
      <c r="R73" t="s">
        <v>1508</v>
      </c>
      <c r="S73" t="s">
        <v>1508</v>
      </c>
      <c r="T73" t="s">
        <v>1508</v>
      </c>
      <c r="U73" t="s">
        <v>1508</v>
      </c>
      <c r="V73" t="s">
        <v>1508</v>
      </c>
      <c r="W73" t="s">
        <v>1508</v>
      </c>
      <c r="X73" t="s">
        <v>1510</v>
      </c>
      <c r="Y73" t="s">
        <v>1508</v>
      </c>
      <c r="Z73" t="s">
        <v>1508</v>
      </c>
      <c r="AA73" t="s">
        <v>1508</v>
      </c>
      <c r="AB73" t="s">
        <v>1508</v>
      </c>
      <c r="AC73" t="s">
        <v>1511</v>
      </c>
      <c r="AD73" t="s">
        <v>1508</v>
      </c>
      <c r="AE73" t="s">
        <v>1508</v>
      </c>
      <c r="AF73" t="s">
        <v>1508</v>
      </c>
      <c r="AG73" t="s">
        <v>1508</v>
      </c>
      <c r="AH73" t="s">
        <v>1508</v>
      </c>
      <c r="AI73" t="s">
        <v>1508</v>
      </c>
      <c r="AJ73" t="s">
        <v>1508</v>
      </c>
      <c r="AK73" t="s">
        <v>1508</v>
      </c>
      <c r="AL73" t="s">
        <v>1512</v>
      </c>
      <c r="AM73" t="s">
        <v>1509</v>
      </c>
      <c r="AN73" t="s">
        <v>1508</v>
      </c>
      <c r="AO73" t="s">
        <v>1508</v>
      </c>
      <c r="AP73" t="s">
        <v>1513</v>
      </c>
    </row>
    <row r="74" spans="1:42" x14ac:dyDescent="0.25">
      <c r="A74" t="s">
        <v>1514</v>
      </c>
      <c r="B74" t="s">
        <v>1514</v>
      </c>
      <c r="C74" t="s">
        <v>1514</v>
      </c>
      <c r="D74" t="s">
        <v>1514</v>
      </c>
      <c r="E74" t="s">
        <v>1514</v>
      </c>
      <c r="F74" t="s">
        <v>1514</v>
      </c>
      <c r="G74" t="s">
        <v>1514</v>
      </c>
      <c r="H74" t="s">
        <v>1514</v>
      </c>
      <c r="I74" t="s">
        <v>1514</v>
      </c>
      <c r="J74" t="s">
        <v>1514</v>
      </c>
      <c r="K74" t="s">
        <v>1514</v>
      </c>
      <c r="L74" t="s">
        <v>1514</v>
      </c>
      <c r="M74" t="s">
        <v>1515</v>
      </c>
      <c r="N74" t="s">
        <v>1514</v>
      </c>
      <c r="O74" t="s">
        <v>1514</v>
      </c>
      <c r="P74" t="s">
        <v>1514</v>
      </c>
      <c r="Q74" t="s">
        <v>1514</v>
      </c>
      <c r="R74" t="s">
        <v>1516</v>
      </c>
      <c r="S74" t="s">
        <v>1514</v>
      </c>
      <c r="T74" t="s">
        <v>1514</v>
      </c>
      <c r="U74" t="s">
        <v>1514</v>
      </c>
      <c r="V74" t="s">
        <v>1514</v>
      </c>
      <c r="W74" t="s">
        <v>1514</v>
      </c>
      <c r="X74" t="s">
        <v>1517</v>
      </c>
      <c r="Y74" t="s">
        <v>1514</v>
      </c>
      <c r="Z74" t="s">
        <v>1514</v>
      </c>
      <c r="AA74" t="s">
        <v>1518</v>
      </c>
      <c r="AB74" t="s">
        <v>1514</v>
      </c>
      <c r="AC74" t="s">
        <v>1519</v>
      </c>
      <c r="AD74" t="s">
        <v>1514</v>
      </c>
      <c r="AE74" t="s">
        <v>1514</v>
      </c>
      <c r="AF74" t="s">
        <v>1514</v>
      </c>
      <c r="AG74" t="s">
        <v>1514</v>
      </c>
      <c r="AH74" t="s">
        <v>1514</v>
      </c>
      <c r="AI74" t="s">
        <v>1514</v>
      </c>
      <c r="AJ74" t="s">
        <v>1514</v>
      </c>
      <c r="AK74" t="s">
        <v>1514</v>
      </c>
      <c r="AL74" t="s">
        <v>1520</v>
      </c>
      <c r="AM74" t="s">
        <v>1515</v>
      </c>
      <c r="AN74" t="s">
        <v>1514</v>
      </c>
      <c r="AO74" t="s">
        <v>1514</v>
      </c>
      <c r="AP74" t="s">
        <v>1521</v>
      </c>
    </row>
    <row r="75" spans="1:42" x14ac:dyDescent="0.25">
      <c r="A75" t="s">
        <v>1522</v>
      </c>
      <c r="B75" t="s">
        <v>1522</v>
      </c>
      <c r="C75" t="s">
        <v>1522</v>
      </c>
      <c r="D75" t="s">
        <v>1522</v>
      </c>
      <c r="E75" t="s">
        <v>1522</v>
      </c>
      <c r="F75" t="s">
        <v>1522</v>
      </c>
      <c r="G75" t="s">
        <v>1522</v>
      </c>
      <c r="H75" t="s">
        <v>1522</v>
      </c>
      <c r="I75" t="s">
        <v>1522</v>
      </c>
      <c r="J75" t="s">
        <v>1522</v>
      </c>
      <c r="K75" t="s">
        <v>1522</v>
      </c>
      <c r="L75" t="s">
        <v>1522</v>
      </c>
      <c r="M75" t="s">
        <v>1523</v>
      </c>
      <c r="N75" t="s">
        <v>1522</v>
      </c>
      <c r="O75" t="s">
        <v>1522</v>
      </c>
      <c r="P75" t="s">
        <v>1522</v>
      </c>
      <c r="Q75" t="s">
        <v>1522</v>
      </c>
      <c r="R75" t="s">
        <v>1524</v>
      </c>
      <c r="S75" t="s">
        <v>1522</v>
      </c>
      <c r="T75" t="s">
        <v>1522</v>
      </c>
      <c r="U75" t="s">
        <v>1522</v>
      </c>
      <c r="V75" t="s">
        <v>1522</v>
      </c>
      <c r="W75" t="s">
        <v>1522</v>
      </c>
      <c r="X75" t="s">
        <v>1525</v>
      </c>
      <c r="Y75" t="s">
        <v>1522</v>
      </c>
      <c r="Z75" t="s">
        <v>1522</v>
      </c>
      <c r="AA75" t="s">
        <v>1526</v>
      </c>
      <c r="AB75" t="s">
        <v>1522</v>
      </c>
      <c r="AC75" t="s">
        <v>1527</v>
      </c>
      <c r="AD75" t="s">
        <v>1522</v>
      </c>
      <c r="AE75" t="s">
        <v>1522</v>
      </c>
      <c r="AF75" t="s">
        <v>1522</v>
      </c>
      <c r="AG75" t="s">
        <v>1522</v>
      </c>
      <c r="AH75" t="s">
        <v>1522</v>
      </c>
      <c r="AI75" t="s">
        <v>1522</v>
      </c>
      <c r="AJ75" t="s">
        <v>1522</v>
      </c>
      <c r="AK75" t="s">
        <v>1522</v>
      </c>
      <c r="AL75" t="s">
        <v>1528</v>
      </c>
      <c r="AM75" t="s">
        <v>1523</v>
      </c>
      <c r="AN75" t="s">
        <v>1522</v>
      </c>
      <c r="AO75" t="s">
        <v>1522</v>
      </c>
      <c r="AP75" t="s">
        <v>1529</v>
      </c>
    </row>
    <row r="76" spans="1:42" x14ac:dyDescent="0.25">
      <c r="A76" t="s">
        <v>1530</v>
      </c>
      <c r="B76" t="s">
        <v>1530</v>
      </c>
      <c r="C76" t="s">
        <v>1530</v>
      </c>
      <c r="D76" t="s">
        <v>1530</v>
      </c>
      <c r="E76" t="s">
        <v>1530</v>
      </c>
      <c r="F76" t="s">
        <v>1530</v>
      </c>
      <c r="G76" t="s">
        <v>1530</v>
      </c>
      <c r="H76" t="s">
        <v>1530</v>
      </c>
      <c r="I76" t="s">
        <v>1530</v>
      </c>
      <c r="J76" t="s">
        <v>1530</v>
      </c>
      <c r="K76" t="s">
        <v>1530</v>
      </c>
      <c r="L76" t="s">
        <v>1530</v>
      </c>
      <c r="M76" t="s">
        <v>1531</v>
      </c>
      <c r="N76" t="s">
        <v>1530</v>
      </c>
      <c r="O76" t="s">
        <v>1530</v>
      </c>
      <c r="P76" t="s">
        <v>1530</v>
      </c>
      <c r="Q76" t="s">
        <v>1530</v>
      </c>
      <c r="R76" t="s">
        <v>1532</v>
      </c>
      <c r="S76" t="s">
        <v>1530</v>
      </c>
      <c r="T76" t="s">
        <v>1530</v>
      </c>
      <c r="U76" t="s">
        <v>1530</v>
      </c>
      <c r="V76" t="s">
        <v>1530</v>
      </c>
      <c r="W76" t="s">
        <v>1530</v>
      </c>
      <c r="X76" t="s">
        <v>1533</v>
      </c>
      <c r="Y76" t="s">
        <v>1530</v>
      </c>
      <c r="Z76" t="s">
        <v>1530</v>
      </c>
      <c r="AA76" t="s">
        <v>1530</v>
      </c>
      <c r="AB76" t="s">
        <v>1530</v>
      </c>
      <c r="AC76" t="s">
        <v>1534</v>
      </c>
      <c r="AD76" t="s">
        <v>1530</v>
      </c>
      <c r="AE76" t="s">
        <v>1530</v>
      </c>
      <c r="AF76" t="s">
        <v>1530</v>
      </c>
      <c r="AG76" t="s">
        <v>1530</v>
      </c>
      <c r="AH76" t="s">
        <v>1530</v>
      </c>
      <c r="AI76" t="s">
        <v>1530</v>
      </c>
      <c r="AJ76" t="s">
        <v>1530</v>
      </c>
      <c r="AK76" t="s">
        <v>1530</v>
      </c>
      <c r="AL76" t="s">
        <v>1535</v>
      </c>
      <c r="AM76" t="s">
        <v>1531</v>
      </c>
      <c r="AN76" t="s">
        <v>1530</v>
      </c>
      <c r="AO76" t="s">
        <v>1530</v>
      </c>
      <c r="AP76" t="s">
        <v>1536</v>
      </c>
    </row>
    <row r="77" spans="1:42" x14ac:dyDescent="0.25">
      <c r="A77" t="s">
        <v>1537</v>
      </c>
      <c r="B77" t="s">
        <v>1537</v>
      </c>
      <c r="C77" t="s">
        <v>1537</v>
      </c>
      <c r="D77" t="s">
        <v>1537</v>
      </c>
      <c r="E77" t="s">
        <v>1537</v>
      </c>
      <c r="F77" t="s">
        <v>1537</v>
      </c>
      <c r="G77" t="s">
        <v>1537</v>
      </c>
      <c r="H77" t="s">
        <v>1537</v>
      </c>
      <c r="I77" t="s">
        <v>1537</v>
      </c>
      <c r="J77" t="s">
        <v>1537</v>
      </c>
      <c r="K77" t="s">
        <v>1537</v>
      </c>
      <c r="L77" t="s">
        <v>1537</v>
      </c>
      <c r="M77" t="s">
        <v>1538</v>
      </c>
      <c r="N77" t="s">
        <v>1537</v>
      </c>
      <c r="O77" t="s">
        <v>1537</v>
      </c>
      <c r="P77" t="s">
        <v>1537</v>
      </c>
      <c r="Q77" t="s">
        <v>1537</v>
      </c>
      <c r="R77" t="s">
        <v>1539</v>
      </c>
      <c r="S77" t="s">
        <v>1537</v>
      </c>
      <c r="T77" t="s">
        <v>1537</v>
      </c>
      <c r="U77" t="s">
        <v>1537</v>
      </c>
      <c r="V77" t="s">
        <v>1537</v>
      </c>
      <c r="W77" t="s">
        <v>1537</v>
      </c>
      <c r="X77" t="s">
        <v>1540</v>
      </c>
      <c r="Y77" t="s">
        <v>1537</v>
      </c>
      <c r="Z77" t="s">
        <v>1537</v>
      </c>
      <c r="AA77" t="s">
        <v>1537</v>
      </c>
      <c r="AB77" t="s">
        <v>1537</v>
      </c>
      <c r="AC77" t="s">
        <v>1541</v>
      </c>
      <c r="AD77" t="s">
        <v>1537</v>
      </c>
      <c r="AE77" t="s">
        <v>1537</v>
      </c>
      <c r="AF77" t="s">
        <v>1537</v>
      </c>
      <c r="AG77" t="s">
        <v>1537</v>
      </c>
      <c r="AH77" t="s">
        <v>1537</v>
      </c>
      <c r="AI77" t="s">
        <v>1537</v>
      </c>
      <c r="AJ77" t="s">
        <v>1537</v>
      </c>
      <c r="AK77" t="s">
        <v>1537</v>
      </c>
      <c r="AL77" t="s">
        <v>1542</v>
      </c>
      <c r="AM77" t="s">
        <v>1538</v>
      </c>
      <c r="AN77" t="s">
        <v>1537</v>
      </c>
      <c r="AO77" t="s">
        <v>1537</v>
      </c>
      <c r="AP77" t="s">
        <v>1543</v>
      </c>
    </row>
    <row r="78" spans="1:42" x14ac:dyDescent="0.25">
      <c r="A78" t="s">
        <v>1544</v>
      </c>
      <c r="B78" t="s">
        <v>1544</v>
      </c>
      <c r="C78" t="s">
        <v>1544</v>
      </c>
      <c r="D78" t="s">
        <v>1544</v>
      </c>
      <c r="E78" t="s">
        <v>1544</v>
      </c>
      <c r="F78" t="s">
        <v>1544</v>
      </c>
      <c r="G78" t="s">
        <v>1544</v>
      </c>
      <c r="H78" t="s">
        <v>1544</v>
      </c>
      <c r="I78" t="s">
        <v>1544</v>
      </c>
      <c r="J78" t="s">
        <v>1544</v>
      </c>
      <c r="K78" t="s">
        <v>1544</v>
      </c>
      <c r="L78" t="s">
        <v>1544</v>
      </c>
      <c r="M78" t="s">
        <v>1545</v>
      </c>
      <c r="N78" t="s">
        <v>1544</v>
      </c>
      <c r="O78" t="s">
        <v>1544</v>
      </c>
      <c r="P78" t="s">
        <v>1544</v>
      </c>
      <c r="Q78" t="s">
        <v>1544</v>
      </c>
      <c r="R78" t="s">
        <v>1546</v>
      </c>
      <c r="S78" t="s">
        <v>1544</v>
      </c>
      <c r="T78" t="s">
        <v>1544</v>
      </c>
      <c r="U78" t="s">
        <v>1544</v>
      </c>
      <c r="V78" t="s">
        <v>1544</v>
      </c>
      <c r="W78" t="s">
        <v>1544</v>
      </c>
      <c r="X78" t="s">
        <v>1547</v>
      </c>
      <c r="Y78" t="s">
        <v>1544</v>
      </c>
      <c r="Z78" t="s">
        <v>1544</v>
      </c>
      <c r="AA78" t="s">
        <v>1544</v>
      </c>
      <c r="AB78" t="s">
        <v>1544</v>
      </c>
      <c r="AC78" t="s">
        <v>1548</v>
      </c>
      <c r="AD78" t="s">
        <v>1544</v>
      </c>
      <c r="AE78" t="s">
        <v>1544</v>
      </c>
      <c r="AF78" t="s">
        <v>1544</v>
      </c>
      <c r="AG78" t="s">
        <v>1544</v>
      </c>
      <c r="AH78" t="s">
        <v>1544</v>
      </c>
      <c r="AI78" t="s">
        <v>1544</v>
      </c>
      <c r="AJ78" t="s">
        <v>1544</v>
      </c>
      <c r="AK78" t="s">
        <v>1544</v>
      </c>
      <c r="AL78" t="s">
        <v>1549</v>
      </c>
      <c r="AM78" t="s">
        <v>1545</v>
      </c>
      <c r="AN78" t="s">
        <v>1544</v>
      </c>
      <c r="AO78" t="s">
        <v>1544</v>
      </c>
      <c r="AP78" t="s">
        <v>1550</v>
      </c>
    </row>
    <row r="79" spans="1:42" x14ac:dyDescent="0.25">
      <c r="A79" t="s">
        <v>1551</v>
      </c>
      <c r="B79" t="s">
        <v>1551</v>
      </c>
      <c r="C79" t="s">
        <v>1551</v>
      </c>
      <c r="D79" t="s">
        <v>1551</v>
      </c>
      <c r="E79" t="s">
        <v>1551</v>
      </c>
      <c r="F79" t="s">
        <v>1551</v>
      </c>
      <c r="G79" t="s">
        <v>1551</v>
      </c>
      <c r="H79" t="s">
        <v>1551</v>
      </c>
      <c r="I79" t="s">
        <v>1551</v>
      </c>
      <c r="J79" t="s">
        <v>1551</v>
      </c>
      <c r="K79" t="s">
        <v>1551</v>
      </c>
      <c r="L79" t="s">
        <v>1551</v>
      </c>
      <c r="M79" t="s">
        <v>1552</v>
      </c>
      <c r="N79" t="s">
        <v>1551</v>
      </c>
      <c r="O79" t="s">
        <v>1551</v>
      </c>
      <c r="P79" t="s">
        <v>1551</v>
      </c>
      <c r="Q79" t="s">
        <v>1551</v>
      </c>
      <c r="R79" t="s">
        <v>1553</v>
      </c>
      <c r="S79" t="s">
        <v>1551</v>
      </c>
      <c r="T79" t="s">
        <v>1551</v>
      </c>
      <c r="U79" t="s">
        <v>1551</v>
      </c>
      <c r="V79" t="s">
        <v>1551</v>
      </c>
      <c r="W79" t="s">
        <v>1551</v>
      </c>
      <c r="X79" t="s">
        <v>1554</v>
      </c>
      <c r="Y79" t="s">
        <v>1551</v>
      </c>
      <c r="Z79" t="s">
        <v>1551</v>
      </c>
      <c r="AA79" t="s">
        <v>1551</v>
      </c>
      <c r="AB79" t="s">
        <v>1551</v>
      </c>
      <c r="AC79" t="s">
        <v>1555</v>
      </c>
      <c r="AD79" t="s">
        <v>1551</v>
      </c>
      <c r="AE79" t="s">
        <v>1551</v>
      </c>
      <c r="AF79" t="s">
        <v>1551</v>
      </c>
      <c r="AG79" t="s">
        <v>1551</v>
      </c>
      <c r="AH79" t="s">
        <v>1551</v>
      </c>
      <c r="AI79" t="s">
        <v>1551</v>
      </c>
      <c r="AJ79" t="s">
        <v>1551</v>
      </c>
      <c r="AK79" t="s">
        <v>1551</v>
      </c>
      <c r="AL79" t="s">
        <v>1556</v>
      </c>
      <c r="AM79" t="s">
        <v>1552</v>
      </c>
      <c r="AN79" t="s">
        <v>1551</v>
      </c>
      <c r="AO79" t="s">
        <v>1551</v>
      </c>
      <c r="AP79" t="s">
        <v>1557</v>
      </c>
    </row>
    <row r="80" spans="1:42" x14ac:dyDescent="0.25">
      <c r="A80" t="s">
        <v>1558</v>
      </c>
      <c r="B80" t="s">
        <v>1558</v>
      </c>
      <c r="C80" t="s">
        <v>1558</v>
      </c>
      <c r="D80" t="s">
        <v>1558</v>
      </c>
      <c r="E80" t="s">
        <v>1558</v>
      </c>
      <c r="F80" t="s">
        <v>1558</v>
      </c>
      <c r="G80" t="s">
        <v>1558</v>
      </c>
      <c r="H80" t="s">
        <v>1558</v>
      </c>
      <c r="I80" t="s">
        <v>1558</v>
      </c>
      <c r="J80" t="s">
        <v>1558</v>
      </c>
      <c r="K80" t="s">
        <v>1558</v>
      </c>
      <c r="L80" t="s">
        <v>1558</v>
      </c>
      <c r="M80" t="s">
        <v>1559</v>
      </c>
      <c r="N80" t="s">
        <v>1558</v>
      </c>
      <c r="O80" t="s">
        <v>1558</v>
      </c>
      <c r="P80" t="s">
        <v>1558</v>
      </c>
      <c r="Q80" t="s">
        <v>1558</v>
      </c>
      <c r="R80" t="s">
        <v>1560</v>
      </c>
      <c r="S80" t="s">
        <v>1558</v>
      </c>
      <c r="T80" t="s">
        <v>1558</v>
      </c>
      <c r="U80" t="s">
        <v>1558</v>
      </c>
      <c r="V80" t="s">
        <v>1558</v>
      </c>
      <c r="W80" t="s">
        <v>1558</v>
      </c>
      <c r="X80" t="s">
        <v>1561</v>
      </c>
      <c r="Y80" t="s">
        <v>1558</v>
      </c>
      <c r="Z80" t="s">
        <v>1558</v>
      </c>
      <c r="AA80" t="s">
        <v>1558</v>
      </c>
      <c r="AB80" t="s">
        <v>1558</v>
      </c>
      <c r="AC80" t="s">
        <v>1562</v>
      </c>
      <c r="AD80" t="s">
        <v>1558</v>
      </c>
      <c r="AE80" t="s">
        <v>1558</v>
      </c>
      <c r="AF80" t="s">
        <v>1558</v>
      </c>
      <c r="AG80" t="s">
        <v>1558</v>
      </c>
      <c r="AH80" t="s">
        <v>1558</v>
      </c>
      <c r="AI80" t="s">
        <v>1558</v>
      </c>
      <c r="AJ80" t="s">
        <v>1558</v>
      </c>
      <c r="AK80" t="s">
        <v>1558</v>
      </c>
      <c r="AL80" t="s">
        <v>1563</v>
      </c>
      <c r="AM80" t="s">
        <v>1559</v>
      </c>
      <c r="AN80" t="s">
        <v>1558</v>
      </c>
      <c r="AO80" t="s">
        <v>1558</v>
      </c>
      <c r="AP80" t="s">
        <v>1564</v>
      </c>
    </row>
    <row r="81" spans="1:42" x14ac:dyDescent="0.25">
      <c r="A81" t="s">
        <v>1565</v>
      </c>
      <c r="B81" t="s">
        <v>1565</v>
      </c>
      <c r="C81" t="s">
        <v>1565</v>
      </c>
      <c r="D81" t="s">
        <v>1565</v>
      </c>
      <c r="E81" t="s">
        <v>1565</v>
      </c>
      <c r="F81" t="s">
        <v>1565</v>
      </c>
      <c r="G81" t="s">
        <v>1565</v>
      </c>
      <c r="H81" t="s">
        <v>1565</v>
      </c>
      <c r="I81" t="s">
        <v>1565</v>
      </c>
      <c r="J81" t="s">
        <v>1565</v>
      </c>
      <c r="K81" t="s">
        <v>1565</v>
      </c>
      <c r="L81" t="s">
        <v>1565</v>
      </c>
      <c r="M81" t="s">
        <v>1566</v>
      </c>
      <c r="N81" t="s">
        <v>1565</v>
      </c>
      <c r="O81" t="s">
        <v>1565</v>
      </c>
      <c r="P81" t="s">
        <v>1565</v>
      </c>
      <c r="Q81" t="s">
        <v>1565</v>
      </c>
      <c r="R81" t="s">
        <v>1567</v>
      </c>
      <c r="S81" t="s">
        <v>1565</v>
      </c>
      <c r="T81" t="s">
        <v>1565</v>
      </c>
      <c r="U81" t="s">
        <v>1565</v>
      </c>
      <c r="V81" t="s">
        <v>1565</v>
      </c>
      <c r="W81" t="s">
        <v>1565</v>
      </c>
      <c r="X81" t="s">
        <v>1568</v>
      </c>
      <c r="Y81" t="s">
        <v>1565</v>
      </c>
      <c r="Z81" t="s">
        <v>1565</v>
      </c>
      <c r="AA81" t="s">
        <v>1565</v>
      </c>
      <c r="AB81" t="s">
        <v>1565</v>
      </c>
      <c r="AC81" t="s">
        <v>1569</v>
      </c>
      <c r="AD81" t="s">
        <v>1565</v>
      </c>
      <c r="AE81" t="s">
        <v>1565</v>
      </c>
      <c r="AF81" t="s">
        <v>1565</v>
      </c>
      <c r="AG81" t="s">
        <v>1565</v>
      </c>
      <c r="AH81" t="s">
        <v>1565</v>
      </c>
      <c r="AI81" t="s">
        <v>1565</v>
      </c>
      <c r="AJ81" t="s">
        <v>1565</v>
      </c>
      <c r="AK81" t="s">
        <v>1565</v>
      </c>
      <c r="AL81" t="s">
        <v>1570</v>
      </c>
      <c r="AM81" t="s">
        <v>1566</v>
      </c>
      <c r="AN81" t="s">
        <v>1565</v>
      </c>
      <c r="AO81" t="s">
        <v>1565</v>
      </c>
      <c r="AP81" t="s">
        <v>1571</v>
      </c>
    </row>
    <row r="82" spans="1:42" x14ac:dyDescent="0.25">
      <c r="A82" t="s">
        <v>1572</v>
      </c>
      <c r="B82" t="s">
        <v>1572</v>
      </c>
      <c r="C82" t="s">
        <v>1572</v>
      </c>
      <c r="D82" t="s">
        <v>1572</v>
      </c>
      <c r="E82" t="s">
        <v>1572</v>
      </c>
      <c r="F82" t="s">
        <v>1572</v>
      </c>
      <c r="G82" t="s">
        <v>1572</v>
      </c>
      <c r="H82" t="s">
        <v>1572</v>
      </c>
      <c r="I82" t="s">
        <v>1572</v>
      </c>
      <c r="J82" t="s">
        <v>1572</v>
      </c>
      <c r="K82" t="s">
        <v>1572</v>
      </c>
      <c r="L82" t="s">
        <v>1572</v>
      </c>
      <c r="M82" t="s">
        <v>1573</v>
      </c>
      <c r="N82" t="s">
        <v>1572</v>
      </c>
      <c r="O82" t="s">
        <v>1572</v>
      </c>
      <c r="P82" t="s">
        <v>1572</v>
      </c>
      <c r="Q82" t="s">
        <v>1572</v>
      </c>
      <c r="R82" t="s">
        <v>1574</v>
      </c>
      <c r="S82" t="s">
        <v>1572</v>
      </c>
      <c r="T82" t="s">
        <v>1572</v>
      </c>
      <c r="U82" t="s">
        <v>1572</v>
      </c>
      <c r="V82" t="s">
        <v>1572</v>
      </c>
      <c r="W82" t="s">
        <v>1572</v>
      </c>
      <c r="X82" t="s">
        <v>1575</v>
      </c>
      <c r="Y82" t="s">
        <v>1572</v>
      </c>
      <c r="Z82" t="s">
        <v>1572</v>
      </c>
      <c r="AA82" t="s">
        <v>1576</v>
      </c>
      <c r="AB82" t="s">
        <v>1572</v>
      </c>
      <c r="AC82" t="s">
        <v>1577</v>
      </c>
      <c r="AD82" t="s">
        <v>1572</v>
      </c>
      <c r="AE82" t="s">
        <v>1572</v>
      </c>
      <c r="AF82" t="s">
        <v>1572</v>
      </c>
      <c r="AG82" t="s">
        <v>1572</v>
      </c>
      <c r="AH82" t="s">
        <v>1572</v>
      </c>
      <c r="AI82" t="s">
        <v>1572</v>
      </c>
      <c r="AJ82" t="s">
        <v>1572</v>
      </c>
      <c r="AK82" t="s">
        <v>1572</v>
      </c>
      <c r="AL82" t="s">
        <v>1578</v>
      </c>
      <c r="AM82" t="s">
        <v>1573</v>
      </c>
      <c r="AN82" t="s">
        <v>1572</v>
      </c>
      <c r="AO82" t="s">
        <v>1572</v>
      </c>
      <c r="AP82" t="s">
        <v>1579</v>
      </c>
    </row>
    <row r="83" spans="1:42" x14ac:dyDescent="0.25">
      <c r="A83" t="s">
        <v>1580</v>
      </c>
      <c r="B83" t="s">
        <v>1580</v>
      </c>
      <c r="C83" t="s">
        <v>1580</v>
      </c>
      <c r="D83" t="s">
        <v>1580</v>
      </c>
      <c r="E83" t="s">
        <v>1580</v>
      </c>
      <c r="F83" t="s">
        <v>1580</v>
      </c>
      <c r="G83" t="s">
        <v>1580</v>
      </c>
      <c r="H83" t="s">
        <v>1580</v>
      </c>
      <c r="I83" t="s">
        <v>1580</v>
      </c>
      <c r="J83" t="s">
        <v>1580</v>
      </c>
      <c r="K83" t="s">
        <v>1580</v>
      </c>
      <c r="L83" t="s">
        <v>1580</v>
      </c>
      <c r="M83" t="s">
        <v>1581</v>
      </c>
      <c r="N83" t="s">
        <v>1580</v>
      </c>
      <c r="O83" t="s">
        <v>1580</v>
      </c>
      <c r="P83" t="s">
        <v>1580</v>
      </c>
      <c r="Q83" t="s">
        <v>1580</v>
      </c>
      <c r="R83" t="s">
        <v>1582</v>
      </c>
      <c r="S83" t="s">
        <v>1580</v>
      </c>
      <c r="T83" t="s">
        <v>1580</v>
      </c>
      <c r="U83" t="s">
        <v>1580</v>
      </c>
      <c r="V83" t="s">
        <v>1580</v>
      </c>
      <c r="W83" t="s">
        <v>1580</v>
      </c>
      <c r="X83" t="s">
        <v>1583</v>
      </c>
      <c r="Y83" t="s">
        <v>1580</v>
      </c>
      <c r="Z83" t="s">
        <v>1580</v>
      </c>
      <c r="AA83" t="s">
        <v>1584</v>
      </c>
      <c r="AB83" t="s">
        <v>1580</v>
      </c>
      <c r="AC83" t="s">
        <v>1585</v>
      </c>
      <c r="AD83" t="s">
        <v>1580</v>
      </c>
      <c r="AE83" t="s">
        <v>1580</v>
      </c>
      <c r="AF83" t="s">
        <v>1580</v>
      </c>
      <c r="AG83" t="s">
        <v>1580</v>
      </c>
      <c r="AH83" t="s">
        <v>1580</v>
      </c>
      <c r="AI83" t="s">
        <v>1580</v>
      </c>
      <c r="AJ83" t="s">
        <v>1580</v>
      </c>
      <c r="AK83" t="s">
        <v>1580</v>
      </c>
      <c r="AL83" t="s">
        <v>1586</v>
      </c>
      <c r="AM83" t="s">
        <v>1581</v>
      </c>
      <c r="AN83" t="s">
        <v>1580</v>
      </c>
      <c r="AO83" t="s">
        <v>1580</v>
      </c>
      <c r="AP83" t="s">
        <v>1587</v>
      </c>
    </row>
    <row r="84" spans="1:42" x14ac:dyDescent="0.25">
      <c r="A84" t="s">
        <v>1588</v>
      </c>
      <c r="B84" t="s">
        <v>1588</v>
      </c>
      <c r="C84" t="s">
        <v>1588</v>
      </c>
      <c r="D84" t="s">
        <v>1588</v>
      </c>
      <c r="E84" t="s">
        <v>1588</v>
      </c>
      <c r="F84" t="s">
        <v>1588</v>
      </c>
      <c r="G84" t="s">
        <v>1588</v>
      </c>
      <c r="H84" t="s">
        <v>1588</v>
      </c>
      <c r="I84" t="s">
        <v>1588</v>
      </c>
      <c r="J84" t="s">
        <v>1588</v>
      </c>
      <c r="K84" t="s">
        <v>1588</v>
      </c>
      <c r="L84" t="s">
        <v>1588</v>
      </c>
      <c r="M84" t="s">
        <v>1589</v>
      </c>
      <c r="N84" t="s">
        <v>1588</v>
      </c>
      <c r="O84" t="s">
        <v>1588</v>
      </c>
      <c r="P84" t="s">
        <v>1588</v>
      </c>
      <c r="Q84" t="s">
        <v>1588</v>
      </c>
      <c r="R84" t="s">
        <v>1588</v>
      </c>
      <c r="S84" t="s">
        <v>1588</v>
      </c>
      <c r="T84" t="s">
        <v>1588</v>
      </c>
      <c r="U84" t="s">
        <v>1588</v>
      </c>
      <c r="V84" t="s">
        <v>1588</v>
      </c>
      <c r="W84" t="s">
        <v>1588</v>
      </c>
      <c r="X84" t="s">
        <v>1590</v>
      </c>
      <c r="Y84" t="s">
        <v>1588</v>
      </c>
      <c r="Z84" t="s">
        <v>1588</v>
      </c>
      <c r="AA84" t="s">
        <v>1591</v>
      </c>
      <c r="AB84" t="s">
        <v>1588</v>
      </c>
      <c r="AC84" t="s">
        <v>1592</v>
      </c>
      <c r="AD84" t="s">
        <v>1588</v>
      </c>
      <c r="AE84" t="s">
        <v>1588</v>
      </c>
      <c r="AF84" t="s">
        <v>1588</v>
      </c>
      <c r="AG84" t="s">
        <v>1588</v>
      </c>
      <c r="AH84" t="s">
        <v>1588</v>
      </c>
      <c r="AI84" t="s">
        <v>1588</v>
      </c>
      <c r="AJ84" t="s">
        <v>1588</v>
      </c>
      <c r="AK84" t="s">
        <v>1588</v>
      </c>
      <c r="AL84" t="s">
        <v>1593</v>
      </c>
      <c r="AM84" t="s">
        <v>1589</v>
      </c>
      <c r="AN84" t="s">
        <v>1588</v>
      </c>
      <c r="AO84" t="s">
        <v>1588</v>
      </c>
      <c r="AP84" t="s">
        <v>1594</v>
      </c>
    </row>
    <row r="85" spans="1:42" x14ac:dyDescent="0.25">
      <c r="A85" t="s">
        <v>1595</v>
      </c>
      <c r="B85" t="s">
        <v>1595</v>
      </c>
      <c r="C85" t="s">
        <v>1595</v>
      </c>
      <c r="D85" t="s">
        <v>1595</v>
      </c>
      <c r="E85" t="s">
        <v>1595</v>
      </c>
      <c r="F85" t="s">
        <v>1595</v>
      </c>
      <c r="G85" t="s">
        <v>1595</v>
      </c>
      <c r="H85" t="s">
        <v>1595</v>
      </c>
      <c r="I85" t="s">
        <v>1595</v>
      </c>
      <c r="J85" t="s">
        <v>1595</v>
      </c>
      <c r="K85" t="s">
        <v>1595</v>
      </c>
      <c r="L85" t="s">
        <v>1595</v>
      </c>
      <c r="M85" t="s">
        <v>1596</v>
      </c>
      <c r="N85" t="s">
        <v>1595</v>
      </c>
      <c r="O85" t="s">
        <v>1595</v>
      </c>
      <c r="P85" t="s">
        <v>1595</v>
      </c>
      <c r="Q85" t="s">
        <v>1595</v>
      </c>
      <c r="R85" t="s">
        <v>1595</v>
      </c>
      <c r="S85" t="s">
        <v>1595</v>
      </c>
      <c r="T85" t="s">
        <v>1595</v>
      </c>
      <c r="U85" t="s">
        <v>1595</v>
      </c>
      <c r="V85" t="s">
        <v>1595</v>
      </c>
      <c r="W85" t="s">
        <v>1595</v>
      </c>
      <c r="X85" t="s">
        <v>1597</v>
      </c>
      <c r="Y85" t="s">
        <v>1595</v>
      </c>
      <c r="Z85" t="s">
        <v>1595</v>
      </c>
      <c r="AA85" t="s">
        <v>1591</v>
      </c>
      <c r="AB85" t="s">
        <v>1595</v>
      </c>
      <c r="AC85" t="s">
        <v>1598</v>
      </c>
      <c r="AD85" t="s">
        <v>1595</v>
      </c>
      <c r="AE85" t="s">
        <v>1595</v>
      </c>
      <c r="AF85" t="s">
        <v>1595</v>
      </c>
      <c r="AG85" t="s">
        <v>1595</v>
      </c>
      <c r="AH85" t="s">
        <v>1595</v>
      </c>
      <c r="AI85" t="s">
        <v>1595</v>
      </c>
      <c r="AJ85" t="s">
        <v>1595</v>
      </c>
      <c r="AK85" t="s">
        <v>1595</v>
      </c>
      <c r="AL85" t="s">
        <v>1599</v>
      </c>
      <c r="AM85" t="s">
        <v>1596</v>
      </c>
      <c r="AN85" t="s">
        <v>1595</v>
      </c>
      <c r="AO85" t="s">
        <v>1595</v>
      </c>
      <c r="AP85" t="s">
        <v>1600</v>
      </c>
    </row>
    <row r="86" spans="1:42" x14ac:dyDescent="0.25">
      <c r="A86" t="s">
        <v>1601</v>
      </c>
      <c r="B86" t="s">
        <v>1602</v>
      </c>
      <c r="C86" t="s">
        <v>1601</v>
      </c>
      <c r="D86" t="s">
        <v>1601</v>
      </c>
      <c r="E86" t="s">
        <v>1603</v>
      </c>
      <c r="F86" t="s">
        <v>1601</v>
      </c>
      <c r="G86" t="s">
        <v>1604</v>
      </c>
      <c r="H86" t="s">
        <v>1605</v>
      </c>
      <c r="I86" t="s">
        <v>1601</v>
      </c>
      <c r="J86" t="s">
        <v>1601</v>
      </c>
      <c r="K86" t="s">
        <v>1606</v>
      </c>
      <c r="L86" t="s">
        <v>1606</v>
      </c>
      <c r="M86" t="s">
        <v>1601</v>
      </c>
      <c r="N86" t="s">
        <v>1606</v>
      </c>
      <c r="O86" t="s">
        <v>1601</v>
      </c>
      <c r="P86" t="s">
        <v>1607</v>
      </c>
      <c r="Q86" t="s">
        <v>1601</v>
      </c>
      <c r="R86" t="s">
        <v>1608</v>
      </c>
      <c r="S86" t="s">
        <v>1601</v>
      </c>
      <c r="T86" t="s">
        <v>1609</v>
      </c>
      <c r="U86" t="s">
        <v>1601</v>
      </c>
      <c r="V86" t="s">
        <v>1601</v>
      </c>
      <c r="W86" t="s">
        <v>1601</v>
      </c>
      <c r="X86" t="s">
        <v>1610</v>
      </c>
      <c r="Y86" t="s">
        <v>1611</v>
      </c>
      <c r="Z86" t="s">
        <v>1612</v>
      </c>
      <c r="AA86" t="s">
        <v>1613</v>
      </c>
      <c r="AB86" t="s">
        <v>1606</v>
      </c>
      <c r="AC86" t="s">
        <v>1614</v>
      </c>
      <c r="AD86" t="s">
        <v>1601</v>
      </c>
      <c r="AE86" t="s">
        <v>1601</v>
      </c>
      <c r="AF86" t="s">
        <v>1615</v>
      </c>
      <c r="AG86" t="s">
        <v>1616</v>
      </c>
      <c r="AH86" t="s">
        <v>1606</v>
      </c>
      <c r="AI86" t="s">
        <v>1601</v>
      </c>
      <c r="AJ86" t="s">
        <v>1601</v>
      </c>
      <c r="AK86" t="s">
        <v>1601</v>
      </c>
      <c r="AL86" t="s">
        <v>1617</v>
      </c>
      <c r="AM86" t="s">
        <v>1604</v>
      </c>
      <c r="AN86" t="s">
        <v>1618</v>
      </c>
      <c r="AO86" t="s">
        <v>1619</v>
      </c>
      <c r="AP86" t="s">
        <v>1620</v>
      </c>
    </row>
    <row r="87" spans="1:42" x14ac:dyDescent="0.25">
      <c r="A87" t="s">
        <v>1621</v>
      </c>
      <c r="B87" t="s">
        <v>1622</v>
      </c>
      <c r="C87" t="s">
        <v>1621</v>
      </c>
      <c r="D87" t="s">
        <v>1621</v>
      </c>
      <c r="E87" t="s">
        <v>1623</v>
      </c>
      <c r="F87" t="s">
        <v>1621</v>
      </c>
      <c r="G87" t="s">
        <v>1624</v>
      </c>
      <c r="H87" t="s">
        <v>1625</v>
      </c>
      <c r="I87" t="s">
        <v>1621</v>
      </c>
      <c r="J87" t="s">
        <v>1621</v>
      </c>
      <c r="K87" t="s">
        <v>1626</v>
      </c>
      <c r="L87" t="s">
        <v>1626</v>
      </c>
      <c r="M87" t="s">
        <v>1621</v>
      </c>
      <c r="N87" t="s">
        <v>1626</v>
      </c>
      <c r="O87" t="s">
        <v>1621</v>
      </c>
      <c r="P87" t="s">
        <v>1627</v>
      </c>
      <c r="Q87" t="s">
        <v>1621</v>
      </c>
      <c r="R87" t="s">
        <v>1628</v>
      </c>
      <c r="S87" t="s">
        <v>1621</v>
      </c>
      <c r="T87" t="s">
        <v>1629</v>
      </c>
      <c r="U87" t="s">
        <v>1621</v>
      </c>
      <c r="V87" t="s">
        <v>1621</v>
      </c>
      <c r="W87" t="s">
        <v>1621</v>
      </c>
      <c r="X87" t="s">
        <v>1630</v>
      </c>
      <c r="Y87" t="s">
        <v>1631</v>
      </c>
      <c r="Z87" t="s">
        <v>1632</v>
      </c>
      <c r="AA87" t="s">
        <v>1633</v>
      </c>
      <c r="AB87" t="s">
        <v>1626</v>
      </c>
      <c r="AC87" t="s">
        <v>1634</v>
      </c>
      <c r="AD87" t="s">
        <v>1621</v>
      </c>
      <c r="AE87" t="s">
        <v>1621</v>
      </c>
      <c r="AF87" t="s">
        <v>1635</v>
      </c>
      <c r="AG87" t="s">
        <v>1636</v>
      </c>
      <c r="AH87" t="s">
        <v>1626</v>
      </c>
      <c r="AI87" t="s">
        <v>1621</v>
      </c>
      <c r="AJ87" t="s">
        <v>1621</v>
      </c>
      <c r="AK87" t="s">
        <v>1621</v>
      </c>
      <c r="AL87" t="s">
        <v>1637</v>
      </c>
      <c r="AM87" t="s">
        <v>1624</v>
      </c>
      <c r="AN87" t="s">
        <v>1638</v>
      </c>
      <c r="AO87" t="s">
        <v>1639</v>
      </c>
      <c r="AP87" t="s">
        <v>1640</v>
      </c>
    </row>
    <row r="88" spans="1:42" x14ac:dyDescent="0.25">
      <c r="A88" t="s">
        <v>1641</v>
      </c>
      <c r="B88" t="s">
        <v>1642</v>
      </c>
      <c r="C88" t="s">
        <v>1641</v>
      </c>
      <c r="D88" t="s">
        <v>1641</v>
      </c>
      <c r="E88" t="s">
        <v>1643</v>
      </c>
      <c r="F88" t="s">
        <v>1641</v>
      </c>
      <c r="G88" t="s">
        <v>1644</v>
      </c>
      <c r="H88" t="s">
        <v>1645</v>
      </c>
      <c r="I88" t="s">
        <v>1641</v>
      </c>
      <c r="J88" t="s">
        <v>1641</v>
      </c>
      <c r="K88" t="s">
        <v>1646</v>
      </c>
      <c r="L88" t="s">
        <v>1646</v>
      </c>
      <c r="M88" t="s">
        <v>1641</v>
      </c>
      <c r="N88" t="s">
        <v>1646</v>
      </c>
      <c r="O88" t="s">
        <v>1641</v>
      </c>
      <c r="P88" t="s">
        <v>1647</v>
      </c>
      <c r="Q88" t="s">
        <v>1641</v>
      </c>
      <c r="R88" t="s">
        <v>1648</v>
      </c>
      <c r="S88" t="s">
        <v>1641</v>
      </c>
      <c r="T88" t="s">
        <v>1649</v>
      </c>
      <c r="U88" t="s">
        <v>1641</v>
      </c>
      <c r="V88" t="s">
        <v>1641</v>
      </c>
      <c r="W88" t="s">
        <v>1641</v>
      </c>
      <c r="X88" t="s">
        <v>1650</v>
      </c>
      <c r="Y88" t="s">
        <v>1651</v>
      </c>
      <c r="Z88" t="s">
        <v>1652</v>
      </c>
      <c r="AA88" t="s">
        <v>1653</v>
      </c>
      <c r="AB88" t="s">
        <v>1646</v>
      </c>
      <c r="AC88" t="s">
        <v>1654</v>
      </c>
      <c r="AD88" t="s">
        <v>1641</v>
      </c>
      <c r="AE88" t="s">
        <v>1641</v>
      </c>
      <c r="AF88" t="s">
        <v>1655</v>
      </c>
      <c r="AG88" t="s">
        <v>1656</v>
      </c>
      <c r="AH88" t="s">
        <v>1646</v>
      </c>
      <c r="AI88" t="s">
        <v>1641</v>
      </c>
      <c r="AJ88" t="s">
        <v>1641</v>
      </c>
      <c r="AK88" t="s">
        <v>1641</v>
      </c>
      <c r="AL88" t="s">
        <v>1657</v>
      </c>
      <c r="AM88" t="s">
        <v>1644</v>
      </c>
      <c r="AN88" t="s">
        <v>1658</v>
      </c>
      <c r="AO88" t="s">
        <v>1659</v>
      </c>
      <c r="AP88" t="s">
        <v>1660</v>
      </c>
    </row>
    <row r="89" spans="1:42" x14ac:dyDescent="0.25">
      <c r="A89" t="s">
        <v>1661</v>
      </c>
      <c r="B89" t="s">
        <v>1662</v>
      </c>
      <c r="C89" t="s">
        <v>1661</v>
      </c>
      <c r="D89" t="s">
        <v>1661</v>
      </c>
      <c r="E89" t="s">
        <v>1663</v>
      </c>
      <c r="F89" t="s">
        <v>1661</v>
      </c>
      <c r="G89" t="s">
        <v>1664</v>
      </c>
      <c r="H89" t="s">
        <v>1665</v>
      </c>
      <c r="I89" t="s">
        <v>1661</v>
      </c>
      <c r="J89" t="s">
        <v>1661</v>
      </c>
      <c r="K89" t="s">
        <v>1666</v>
      </c>
      <c r="L89" t="s">
        <v>1666</v>
      </c>
      <c r="M89" t="s">
        <v>1661</v>
      </c>
      <c r="N89" t="s">
        <v>1666</v>
      </c>
      <c r="O89" t="s">
        <v>1661</v>
      </c>
      <c r="P89" t="s">
        <v>1667</v>
      </c>
      <c r="Q89" t="s">
        <v>1661</v>
      </c>
      <c r="R89" t="s">
        <v>1668</v>
      </c>
      <c r="S89" t="s">
        <v>1661</v>
      </c>
      <c r="T89" t="s">
        <v>1669</v>
      </c>
      <c r="U89" t="s">
        <v>1661</v>
      </c>
      <c r="V89" t="s">
        <v>1661</v>
      </c>
      <c r="W89" t="s">
        <v>1661</v>
      </c>
      <c r="X89" t="s">
        <v>1670</v>
      </c>
      <c r="Y89" t="s">
        <v>1671</v>
      </c>
      <c r="Z89" t="s">
        <v>1672</v>
      </c>
      <c r="AA89" t="s">
        <v>1673</v>
      </c>
      <c r="AB89" t="s">
        <v>1666</v>
      </c>
      <c r="AC89" t="s">
        <v>1674</v>
      </c>
      <c r="AD89" t="s">
        <v>1661</v>
      </c>
      <c r="AE89" t="s">
        <v>1661</v>
      </c>
      <c r="AF89" t="s">
        <v>1675</v>
      </c>
      <c r="AG89" t="s">
        <v>1676</v>
      </c>
      <c r="AH89" t="s">
        <v>1666</v>
      </c>
      <c r="AI89" t="s">
        <v>1661</v>
      </c>
      <c r="AJ89" t="s">
        <v>1661</v>
      </c>
      <c r="AK89" t="s">
        <v>1661</v>
      </c>
      <c r="AL89" t="s">
        <v>1677</v>
      </c>
      <c r="AM89" t="s">
        <v>1664</v>
      </c>
      <c r="AN89" t="s">
        <v>1678</v>
      </c>
      <c r="AO89" t="s">
        <v>1679</v>
      </c>
      <c r="AP89" t="s">
        <v>1680</v>
      </c>
    </row>
    <row r="90" spans="1:42" x14ac:dyDescent="0.25">
      <c r="A90" t="s">
        <v>1681</v>
      </c>
      <c r="B90" t="s">
        <v>1682</v>
      </c>
      <c r="C90" t="s">
        <v>1681</v>
      </c>
      <c r="D90" t="s">
        <v>1681</v>
      </c>
      <c r="E90" t="s">
        <v>1683</v>
      </c>
      <c r="F90" t="s">
        <v>1681</v>
      </c>
      <c r="G90" t="s">
        <v>1684</v>
      </c>
      <c r="H90" t="s">
        <v>1685</v>
      </c>
      <c r="I90" t="s">
        <v>1681</v>
      </c>
      <c r="J90" t="s">
        <v>1681</v>
      </c>
      <c r="K90" t="s">
        <v>1686</v>
      </c>
      <c r="L90" t="s">
        <v>1686</v>
      </c>
      <c r="M90" t="s">
        <v>1681</v>
      </c>
      <c r="N90" t="s">
        <v>1686</v>
      </c>
      <c r="O90" t="s">
        <v>1681</v>
      </c>
      <c r="P90" t="s">
        <v>1687</v>
      </c>
      <c r="Q90" t="s">
        <v>1681</v>
      </c>
      <c r="R90" t="s">
        <v>1688</v>
      </c>
      <c r="S90" t="s">
        <v>1681</v>
      </c>
      <c r="T90" t="s">
        <v>1689</v>
      </c>
      <c r="U90" t="s">
        <v>1681</v>
      </c>
      <c r="V90" t="s">
        <v>1681</v>
      </c>
      <c r="W90" t="s">
        <v>1681</v>
      </c>
      <c r="X90" t="s">
        <v>1690</v>
      </c>
      <c r="Y90" t="s">
        <v>1691</v>
      </c>
      <c r="Z90" t="s">
        <v>1692</v>
      </c>
      <c r="AA90" t="s">
        <v>1693</v>
      </c>
      <c r="AB90" t="s">
        <v>1686</v>
      </c>
      <c r="AC90" t="s">
        <v>1694</v>
      </c>
      <c r="AD90" t="s">
        <v>1681</v>
      </c>
      <c r="AE90" t="s">
        <v>1681</v>
      </c>
      <c r="AF90" t="s">
        <v>1695</v>
      </c>
      <c r="AG90" t="s">
        <v>1696</v>
      </c>
      <c r="AH90" t="s">
        <v>1686</v>
      </c>
      <c r="AI90" t="s">
        <v>1681</v>
      </c>
      <c r="AJ90" t="s">
        <v>1681</v>
      </c>
      <c r="AK90" t="s">
        <v>1681</v>
      </c>
      <c r="AL90" t="s">
        <v>1697</v>
      </c>
      <c r="AM90" t="s">
        <v>1684</v>
      </c>
      <c r="AN90" t="s">
        <v>1698</v>
      </c>
      <c r="AO90" t="s">
        <v>1699</v>
      </c>
      <c r="AP90" t="s">
        <v>1700</v>
      </c>
    </row>
    <row r="91" spans="1:42" x14ac:dyDescent="0.25">
      <c r="A91" t="s">
        <v>1701</v>
      </c>
      <c r="B91" t="s">
        <v>1702</v>
      </c>
      <c r="C91" t="s">
        <v>1701</v>
      </c>
      <c r="D91" t="s">
        <v>1701</v>
      </c>
      <c r="E91" t="s">
        <v>1703</v>
      </c>
      <c r="F91" t="s">
        <v>1701</v>
      </c>
      <c r="G91" t="s">
        <v>1704</v>
      </c>
      <c r="H91" t="s">
        <v>1705</v>
      </c>
      <c r="I91" t="s">
        <v>1701</v>
      </c>
      <c r="J91" t="s">
        <v>1701</v>
      </c>
      <c r="K91" t="s">
        <v>1706</v>
      </c>
      <c r="L91" t="s">
        <v>1706</v>
      </c>
      <c r="M91" t="s">
        <v>1701</v>
      </c>
      <c r="N91" t="s">
        <v>1706</v>
      </c>
      <c r="O91" t="s">
        <v>1701</v>
      </c>
      <c r="P91" t="s">
        <v>1707</v>
      </c>
      <c r="Q91" t="s">
        <v>1701</v>
      </c>
      <c r="R91" t="s">
        <v>1708</v>
      </c>
      <c r="S91" t="s">
        <v>1701</v>
      </c>
      <c r="T91" t="s">
        <v>1709</v>
      </c>
      <c r="U91" t="s">
        <v>1701</v>
      </c>
      <c r="V91" t="s">
        <v>1701</v>
      </c>
      <c r="W91" t="s">
        <v>1701</v>
      </c>
      <c r="X91" t="s">
        <v>1710</v>
      </c>
      <c r="Y91" t="s">
        <v>1711</v>
      </c>
      <c r="Z91" t="s">
        <v>1712</v>
      </c>
      <c r="AA91" t="s">
        <v>1713</v>
      </c>
      <c r="AB91" t="s">
        <v>1706</v>
      </c>
      <c r="AC91" t="s">
        <v>1714</v>
      </c>
      <c r="AD91" t="s">
        <v>1701</v>
      </c>
      <c r="AE91" t="s">
        <v>1701</v>
      </c>
      <c r="AF91" t="s">
        <v>1715</v>
      </c>
      <c r="AG91" t="s">
        <v>1716</v>
      </c>
      <c r="AH91" t="s">
        <v>1706</v>
      </c>
      <c r="AI91" t="s">
        <v>1701</v>
      </c>
      <c r="AJ91" t="s">
        <v>1701</v>
      </c>
      <c r="AK91" t="s">
        <v>1701</v>
      </c>
      <c r="AL91" t="s">
        <v>1717</v>
      </c>
      <c r="AM91" t="s">
        <v>1704</v>
      </c>
      <c r="AN91" t="s">
        <v>1718</v>
      </c>
      <c r="AO91" t="s">
        <v>1719</v>
      </c>
      <c r="AP91" t="s">
        <v>1720</v>
      </c>
    </row>
    <row r="92" spans="1:42" x14ac:dyDescent="0.25">
      <c r="A92" t="s">
        <v>1721</v>
      </c>
      <c r="B92" t="s">
        <v>1722</v>
      </c>
      <c r="C92" t="s">
        <v>1721</v>
      </c>
      <c r="D92" t="s">
        <v>1721</v>
      </c>
      <c r="E92" t="s">
        <v>1723</v>
      </c>
      <c r="F92" t="s">
        <v>1721</v>
      </c>
      <c r="G92" t="s">
        <v>1724</v>
      </c>
      <c r="H92" t="s">
        <v>1725</v>
      </c>
      <c r="I92" t="s">
        <v>1721</v>
      </c>
      <c r="J92" t="s">
        <v>1721</v>
      </c>
      <c r="K92" t="s">
        <v>1726</v>
      </c>
      <c r="L92" t="s">
        <v>1726</v>
      </c>
      <c r="M92" t="s">
        <v>1721</v>
      </c>
      <c r="N92" t="s">
        <v>1726</v>
      </c>
      <c r="O92" t="s">
        <v>1721</v>
      </c>
      <c r="P92" t="s">
        <v>1727</v>
      </c>
      <c r="Q92" t="s">
        <v>1721</v>
      </c>
      <c r="R92" t="s">
        <v>1728</v>
      </c>
      <c r="S92" t="s">
        <v>1721</v>
      </c>
      <c r="T92" t="s">
        <v>1729</v>
      </c>
      <c r="U92" t="s">
        <v>1721</v>
      </c>
      <c r="V92" t="s">
        <v>1721</v>
      </c>
      <c r="W92" t="s">
        <v>1721</v>
      </c>
      <c r="X92" t="s">
        <v>1730</v>
      </c>
      <c r="Y92" t="s">
        <v>1731</v>
      </c>
      <c r="Z92" t="s">
        <v>1732</v>
      </c>
      <c r="AA92" t="s">
        <v>1733</v>
      </c>
      <c r="AB92" t="s">
        <v>1726</v>
      </c>
      <c r="AC92" t="s">
        <v>1734</v>
      </c>
      <c r="AD92" t="s">
        <v>1721</v>
      </c>
      <c r="AE92" t="s">
        <v>1721</v>
      </c>
      <c r="AF92" t="s">
        <v>1735</v>
      </c>
      <c r="AG92" t="s">
        <v>1736</v>
      </c>
      <c r="AH92" t="s">
        <v>1726</v>
      </c>
      <c r="AI92" t="s">
        <v>1721</v>
      </c>
      <c r="AJ92" t="s">
        <v>1721</v>
      </c>
      <c r="AK92" t="s">
        <v>1721</v>
      </c>
      <c r="AL92" t="s">
        <v>1737</v>
      </c>
      <c r="AM92" t="s">
        <v>1724</v>
      </c>
      <c r="AN92" t="s">
        <v>1738</v>
      </c>
      <c r="AO92" t="s">
        <v>1739</v>
      </c>
      <c r="AP92" t="s">
        <v>1740</v>
      </c>
    </row>
    <row r="93" spans="1:42" x14ac:dyDescent="0.25">
      <c r="A93" t="s">
        <v>1741</v>
      </c>
      <c r="B93" t="s">
        <v>1742</v>
      </c>
      <c r="C93" t="s">
        <v>1741</v>
      </c>
      <c r="D93" t="s">
        <v>1741</v>
      </c>
      <c r="E93" t="s">
        <v>1743</v>
      </c>
      <c r="F93" t="s">
        <v>1741</v>
      </c>
      <c r="G93" t="s">
        <v>1744</v>
      </c>
      <c r="H93" t="s">
        <v>1745</v>
      </c>
      <c r="I93" t="s">
        <v>1741</v>
      </c>
      <c r="J93" t="s">
        <v>1741</v>
      </c>
      <c r="K93" t="s">
        <v>1746</v>
      </c>
      <c r="L93" t="s">
        <v>1746</v>
      </c>
      <c r="M93" t="s">
        <v>1741</v>
      </c>
      <c r="N93" t="s">
        <v>1746</v>
      </c>
      <c r="O93" t="s">
        <v>1741</v>
      </c>
      <c r="P93" t="s">
        <v>1747</v>
      </c>
      <c r="Q93" t="s">
        <v>1741</v>
      </c>
      <c r="R93" t="s">
        <v>1748</v>
      </c>
      <c r="S93" t="s">
        <v>1741</v>
      </c>
      <c r="T93" t="s">
        <v>1749</v>
      </c>
      <c r="U93" t="s">
        <v>1741</v>
      </c>
      <c r="V93" t="s">
        <v>1741</v>
      </c>
      <c r="W93" t="s">
        <v>1741</v>
      </c>
      <c r="X93" t="s">
        <v>1750</v>
      </c>
      <c r="Y93" t="s">
        <v>1751</v>
      </c>
      <c r="Z93" t="s">
        <v>1752</v>
      </c>
      <c r="AA93" t="s">
        <v>1753</v>
      </c>
      <c r="AB93" t="s">
        <v>1746</v>
      </c>
      <c r="AC93" t="s">
        <v>1754</v>
      </c>
      <c r="AD93" t="s">
        <v>1741</v>
      </c>
      <c r="AE93" t="s">
        <v>1741</v>
      </c>
      <c r="AF93" t="s">
        <v>1755</v>
      </c>
      <c r="AG93" t="s">
        <v>1756</v>
      </c>
      <c r="AH93" t="s">
        <v>1746</v>
      </c>
      <c r="AI93" t="s">
        <v>1741</v>
      </c>
      <c r="AJ93" t="s">
        <v>1741</v>
      </c>
      <c r="AK93" t="s">
        <v>1741</v>
      </c>
      <c r="AL93" t="s">
        <v>1757</v>
      </c>
      <c r="AM93" t="s">
        <v>1744</v>
      </c>
      <c r="AN93" t="s">
        <v>1758</v>
      </c>
      <c r="AO93" t="s">
        <v>1759</v>
      </c>
      <c r="AP93" t="s">
        <v>1760</v>
      </c>
    </row>
    <row r="94" spans="1:42" x14ac:dyDescent="0.25">
      <c r="A94" t="s">
        <v>1761</v>
      </c>
      <c r="B94" t="s">
        <v>1762</v>
      </c>
      <c r="C94" t="s">
        <v>1761</v>
      </c>
      <c r="D94" t="s">
        <v>1761</v>
      </c>
      <c r="E94" t="s">
        <v>1763</v>
      </c>
      <c r="F94" t="s">
        <v>1761</v>
      </c>
      <c r="G94" t="s">
        <v>1764</v>
      </c>
      <c r="H94" t="s">
        <v>1765</v>
      </c>
      <c r="I94" t="s">
        <v>1761</v>
      </c>
      <c r="J94" t="s">
        <v>1761</v>
      </c>
      <c r="K94" t="s">
        <v>1766</v>
      </c>
      <c r="L94" t="s">
        <v>1766</v>
      </c>
      <c r="M94" t="s">
        <v>1761</v>
      </c>
      <c r="N94" t="s">
        <v>1766</v>
      </c>
      <c r="O94" t="s">
        <v>1761</v>
      </c>
      <c r="P94" t="s">
        <v>1767</v>
      </c>
      <c r="Q94" t="s">
        <v>1761</v>
      </c>
      <c r="R94" t="s">
        <v>1768</v>
      </c>
      <c r="S94" t="s">
        <v>1761</v>
      </c>
      <c r="T94" t="s">
        <v>1769</v>
      </c>
      <c r="U94" t="s">
        <v>1761</v>
      </c>
      <c r="V94" t="s">
        <v>1761</v>
      </c>
      <c r="W94" t="s">
        <v>1761</v>
      </c>
      <c r="X94" t="s">
        <v>1770</v>
      </c>
      <c r="Y94" t="s">
        <v>1771</v>
      </c>
      <c r="Z94" t="s">
        <v>1772</v>
      </c>
      <c r="AA94" t="s">
        <v>1773</v>
      </c>
      <c r="AB94" t="s">
        <v>1766</v>
      </c>
      <c r="AC94" t="s">
        <v>1774</v>
      </c>
      <c r="AD94" t="s">
        <v>1761</v>
      </c>
      <c r="AE94" t="s">
        <v>1761</v>
      </c>
      <c r="AF94" t="s">
        <v>1775</v>
      </c>
      <c r="AG94" t="s">
        <v>1776</v>
      </c>
      <c r="AH94" t="s">
        <v>1766</v>
      </c>
      <c r="AI94" t="s">
        <v>1761</v>
      </c>
      <c r="AJ94" t="s">
        <v>1761</v>
      </c>
      <c r="AK94" t="s">
        <v>1761</v>
      </c>
      <c r="AL94" t="s">
        <v>1777</v>
      </c>
      <c r="AM94" t="s">
        <v>1764</v>
      </c>
      <c r="AN94" t="s">
        <v>1778</v>
      </c>
      <c r="AO94" t="s">
        <v>1779</v>
      </c>
      <c r="AP94" t="s">
        <v>1780</v>
      </c>
    </row>
    <row r="95" spans="1:42" x14ac:dyDescent="0.25">
      <c r="A95" t="s">
        <v>1781</v>
      </c>
      <c r="B95" t="s">
        <v>1782</v>
      </c>
      <c r="C95" t="s">
        <v>1781</v>
      </c>
      <c r="D95" t="s">
        <v>1781</v>
      </c>
      <c r="E95" t="s">
        <v>1783</v>
      </c>
      <c r="F95" t="s">
        <v>1781</v>
      </c>
      <c r="G95" t="s">
        <v>1784</v>
      </c>
      <c r="H95" t="s">
        <v>1785</v>
      </c>
      <c r="I95" t="s">
        <v>1781</v>
      </c>
      <c r="J95" t="s">
        <v>1781</v>
      </c>
      <c r="K95" t="s">
        <v>1786</v>
      </c>
      <c r="L95" t="s">
        <v>1786</v>
      </c>
      <c r="M95" t="s">
        <v>1781</v>
      </c>
      <c r="N95" t="s">
        <v>1786</v>
      </c>
      <c r="O95" t="s">
        <v>1781</v>
      </c>
      <c r="P95" t="s">
        <v>1787</v>
      </c>
      <c r="Q95" t="s">
        <v>1781</v>
      </c>
      <c r="R95" t="s">
        <v>1788</v>
      </c>
      <c r="S95" t="s">
        <v>1781</v>
      </c>
      <c r="T95" t="s">
        <v>1789</v>
      </c>
      <c r="U95" t="s">
        <v>1781</v>
      </c>
      <c r="V95" t="s">
        <v>1781</v>
      </c>
      <c r="W95" t="s">
        <v>1781</v>
      </c>
      <c r="X95" t="s">
        <v>1790</v>
      </c>
      <c r="Y95" t="s">
        <v>1791</v>
      </c>
      <c r="Z95" t="s">
        <v>1792</v>
      </c>
      <c r="AA95" t="s">
        <v>1793</v>
      </c>
      <c r="AB95" t="s">
        <v>1786</v>
      </c>
      <c r="AC95" t="s">
        <v>1794</v>
      </c>
      <c r="AD95" t="s">
        <v>1781</v>
      </c>
      <c r="AE95" t="s">
        <v>1781</v>
      </c>
      <c r="AF95" t="s">
        <v>1795</v>
      </c>
      <c r="AG95" t="s">
        <v>1796</v>
      </c>
      <c r="AH95" t="s">
        <v>1786</v>
      </c>
      <c r="AI95" t="s">
        <v>1781</v>
      </c>
      <c r="AJ95" t="s">
        <v>1781</v>
      </c>
      <c r="AK95" t="s">
        <v>1781</v>
      </c>
      <c r="AL95" t="s">
        <v>1797</v>
      </c>
      <c r="AM95" t="s">
        <v>1784</v>
      </c>
      <c r="AN95" t="s">
        <v>1798</v>
      </c>
      <c r="AO95" t="s">
        <v>1799</v>
      </c>
      <c r="AP95" t="s">
        <v>1800</v>
      </c>
    </row>
    <row r="96" spans="1:42" x14ac:dyDescent="0.25">
      <c r="A96" t="s">
        <v>1801</v>
      </c>
      <c r="B96" t="s">
        <v>1802</v>
      </c>
      <c r="C96" t="s">
        <v>1801</v>
      </c>
      <c r="D96" t="s">
        <v>1801</v>
      </c>
      <c r="E96" t="s">
        <v>1803</v>
      </c>
      <c r="F96" t="s">
        <v>1801</v>
      </c>
      <c r="G96" t="s">
        <v>1804</v>
      </c>
      <c r="H96" t="s">
        <v>1805</v>
      </c>
      <c r="I96" t="s">
        <v>1801</v>
      </c>
      <c r="J96" t="s">
        <v>1801</v>
      </c>
      <c r="K96" t="s">
        <v>1806</v>
      </c>
      <c r="L96" t="s">
        <v>1806</v>
      </c>
      <c r="M96" t="s">
        <v>1801</v>
      </c>
      <c r="N96" t="s">
        <v>1806</v>
      </c>
      <c r="O96" t="s">
        <v>1801</v>
      </c>
      <c r="P96" t="s">
        <v>1807</v>
      </c>
      <c r="Q96" t="s">
        <v>1801</v>
      </c>
      <c r="R96" t="s">
        <v>1808</v>
      </c>
      <c r="S96" t="s">
        <v>1801</v>
      </c>
      <c r="T96" t="s">
        <v>1809</v>
      </c>
      <c r="U96" t="s">
        <v>1801</v>
      </c>
      <c r="V96" t="s">
        <v>1801</v>
      </c>
      <c r="W96" t="s">
        <v>1801</v>
      </c>
      <c r="X96" t="s">
        <v>1810</v>
      </c>
      <c r="Y96" t="s">
        <v>1811</v>
      </c>
      <c r="Z96" t="s">
        <v>1812</v>
      </c>
      <c r="AA96" t="s">
        <v>1813</v>
      </c>
      <c r="AB96" t="s">
        <v>1806</v>
      </c>
      <c r="AC96" t="s">
        <v>1814</v>
      </c>
      <c r="AD96" t="s">
        <v>1801</v>
      </c>
      <c r="AE96" t="s">
        <v>1801</v>
      </c>
      <c r="AF96" t="s">
        <v>1815</v>
      </c>
      <c r="AG96" t="s">
        <v>1816</v>
      </c>
      <c r="AH96" t="s">
        <v>1806</v>
      </c>
      <c r="AI96" t="s">
        <v>1801</v>
      </c>
      <c r="AJ96" t="s">
        <v>1801</v>
      </c>
      <c r="AK96" t="s">
        <v>1801</v>
      </c>
      <c r="AL96" t="s">
        <v>1817</v>
      </c>
      <c r="AM96" t="s">
        <v>1804</v>
      </c>
      <c r="AN96" t="s">
        <v>1818</v>
      </c>
      <c r="AO96" t="s">
        <v>1819</v>
      </c>
      <c r="AP96" t="s">
        <v>1820</v>
      </c>
    </row>
    <row r="97" spans="1:42" x14ac:dyDescent="0.25">
      <c r="A97" t="s">
        <v>1821</v>
      </c>
      <c r="B97" t="s">
        <v>1822</v>
      </c>
      <c r="C97" t="s">
        <v>1821</v>
      </c>
      <c r="D97" t="s">
        <v>1821</v>
      </c>
      <c r="E97" t="s">
        <v>1823</v>
      </c>
      <c r="F97" t="s">
        <v>1821</v>
      </c>
      <c r="G97" t="s">
        <v>1824</v>
      </c>
      <c r="H97" t="s">
        <v>1825</v>
      </c>
      <c r="I97" t="s">
        <v>1821</v>
      </c>
      <c r="J97" t="s">
        <v>1821</v>
      </c>
      <c r="K97" t="s">
        <v>1826</v>
      </c>
      <c r="L97" t="s">
        <v>1826</v>
      </c>
      <c r="M97" t="s">
        <v>1821</v>
      </c>
      <c r="N97" t="s">
        <v>1826</v>
      </c>
      <c r="O97" t="s">
        <v>1821</v>
      </c>
      <c r="P97" t="s">
        <v>1827</v>
      </c>
      <c r="Q97" t="s">
        <v>1821</v>
      </c>
      <c r="R97" t="s">
        <v>1828</v>
      </c>
      <c r="S97" t="s">
        <v>1821</v>
      </c>
      <c r="T97" t="s">
        <v>1829</v>
      </c>
      <c r="U97" t="s">
        <v>1821</v>
      </c>
      <c r="V97" t="s">
        <v>1821</v>
      </c>
      <c r="W97" t="s">
        <v>1821</v>
      </c>
      <c r="X97" t="s">
        <v>1830</v>
      </c>
      <c r="Y97" t="s">
        <v>1831</v>
      </c>
      <c r="Z97" t="s">
        <v>1832</v>
      </c>
      <c r="AA97" t="s">
        <v>1833</v>
      </c>
      <c r="AB97" t="s">
        <v>1826</v>
      </c>
      <c r="AC97" t="s">
        <v>1834</v>
      </c>
      <c r="AD97" t="s">
        <v>1821</v>
      </c>
      <c r="AE97" t="s">
        <v>1821</v>
      </c>
      <c r="AF97" t="s">
        <v>1835</v>
      </c>
      <c r="AG97" t="s">
        <v>1836</v>
      </c>
      <c r="AH97" t="s">
        <v>1826</v>
      </c>
      <c r="AI97" t="s">
        <v>1821</v>
      </c>
      <c r="AJ97" t="s">
        <v>1821</v>
      </c>
      <c r="AK97" t="s">
        <v>1821</v>
      </c>
      <c r="AL97" t="s">
        <v>1837</v>
      </c>
      <c r="AM97" t="s">
        <v>1824</v>
      </c>
      <c r="AN97" t="s">
        <v>1838</v>
      </c>
      <c r="AO97" t="s">
        <v>1839</v>
      </c>
      <c r="AP97" t="s">
        <v>1840</v>
      </c>
    </row>
    <row r="98" spans="1:42" x14ac:dyDescent="0.25">
      <c r="A98" t="s">
        <v>1841</v>
      </c>
      <c r="B98" t="s">
        <v>1842</v>
      </c>
      <c r="C98" t="s">
        <v>1841</v>
      </c>
      <c r="D98" t="s">
        <v>1841</v>
      </c>
      <c r="E98" t="s">
        <v>1843</v>
      </c>
      <c r="F98" t="s">
        <v>1841</v>
      </c>
      <c r="G98" t="s">
        <v>1844</v>
      </c>
      <c r="H98" t="s">
        <v>1845</v>
      </c>
      <c r="I98" t="s">
        <v>1841</v>
      </c>
      <c r="J98" t="s">
        <v>1841</v>
      </c>
      <c r="K98" t="s">
        <v>1846</v>
      </c>
      <c r="L98" t="s">
        <v>1846</v>
      </c>
      <c r="M98" t="s">
        <v>1841</v>
      </c>
      <c r="N98" t="s">
        <v>1846</v>
      </c>
      <c r="O98" t="s">
        <v>1841</v>
      </c>
      <c r="P98" t="s">
        <v>1847</v>
      </c>
      <c r="Q98" t="s">
        <v>1841</v>
      </c>
      <c r="R98" t="s">
        <v>1848</v>
      </c>
      <c r="S98" t="s">
        <v>1841</v>
      </c>
      <c r="T98" t="s">
        <v>1849</v>
      </c>
      <c r="U98" t="s">
        <v>1841</v>
      </c>
      <c r="V98" t="s">
        <v>1841</v>
      </c>
      <c r="W98" t="s">
        <v>1841</v>
      </c>
      <c r="X98" t="s">
        <v>1850</v>
      </c>
      <c r="Y98" t="s">
        <v>1851</v>
      </c>
      <c r="Z98" t="s">
        <v>1852</v>
      </c>
      <c r="AA98" t="s">
        <v>1853</v>
      </c>
      <c r="AB98" t="s">
        <v>1846</v>
      </c>
      <c r="AC98" t="s">
        <v>1854</v>
      </c>
      <c r="AD98" t="s">
        <v>1841</v>
      </c>
      <c r="AE98" t="s">
        <v>1841</v>
      </c>
      <c r="AF98" t="s">
        <v>1855</v>
      </c>
      <c r="AG98" t="s">
        <v>1856</v>
      </c>
      <c r="AH98" t="s">
        <v>1846</v>
      </c>
      <c r="AI98" t="s">
        <v>1841</v>
      </c>
      <c r="AJ98" t="s">
        <v>1841</v>
      </c>
      <c r="AK98" t="s">
        <v>1841</v>
      </c>
      <c r="AL98" t="s">
        <v>1857</v>
      </c>
      <c r="AM98" t="s">
        <v>1844</v>
      </c>
      <c r="AN98" t="s">
        <v>1858</v>
      </c>
      <c r="AO98" t="s">
        <v>1859</v>
      </c>
      <c r="AP98" t="s">
        <v>1860</v>
      </c>
    </row>
    <row r="99" spans="1:42" x14ac:dyDescent="0.25">
      <c r="A99" t="s">
        <v>1861</v>
      </c>
      <c r="B99" t="s">
        <v>1862</v>
      </c>
      <c r="C99" t="s">
        <v>1861</v>
      </c>
      <c r="D99" t="s">
        <v>1861</v>
      </c>
      <c r="E99" t="s">
        <v>1863</v>
      </c>
      <c r="F99" t="s">
        <v>1861</v>
      </c>
      <c r="G99" t="s">
        <v>1864</v>
      </c>
      <c r="H99" t="s">
        <v>1865</v>
      </c>
      <c r="I99" t="s">
        <v>1861</v>
      </c>
      <c r="J99" t="s">
        <v>1861</v>
      </c>
      <c r="K99" t="s">
        <v>1866</v>
      </c>
      <c r="L99" t="s">
        <v>1866</v>
      </c>
      <c r="M99" t="s">
        <v>1861</v>
      </c>
      <c r="N99" t="s">
        <v>1866</v>
      </c>
      <c r="O99" t="s">
        <v>1861</v>
      </c>
      <c r="P99" t="s">
        <v>1867</v>
      </c>
      <c r="Q99" t="s">
        <v>1861</v>
      </c>
      <c r="R99" t="s">
        <v>1868</v>
      </c>
      <c r="S99" t="s">
        <v>1861</v>
      </c>
      <c r="T99" t="s">
        <v>1869</v>
      </c>
      <c r="U99" t="s">
        <v>1861</v>
      </c>
      <c r="V99" t="s">
        <v>1861</v>
      </c>
      <c r="W99" t="s">
        <v>1861</v>
      </c>
      <c r="X99" t="s">
        <v>1870</v>
      </c>
      <c r="Y99" t="s">
        <v>1871</v>
      </c>
      <c r="Z99" t="s">
        <v>1872</v>
      </c>
      <c r="AA99" t="s">
        <v>1873</v>
      </c>
      <c r="AB99" t="s">
        <v>1866</v>
      </c>
      <c r="AC99" t="s">
        <v>1874</v>
      </c>
      <c r="AD99" t="s">
        <v>1861</v>
      </c>
      <c r="AE99" t="s">
        <v>1861</v>
      </c>
      <c r="AF99" t="s">
        <v>1875</v>
      </c>
      <c r="AG99" t="s">
        <v>1876</v>
      </c>
      <c r="AH99" t="s">
        <v>1866</v>
      </c>
      <c r="AI99" t="s">
        <v>1861</v>
      </c>
      <c r="AJ99" t="s">
        <v>1861</v>
      </c>
      <c r="AK99" t="s">
        <v>1861</v>
      </c>
      <c r="AL99" t="s">
        <v>1877</v>
      </c>
      <c r="AM99" t="s">
        <v>1864</v>
      </c>
      <c r="AN99" t="s">
        <v>1878</v>
      </c>
      <c r="AO99" t="s">
        <v>1879</v>
      </c>
      <c r="AP99" t="s">
        <v>1880</v>
      </c>
    </row>
    <row r="100" spans="1:42" x14ac:dyDescent="0.25">
      <c r="A100" t="s">
        <v>1851</v>
      </c>
      <c r="B100" t="s">
        <v>1881</v>
      </c>
      <c r="C100" t="s">
        <v>1851</v>
      </c>
      <c r="D100" t="s">
        <v>1851</v>
      </c>
      <c r="E100" t="s">
        <v>1882</v>
      </c>
      <c r="F100" t="s">
        <v>1851</v>
      </c>
      <c r="G100" t="s">
        <v>1856</v>
      </c>
      <c r="H100" t="s">
        <v>1883</v>
      </c>
      <c r="I100" t="s">
        <v>1851</v>
      </c>
      <c r="J100" t="s">
        <v>1851</v>
      </c>
      <c r="K100" t="s">
        <v>1856</v>
      </c>
      <c r="L100" t="s">
        <v>1858</v>
      </c>
      <c r="M100" t="s">
        <v>1846</v>
      </c>
      <c r="N100" t="s">
        <v>1858</v>
      </c>
      <c r="O100" t="s">
        <v>1851</v>
      </c>
      <c r="P100" t="s">
        <v>1884</v>
      </c>
      <c r="Q100" t="s">
        <v>1851</v>
      </c>
      <c r="R100" t="s">
        <v>1885</v>
      </c>
      <c r="S100" t="s">
        <v>1851</v>
      </c>
      <c r="T100" t="s">
        <v>1846</v>
      </c>
      <c r="U100" t="s">
        <v>1851</v>
      </c>
      <c r="V100" t="s">
        <v>1851</v>
      </c>
      <c r="W100" t="s">
        <v>1851</v>
      </c>
      <c r="X100" t="s">
        <v>1886</v>
      </c>
      <c r="Y100" t="s">
        <v>1856</v>
      </c>
      <c r="Z100" t="s">
        <v>1887</v>
      </c>
      <c r="AA100" t="s">
        <v>1858</v>
      </c>
      <c r="AB100" t="s">
        <v>1858</v>
      </c>
      <c r="AC100" t="s">
        <v>1888</v>
      </c>
      <c r="AD100" t="s">
        <v>1851</v>
      </c>
      <c r="AE100" t="s">
        <v>1851</v>
      </c>
      <c r="AF100" t="s">
        <v>1856</v>
      </c>
      <c r="AG100" t="s">
        <v>1889</v>
      </c>
      <c r="AH100" t="s">
        <v>1856</v>
      </c>
      <c r="AI100" t="s">
        <v>1851</v>
      </c>
      <c r="AJ100" t="s">
        <v>1851</v>
      </c>
      <c r="AK100" t="s">
        <v>1851</v>
      </c>
      <c r="AL100" t="s">
        <v>1890</v>
      </c>
      <c r="AM100" t="s">
        <v>1882</v>
      </c>
      <c r="AN100" t="s">
        <v>1891</v>
      </c>
      <c r="AO100" t="s">
        <v>1892</v>
      </c>
      <c r="AP100" t="s">
        <v>1893</v>
      </c>
    </row>
    <row r="101" spans="1:42" x14ac:dyDescent="0.25">
      <c r="A101" t="s">
        <v>1871</v>
      </c>
      <c r="B101" t="s">
        <v>1894</v>
      </c>
      <c r="C101" t="s">
        <v>1871</v>
      </c>
      <c r="D101" t="s">
        <v>1871</v>
      </c>
      <c r="E101" t="s">
        <v>1895</v>
      </c>
      <c r="F101" t="s">
        <v>1871</v>
      </c>
      <c r="G101" t="s">
        <v>1876</v>
      </c>
      <c r="H101" t="s">
        <v>1896</v>
      </c>
      <c r="I101" t="s">
        <v>1871</v>
      </c>
      <c r="J101" t="s">
        <v>1871</v>
      </c>
      <c r="K101" t="s">
        <v>1876</v>
      </c>
      <c r="L101" t="s">
        <v>1878</v>
      </c>
      <c r="M101" t="s">
        <v>1866</v>
      </c>
      <c r="N101" t="s">
        <v>1878</v>
      </c>
      <c r="O101" t="s">
        <v>1871</v>
      </c>
      <c r="P101" t="s">
        <v>1897</v>
      </c>
      <c r="Q101" t="s">
        <v>1871</v>
      </c>
      <c r="R101" t="s">
        <v>1898</v>
      </c>
      <c r="S101" t="s">
        <v>1871</v>
      </c>
      <c r="T101" t="s">
        <v>1866</v>
      </c>
      <c r="U101" t="s">
        <v>1871</v>
      </c>
      <c r="V101" t="s">
        <v>1871</v>
      </c>
      <c r="W101" t="s">
        <v>1871</v>
      </c>
      <c r="X101" t="s">
        <v>1899</v>
      </c>
      <c r="Y101" t="s">
        <v>1876</v>
      </c>
      <c r="Z101" t="s">
        <v>1900</v>
      </c>
      <c r="AA101" t="s">
        <v>1878</v>
      </c>
      <c r="AB101" t="s">
        <v>1878</v>
      </c>
      <c r="AC101" t="s">
        <v>1901</v>
      </c>
      <c r="AD101" t="s">
        <v>1871</v>
      </c>
      <c r="AE101" t="s">
        <v>1871</v>
      </c>
      <c r="AF101" t="s">
        <v>1876</v>
      </c>
      <c r="AG101" t="s">
        <v>1902</v>
      </c>
      <c r="AH101" t="s">
        <v>1876</v>
      </c>
      <c r="AI101" t="s">
        <v>1871</v>
      </c>
      <c r="AJ101" t="s">
        <v>1871</v>
      </c>
      <c r="AK101" t="s">
        <v>1871</v>
      </c>
      <c r="AL101" t="s">
        <v>1903</v>
      </c>
      <c r="AM101" t="s">
        <v>1895</v>
      </c>
      <c r="AN101" t="s">
        <v>1904</v>
      </c>
      <c r="AO101" t="s">
        <v>1905</v>
      </c>
      <c r="AP101" t="s">
        <v>1906</v>
      </c>
    </row>
    <row r="102" spans="1:42" x14ac:dyDescent="0.25">
      <c r="A102" t="s">
        <v>2477</v>
      </c>
      <c r="B102" t="s">
        <v>1907</v>
      </c>
      <c r="C102" t="s">
        <v>2478</v>
      </c>
      <c r="D102" t="s">
        <v>2479</v>
      </c>
      <c r="E102" t="s">
        <v>2480</v>
      </c>
      <c r="F102" t="s">
        <v>2481</v>
      </c>
      <c r="G102" t="s">
        <v>2482</v>
      </c>
      <c r="H102" t="s">
        <v>2483</v>
      </c>
      <c r="I102" t="s">
        <v>2477</v>
      </c>
      <c r="J102" t="s">
        <v>2484</v>
      </c>
      <c r="K102" t="s">
        <v>2485</v>
      </c>
      <c r="L102" t="s">
        <v>2486</v>
      </c>
      <c r="M102" t="s">
        <v>2487</v>
      </c>
      <c r="N102" t="s">
        <v>2488</v>
      </c>
      <c r="O102" t="s">
        <v>2489</v>
      </c>
      <c r="P102" t="s">
        <v>2490</v>
      </c>
      <c r="Q102" t="s">
        <v>2491</v>
      </c>
      <c r="R102" t="s">
        <v>2492</v>
      </c>
      <c r="S102" t="s">
        <v>2493</v>
      </c>
      <c r="T102" t="s">
        <v>1908</v>
      </c>
      <c r="U102" t="s">
        <v>2494</v>
      </c>
      <c r="V102" t="s">
        <v>2495</v>
      </c>
      <c r="W102" t="s">
        <v>2496</v>
      </c>
      <c r="X102" t="s">
        <v>2497</v>
      </c>
      <c r="Y102" t="s">
        <v>2498</v>
      </c>
      <c r="Z102" t="s">
        <v>2499</v>
      </c>
      <c r="AA102" t="s">
        <v>2500</v>
      </c>
      <c r="AB102" t="s">
        <v>2501</v>
      </c>
      <c r="AC102" t="s">
        <v>2502</v>
      </c>
      <c r="AD102" t="s">
        <v>2503</v>
      </c>
      <c r="AE102" t="s">
        <v>2504</v>
      </c>
      <c r="AF102" t="s">
        <v>2505</v>
      </c>
      <c r="AG102" t="s">
        <v>2506</v>
      </c>
      <c r="AH102" t="s">
        <v>2507</v>
      </c>
      <c r="AI102" t="s">
        <v>2508</v>
      </c>
      <c r="AJ102" t="s">
        <v>2509</v>
      </c>
      <c r="AK102" t="s">
        <v>2510</v>
      </c>
      <c r="AL102" t="s">
        <v>2511</v>
      </c>
      <c r="AM102" t="s">
        <v>2512</v>
      </c>
      <c r="AN102" t="s">
        <v>2513</v>
      </c>
      <c r="AO102" t="s">
        <v>2514</v>
      </c>
      <c r="AP102" t="s">
        <v>1909</v>
      </c>
    </row>
    <row r="103" spans="1:42" x14ac:dyDescent="0.25">
      <c r="A103" s="1"/>
    </row>
    <row r="104" spans="1:42" x14ac:dyDescent="0.25">
      <c r="A104" s="1"/>
    </row>
    <row r="105" spans="1:42" x14ac:dyDescent="0.25">
      <c r="A105" s="1"/>
    </row>
    <row r="106" spans="1:42" x14ac:dyDescent="0.25">
      <c r="A106" s="1"/>
    </row>
    <row r="107" spans="1:42" x14ac:dyDescent="0.25">
      <c r="A107" s="1"/>
    </row>
    <row r="108" spans="1:42" x14ac:dyDescent="0.25">
      <c r="A108" s="1"/>
    </row>
    <row r="109" spans="1:42" x14ac:dyDescent="0.25">
      <c r="A109" s="1"/>
    </row>
    <row r="110" spans="1:42" x14ac:dyDescent="0.25">
      <c r="A110" s="1"/>
    </row>
    <row r="111" spans="1:42" x14ac:dyDescent="0.25">
      <c r="A111" s="1"/>
    </row>
    <row r="112" spans="1:42" x14ac:dyDescent="0.25">
      <c r="A112" s="1"/>
    </row>
    <row r="113" spans="1:42" x14ac:dyDescent="0.25">
      <c r="A113" s="1"/>
    </row>
    <row r="114" spans="1:42" x14ac:dyDescent="0.25">
      <c r="A114" s="1"/>
    </row>
    <row r="115" spans="1:42" x14ac:dyDescent="0.25">
      <c r="A115" t="s">
        <v>1910</v>
      </c>
      <c r="B115" t="s">
        <v>1911</v>
      </c>
      <c r="C115" t="s">
        <v>1912</v>
      </c>
      <c r="D115" t="s">
        <v>1913</v>
      </c>
      <c r="E115" t="s">
        <v>1914</v>
      </c>
      <c r="F115" t="s">
        <v>1915</v>
      </c>
      <c r="G115" t="s">
        <v>1916</v>
      </c>
      <c r="H115" t="s">
        <v>1917</v>
      </c>
      <c r="I115" t="s">
        <v>1918</v>
      </c>
      <c r="J115" t="s">
        <v>1919</v>
      </c>
      <c r="K115" t="s">
        <v>1920</v>
      </c>
      <c r="L115" t="s">
        <v>1921</v>
      </c>
      <c r="M115" t="s">
        <v>1922</v>
      </c>
      <c r="N115" t="s">
        <v>1923</v>
      </c>
      <c r="O115" t="s">
        <v>1923</v>
      </c>
      <c r="P115" t="s">
        <v>1924</v>
      </c>
      <c r="Q115" t="s">
        <v>1925</v>
      </c>
      <c r="R115" t="s">
        <v>1926</v>
      </c>
      <c r="S115" t="s">
        <v>1927</v>
      </c>
      <c r="T115" t="s">
        <v>1928</v>
      </c>
      <c r="U115" t="s">
        <v>1929</v>
      </c>
      <c r="V115" t="s">
        <v>1930</v>
      </c>
      <c r="W115" t="s">
        <v>1931</v>
      </c>
      <c r="X115" t="s">
        <v>1932</v>
      </c>
      <c r="Y115" t="s">
        <v>1933</v>
      </c>
      <c r="Z115" t="s">
        <v>1934</v>
      </c>
      <c r="AA115" t="s">
        <v>1935</v>
      </c>
      <c r="AB115" t="s">
        <v>1936</v>
      </c>
      <c r="AC115" t="s">
        <v>1937</v>
      </c>
      <c r="AD115" t="s">
        <v>1938</v>
      </c>
      <c r="AE115" t="s">
        <v>1939</v>
      </c>
      <c r="AF115" t="s">
        <v>1940</v>
      </c>
      <c r="AG115" t="s">
        <v>1941</v>
      </c>
      <c r="AH115" t="s">
        <v>1942</v>
      </c>
      <c r="AI115" t="s">
        <v>1943</v>
      </c>
      <c r="AJ115" t="s">
        <v>1944</v>
      </c>
      <c r="AK115" t="s">
        <v>1945</v>
      </c>
      <c r="AL115" t="s">
        <v>1946</v>
      </c>
      <c r="AM115" t="s">
        <v>1947</v>
      </c>
      <c r="AN115" t="s">
        <v>1948</v>
      </c>
      <c r="AO115" t="s">
        <v>1949</v>
      </c>
      <c r="AP115" t="s">
        <v>1950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9"/>
  <sheetViews>
    <sheetView showGridLines="0" workbookViewId="0">
      <selection activeCell="C4" sqref="C4"/>
    </sheetView>
  </sheetViews>
  <sheetFormatPr defaultColWidth="9.140625" defaultRowHeight="15" x14ac:dyDescent="0.25"/>
  <cols>
    <col min="1" max="1" width="1.140625" style="10" customWidth="1"/>
    <col min="2" max="2" width="18.85546875" style="10" bestFit="1" customWidth="1"/>
    <col min="3" max="3" width="20.28515625" style="10" customWidth="1"/>
    <col min="4" max="4" width="9.140625" style="10"/>
    <col min="5" max="5" width="1.140625" style="10" customWidth="1"/>
    <col min="6" max="6" width="9.140625" style="10"/>
    <col min="7" max="7" width="27.5703125" style="10" bestFit="1" customWidth="1"/>
    <col min="8" max="8" width="2.7109375" style="10" customWidth="1"/>
    <col min="9" max="9" width="1.140625" style="10" customWidth="1"/>
    <col min="10" max="16384" width="9.140625" style="10"/>
  </cols>
  <sheetData>
    <row r="1" spans="2:12" ht="7.5" customHeight="1" x14ac:dyDescent="0.25"/>
    <row r="2" spans="2:12" ht="16.5" thickBot="1" x14ac:dyDescent="0.3">
      <c r="B2" s="61" t="s">
        <v>1951</v>
      </c>
      <c r="C2" s="62"/>
      <c r="D2" s="63"/>
      <c r="F2" s="61" t="s">
        <v>1952</v>
      </c>
      <c r="G2" s="62"/>
      <c r="H2" s="63"/>
    </row>
    <row r="3" spans="2:12" ht="9" customHeight="1" x14ac:dyDescent="0.25">
      <c r="B3" s="64"/>
      <c r="C3" s="65"/>
      <c r="D3" s="66"/>
      <c r="F3" s="64"/>
      <c r="G3" s="65"/>
      <c r="H3" s="66"/>
    </row>
    <row r="4" spans="2:12" x14ac:dyDescent="0.25">
      <c r="B4" s="76" t="s">
        <v>1953</v>
      </c>
      <c r="C4" s="82" t="s">
        <v>0</v>
      </c>
      <c r="D4" s="66"/>
      <c r="F4" s="64"/>
      <c r="G4" s="67"/>
      <c r="H4" s="66"/>
    </row>
    <row r="5" spans="2:12" x14ac:dyDescent="0.25">
      <c r="B5" s="64"/>
      <c r="C5" s="65"/>
      <c r="D5" s="66"/>
      <c r="F5" s="68" t="s">
        <v>1954</v>
      </c>
      <c r="G5" s="69" t="s">
        <v>1955</v>
      </c>
      <c r="H5" s="66"/>
    </row>
    <row r="6" spans="2:12" x14ac:dyDescent="0.25">
      <c r="B6" s="76" t="s">
        <v>1956</v>
      </c>
      <c r="C6" s="82" t="s">
        <v>2015</v>
      </c>
      <c r="D6" s="66"/>
      <c r="F6" s="68" t="s">
        <v>1957</v>
      </c>
      <c r="G6" s="70" t="s">
        <v>1958</v>
      </c>
      <c r="H6" s="66"/>
    </row>
    <row r="7" spans="2:12" x14ac:dyDescent="0.25">
      <c r="B7" s="64"/>
      <c r="C7" s="65"/>
      <c r="D7" s="66"/>
      <c r="F7" s="68" t="s">
        <v>1959</v>
      </c>
      <c r="G7" s="70" t="s">
        <v>1960</v>
      </c>
      <c r="H7" s="66"/>
    </row>
    <row r="8" spans="2:12" x14ac:dyDescent="0.25">
      <c r="B8" s="76" t="s">
        <v>1961</v>
      </c>
      <c r="C8" s="82" t="s">
        <v>1984</v>
      </c>
      <c r="D8" s="66"/>
      <c r="F8" s="68" t="s">
        <v>1963</v>
      </c>
      <c r="G8" s="70" t="s">
        <v>1964</v>
      </c>
      <c r="H8" s="66"/>
    </row>
    <row r="9" spans="2:12" x14ac:dyDescent="0.25">
      <c r="B9" s="64"/>
      <c r="C9" s="65"/>
      <c r="D9" s="66"/>
      <c r="F9" s="68" t="s">
        <v>1965</v>
      </c>
      <c r="G9" s="71" t="s">
        <v>1966</v>
      </c>
      <c r="H9" s="66"/>
    </row>
    <row r="10" spans="2:12" x14ac:dyDescent="0.25">
      <c r="B10" s="76" t="s">
        <v>1967</v>
      </c>
      <c r="C10" s="82" t="s">
        <v>1968</v>
      </c>
      <c r="D10" s="66"/>
      <c r="F10" s="64"/>
      <c r="G10" s="72"/>
      <c r="H10" s="66"/>
    </row>
    <row r="11" spans="2:12" x14ac:dyDescent="0.25">
      <c r="B11" s="64"/>
      <c r="C11" s="65"/>
      <c r="D11" s="66"/>
      <c r="F11" s="73"/>
      <c r="G11" s="74"/>
      <c r="H11" s="75"/>
    </row>
    <row r="12" spans="2:12" x14ac:dyDescent="0.25">
      <c r="B12" s="76" t="s">
        <v>2016</v>
      </c>
      <c r="C12" s="82" t="s">
        <v>1115</v>
      </c>
      <c r="D12" s="66"/>
      <c r="F12" s="83"/>
      <c r="G12" s="83"/>
      <c r="H12" s="83"/>
      <c r="I12" s="83"/>
      <c r="J12" s="83"/>
      <c r="K12" s="99"/>
      <c r="L12" s="99"/>
    </row>
    <row r="13" spans="2:12" ht="9" customHeight="1" x14ac:dyDescent="0.25">
      <c r="B13" s="73"/>
      <c r="C13" s="74"/>
      <c r="D13" s="75"/>
      <c r="F13" s="83"/>
      <c r="G13" s="83"/>
      <c r="H13" s="83"/>
      <c r="I13" s="83"/>
      <c r="J13" s="83"/>
      <c r="K13" s="99"/>
      <c r="L13" s="99"/>
    </row>
    <row r="14" spans="2:12" ht="9" customHeight="1" x14ac:dyDescent="0.25">
      <c r="F14" s="83"/>
      <c r="G14" s="83"/>
      <c r="H14" s="83"/>
      <c r="I14" s="83"/>
      <c r="J14" s="83"/>
      <c r="K14" s="99"/>
      <c r="L14" s="99"/>
    </row>
    <row r="15" spans="2:12" ht="9" customHeight="1" x14ac:dyDescent="0.25">
      <c r="B15" s="77"/>
      <c r="C15" s="78"/>
      <c r="D15" s="79"/>
      <c r="F15" s="83" t="s">
        <v>1969</v>
      </c>
      <c r="G15" s="83">
        <f>IF(ISERROR(MATCH(C4,lang_list,0)),1,MATCH(C4,lang_list,0))</f>
        <v>1</v>
      </c>
      <c r="H15" s="83"/>
      <c r="I15" s="83" t="str">
        <f>IFERROR(VLOOKUP(C12,T,lang,FALSE),"")</f>
        <v>Argentina</v>
      </c>
      <c r="J15" s="83"/>
      <c r="K15" s="99"/>
      <c r="L15" s="99"/>
    </row>
    <row r="16" spans="2:12" ht="16.5" thickBot="1" x14ac:dyDescent="0.3">
      <c r="B16" s="64"/>
      <c r="C16" s="80" t="s">
        <v>1966</v>
      </c>
      <c r="D16" s="66"/>
      <c r="F16" s="83" t="s">
        <v>1970</v>
      </c>
      <c r="G16" s="83">
        <f>TIME(VLOOKUP(C8,F18:G41,2,FALSE),VLOOKUP(C10,F43:G46,2,FALSE),0)+IF(C6="Yes",TIME(1,0,0),0)</f>
        <v>0.58333333333333337</v>
      </c>
      <c r="H16" s="83"/>
      <c r="I16" s="83"/>
      <c r="J16" s="83"/>
      <c r="K16" s="99"/>
      <c r="L16" s="99"/>
    </row>
    <row r="17" spans="2:12" x14ac:dyDescent="0.25">
      <c r="B17" s="81" t="str">
        <f>VLOOKUP("Brazil",T,lang,FALSE)</f>
        <v>Brazil</v>
      </c>
      <c r="C17" s="95">
        <v>1832.69</v>
      </c>
      <c r="D17" s="66"/>
      <c r="F17" s="83"/>
      <c r="G17" s="83"/>
      <c r="H17" s="83"/>
      <c r="I17" s="83" t="s">
        <v>1115</v>
      </c>
      <c r="J17" s="83"/>
      <c r="K17" s="99"/>
      <c r="L17" s="99"/>
    </row>
    <row r="18" spans="2:12" x14ac:dyDescent="0.25">
      <c r="B18" s="81" t="str">
        <f>VLOOKUP("Belgium",T,lang,FALSE)</f>
        <v>Belgium</v>
      </c>
      <c r="C18" s="96">
        <v>1827</v>
      </c>
      <c r="D18" s="66"/>
      <c r="F18" s="83" t="s">
        <v>1971</v>
      </c>
      <c r="G18" s="83">
        <v>0</v>
      </c>
      <c r="H18" s="83"/>
      <c r="I18" s="83" t="s">
        <v>1236</v>
      </c>
      <c r="J18" s="83"/>
      <c r="K18" s="99"/>
      <c r="L18" s="99"/>
    </row>
    <row r="19" spans="2:12" x14ac:dyDescent="0.25">
      <c r="B19" s="81" t="str">
        <f>VLOOKUP("France",T,lang,FALSE)</f>
        <v>France</v>
      </c>
      <c r="C19" s="96">
        <v>1790</v>
      </c>
      <c r="D19" s="66"/>
      <c r="F19" s="83" t="s">
        <v>1972</v>
      </c>
      <c r="G19" s="83">
        <v>1</v>
      </c>
      <c r="H19" s="83"/>
      <c r="I19" s="83" t="s">
        <v>1364</v>
      </c>
      <c r="J19" s="83"/>
      <c r="K19" s="99"/>
      <c r="L19" s="99"/>
    </row>
    <row r="20" spans="2:12" x14ac:dyDescent="0.25">
      <c r="B20" s="81" t="str">
        <f>VLOOKUP("Argentina",T,lang,FALSE)</f>
        <v>Argentina</v>
      </c>
      <c r="C20" s="96">
        <v>1765</v>
      </c>
      <c r="D20" s="66"/>
      <c r="F20" s="83" t="s">
        <v>1973</v>
      </c>
      <c r="G20" s="83">
        <v>2</v>
      </c>
      <c r="H20" s="83"/>
      <c r="I20" s="83" t="s">
        <v>1334</v>
      </c>
      <c r="J20" s="83"/>
      <c r="K20" s="99"/>
      <c r="L20" s="99"/>
    </row>
    <row r="21" spans="2:12" x14ac:dyDescent="0.25">
      <c r="B21" s="81" t="str">
        <f>VLOOKUP("England",T,lang,FALSE)</f>
        <v>England</v>
      </c>
      <c r="C21" s="96">
        <v>1762</v>
      </c>
      <c r="D21" s="66"/>
      <c r="F21" s="83" t="s">
        <v>1974</v>
      </c>
      <c r="G21" s="83">
        <v>3</v>
      </c>
      <c r="H21" s="83"/>
      <c r="I21" s="83" t="s">
        <v>2438</v>
      </c>
      <c r="J21" s="83"/>
      <c r="K21" s="99"/>
      <c r="L21" s="99"/>
    </row>
    <row r="22" spans="2:12" x14ac:dyDescent="0.25">
      <c r="B22" s="81" t="str">
        <f>VLOOKUP("Spain",T,lang,FALSE)</f>
        <v>Spain</v>
      </c>
      <c r="C22" s="96">
        <v>1709</v>
      </c>
      <c r="D22" s="66"/>
      <c r="F22" s="83" t="s">
        <v>1975</v>
      </c>
      <c r="G22" s="83">
        <v>4</v>
      </c>
      <c r="H22" s="83"/>
      <c r="I22" s="83" t="s">
        <v>2423</v>
      </c>
      <c r="J22" s="83"/>
      <c r="K22" s="99"/>
      <c r="L22" s="99"/>
    </row>
    <row r="23" spans="2:12" x14ac:dyDescent="0.25">
      <c r="B23" s="81" t="str">
        <f>VLOOKUP("Portugal",T,lang,FALSE)</f>
        <v>Portugal</v>
      </c>
      <c r="C23" s="96">
        <v>1674.78</v>
      </c>
      <c r="D23" s="66"/>
      <c r="F23" s="83" t="s">
        <v>1976</v>
      </c>
      <c r="G23" s="83">
        <v>5</v>
      </c>
      <c r="H23" s="83"/>
      <c r="I23" s="83" t="s">
        <v>1266</v>
      </c>
      <c r="J23" s="83"/>
      <c r="K23" s="99"/>
      <c r="L23" s="99"/>
    </row>
    <row r="24" spans="2:12" x14ac:dyDescent="0.25">
      <c r="B24" s="81" t="str">
        <f>VLOOKUP("Mexico",T,lang,FALSE)</f>
        <v>Mexico</v>
      </c>
      <c r="C24" s="96">
        <v>1658.82</v>
      </c>
      <c r="D24" s="66"/>
      <c r="F24" s="83" t="s">
        <v>1977</v>
      </c>
      <c r="G24" s="83">
        <v>6</v>
      </c>
      <c r="H24" s="83"/>
      <c r="I24" s="83" t="s">
        <v>1004</v>
      </c>
      <c r="J24" s="83"/>
      <c r="K24" s="99"/>
      <c r="L24" s="99"/>
    </row>
    <row r="25" spans="2:12" x14ac:dyDescent="0.25">
      <c r="B25" s="81" t="str">
        <f>VLOOKUP("Netherlands",T,lang,FALSE)</f>
        <v>Netherlands</v>
      </c>
      <c r="C25" s="96">
        <v>1658.66</v>
      </c>
      <c r="D25" s="66"/>
      <c r="F25" s="83" t="s">
        <v>1978</v>
      </c>
      <c r="G25" s="83">
        <v>7</v>
      </c>
      <c r="H25" s="83"/>
      <c r="I25" s="83" t="s">
        <v>2000</v>
      </c>
      <c r="J25" s="83"/>
      <c r="K25" s="99"/>
      <c r="L25" s="99"/>
    </row>
    <row r="26" spans="2:12" x14ac:dyDescent="0.25">
      <c r="B26" s="81" t="str">
        <f>VLOOKUP("Denmark",T,lang,FALSE)</f>
        <v>Denmark</v>
      </c>
      <c r="C26" s="96">
        <v>1653.6</v>
      </c>
      <c r="D26" s="66"/>
      <c r="F26" s="83" t="s">
        <v>1979</v>
      </c>
      <c r="G26" s="83">
        <v>8</v>
      </c>
      <c r="H26" s="83"/>
      <c r="I26" s="83" t="s">
        <v>2303</v>
      </c>
      <c r="J26" s="83"/>
      <c r="K26" s="99"/>
      <c r="L26" s="99"/>
    </row>
    <row r="27" spans="2:12" x14ac:dyDescent="0.25">
      <c r="B27" s="81" t="str">
        <f>VLOOKUP("Germany",T,lang,FALSE)</f>
        <v>Germany</v>
      </c>
      <c r="C27" s="96">
        <v>1650.53</v>
      </c>
      <c r="D27" s="66"/>
      <c r="F27" s="83" t="s">
        <v>1980</v>
      </c>
      <c r="G27" s="83">
        <v>9</v>
      </c>
      <c r="H27" s="83"/>
      <c r="I27" s="83" t="s">
        <v>1170</v>
      </c>
      <c r="J27" s="83"/>
      <c r="K27" s="99"/>
      <c r="L27" s="99"/>
    </row>
    <row r="28" spans="2:12" x14ac:dyDescent="0.25">
      <c r="B28" s="81" t="str">
        <f>VLOOKUP("Uruguay",T,lang,FALSE)</f>
        <v>Uruguay</v>
      </c>
      <c r="C28" s="96">
        <v>1635.73</v>
      </c>
      <c r="D28" s="66"/>
      <c r="F28" s="83" t="s">
        <v>1981</v>
      </c>
      <c r="G28" s="83">
        <v>10</v>
      </c>
      <c r="H28" s="83"/>
      <c r="I28" s="83" t="s">
        <v>1084</v>
      </c>
      <c r="J28" s="83"/>
      <c r="K28" s="99"/>
      <c r="L28" s="99"/>
    </row>
    <row r="29" spans="2:12" x14ac:dyDescent="0.25">
      <c r="B29" s="81" t="str">
        <f>VLOOKUP("Switzerland",T,lang,FALSE)</f>
        <v>Switzerland</v>
      </c>
      <c r="C29" s="96">
        <v>1635.32</v>
      </c>
      <c r="D29" s="66"/>
      <c r="F29" s="83" t="s">
        <v>1962</v>
      </c>
      <c r="G29" s="83">
        <v>11</v>
      </c>
      <c r="H29" s="83"/>
      <c r="I29" s="83" t="s">
        <v>1201</v>
      </c>
      <c r="J29" s="83"/>
      <c r="K29" s="99"/>
      <c r="L29" s="99"/>
    </row>
    <row r="30" spans="2:12" x14ac:dyDescent="0.25">
      <c r="B30" s="81" t="str">
        <f>VLOOKUP("United States",T,lang,FALSE)</f>
        <v>United States</v>
      </c>
      <c r="C30" s="96">
        <v>1633.72</v>
      </c>
      <c r="D30" s="66"/>
      <c r="F30" s="83" t="s">
        <v>1982</v>
      </c>
      <c r="G30" s="83">
        <v>12</v>
      </c>
      <c r="H30" s="83"/>
      <c r="I30" s="83" t="s">
        <v>2460</v>
      </c>
      <c r="J30" s="83"/>
      <c r="K30" s="99"/>
      <c r="L30" s="99"/>
    </row>
    <row r="31" spans="2:12" x14ac:dyDescent="0.25">
      <c r="B31" s="81" t="str">
        <f>VLOOKUP("Croatia",T,lang,FALSE)</f>
        <v>Croatia</v>
      </c>
      <c r="C31" s="96">
        <v>1621.11</v>
      </c>
      <c r="D31" s="66"/>
      <c r="F31" s="83" t="s">
        <v>1983</v>
      </c>
      <c r="G31" s="83">
        <v>13</v>
      </c>
      <c r="H31" s="83"/>
      <c r="I31" s="83" t="s">
        <v>1316</v>
      </c>
      <c r="J31" s="83"/>
      <c r="K31" s="99"/>
      <c r="L31" s="99"/>
    </row>
    <row r="32" spans="2:12" x14ac:dyDescent="0.25">
      <c r="B32" s="81" t="str">
        <f>VLOOKUP("Senegal",T,lang,FALSE)</f>
        <v>Senegal</v>
      </c>
      <c r="C32" s="96">
        <v>1584.16</v>
      </c>
      <c r="D32" s="66"/>
      <c r="F32" s="83" t="s">
        <v>1984</v>
      </c>
      <c r="G32" s="83">
        <v>14</v>
      </c>
      <c r="H32" s="83"/>
      <c r="I32" s="83" t="s">
        <v>1287</v>
      </c>
      <c r="J32" s="83"/>
      <c r="K32" s="99"/>
      <c r="L32" s="99"/>
    </row>
    <row r="33" spans="2:12" x14ac:dyDescent="0.25">
      <c r="B33" s="81" t="str">
        <f>VLOOKUP("Wales",T,lang,FALSE)</f>
        <v>Wales</v>
      </c>
      <c r="C33" s="96">
        <v>1582.13</v>
      </c>
      <c r="D33" s="66"/>
      <c r="F33" s="83" t="s">
        <v>1985</v>
      </c>
      <c r="G33" s="83">
        <v>15</v>
      </c>
      <c r="H33" s="83"/>
      <c r="I33" s="83" t="s">
        <v>1136</v>
      </c>
      <c r="J33" s="83"/>
      <c r="K33" s="99"/>
      <c r="L33" s="99"/>
    </row>
    <row r="34" spans="2:12" x14ac:dyDescent="0.25">
      <c r="B34" s="81" t="str">
        <f>VLOOKUP("Iran",T,lang,FALSE)</f>
        <v>Iran</v>
      </c>
      <c r="C34" s="96">
        <v>1564</v>
      </c>
      <c r="D34" s="66"/>
      <c r="F34" s="83" t="s">
        <v>1986</v>
      </c>
      <c r="G34" s="83">
        <v>16</v>
      </c>
      <c r="H34" s="83"/>
      <c r="I34" s="83" t="s">
        <v>1039</v>
      </c>
      <c r="J34" s="83"/>
      <c r="K34" s="99"/>
      <c r="L34" s="99"/>
    </row>
    <row r="35" spans="2:12" x14ac:dyDescent="0.25">
      <c r="B35" s="81" t="str">
        <f>VLOOKUP("Japan",T,lang,FALSE)</f>
        <v>Japan</v>
      </c>
      <c r="C35" s="96">
        <v>1553.44</v>
      </c>
      <c r="D35" s="66"/>
      <c r="F35" s="83" t="s">
        <v>1987</v>
      </c>
      <c r="G35" s="83">
        <v>17</v>
      </c>
      <c r="H35" s="83"/>
      <c r="I35" s="83" t="s">
        <v>1999</v>
      </c>
      <c r="J35" s="83"/>
      <c r="K35" s="99"/>
      <c r="L35" s="99"/>
    </row>
    <row r="36" spans="2:12" x14ac:dyDescent="0.25">
      <c r="B36" s="81" t="str">
        <f>VLOOKUP("Morocco",T,lang,FALSE)</f>
        <v>Morocco</v>
      </c>
      <c r="C36" s="96">
        <v>1551.88</v>
      </c>
      <c r="D36" s="66"/>
      <c r="F36" s="83" t="s">
        <v>1988</v>
      </c>
      <c r="G36" s="83">
        <v>18</v>
      </c>
      <c r="H36" s="83"/>
      <c r="I36" s="83" t="s">
        <v>2323</v>
      </c>
      <c r="J36" s="83"/>
      <c r="K36" s="99"/>
      <c r="L36" s="99"/>
    </row>
    <row r="37" spans="2:12" x14ac:dyDescent="0.25">
      <c r="B37" s="81" t="str">
        <f>VLOOKUP("Serbia",T,lang,FALSE)</f>
        <v>Serbia</v>
      </c>
      <c r="C37" s="96">
        <v>1547.53</v>
      </c>
      <c r="D37" s="66"/>
      <c r="F37" s="83" t="s">
        <v>1989</v>
      </c>
      <c r="G37" s="83">
        <v>19</v>
      </c>
      <c r="H37" s="83"/>
      <c r="I37" s="83" t="s">
        <v>2003</v>
      </c>
      <c r="J37" s="83"/>
      <c r="K37" s="99"/>
      <c r="L37" s="99"/>
    </row>
    <row r="38" spans="2:12" x14ac:dyDescent="0.25">
      <c r="B38" s="81" t="str">
        <f>VLOOKUP("Poland",T,lang,FALSE)</f>
        <v>Poland</v>
      </c>
      <c r="C38" s="96">
        <v>1544</v>
      </c>
      <c r="D38" s="66"/>
      <c r="F38" s="83" t="s">
        <v>1990</v>
      </c>
      <c r="G38" s="83">
        <v>20</v>
      </c>
      <c r="H38" s="83"/>
      <c r="I38" s="83" t="s">
        <v>1392</v>
      </c>
      <c r="J38" s="83"/>
      <c r="K38" s="99"/>
      <c r="L38" s="99"/>
    </row>
    <row r="39" spans="2:12" x14ac:dyDescent="0.25">
      <c r="B39" s="81" t="str">
        <f>VLOOKUP("Korea Republic",T,lang,FALSE)</f>
        <v>Korea Republic</v>
      </c>
      <c r="C39" s="96">
        <v>1519.54</v>
      </c>
      <c r="D39" s="66"/>
      <c r="F39" s="83" t="s">
        <v>1991</v>
      </c>
      <c r="G39" s="83">
        <v>21</v>
      </c>
      <c r="H39" s="83"/>
      <c r="I39" s="83" t="s">
        <v>2287</v>
      </c>
      <c r="J39" s="83"/>
      <c r="K39" s="99"/>
      <c r="L39" s="99"/>
    </row>
    <row r="40" spans="2:12" x14ac:dyDescent="0.25">
      <c r="B40" s="81" t="str">
        <f>VLOOKUP("Costa Rica",T,lang,FALSE)</f>
        <v>Costa Rica</v>
      </c>
      <c r="C40" s="96">
        <v>1500.06</v>
      </c>
      <c r="D40" s="66"/>
      <c r="F40" s="83" t="s">
        <v>1992</v>
      </c>
      <c r="G40" s="83">
        <v>22</v>
      </c>
      <c r="H40" s="83"/>
      <c r="I40" s="83" t="s">
        <v>1998</v>
      </c>
      <c r="J40" s="83"/>
      <c r="K40" s="99"/>
      <c r="L40" s="99"/>
    </row>
    <row r="41" spans="2:12" x14ac:dyDescent="0.25">
      <c r="B41" s="81" t="str">
        <f>VLOOKUP("Tunisia",T,lang,FALSE)</f>
        <v>Tunisia</v>
      </c>
      <c r="C41" s="96">
        <v>1499.8</v>
      </c>
      <c r="D41" s="66"/>
      <c r="F41" s="83" t="s">
        <v>1993</v>
      </c>
      <c r="G41" s="83">
        <v>23</v>
      </c>
      <c r="H41" s="83"/>
      <c r="I41" s="83" t="s">
        <v>2004</v>
      </c>
      <c r="J41" s="83"/>
      <c r="K41" s="99"/>
      <c r="L41" s="99"/>
    </row>
    <row r="42" spans="2:12" x14ac:dyDescent="0.25">
      <c r="B42" s="81" t="str">
        <f>VLOOKUP("Australia",T,lang,FALSE)</f>
        <v>Australia</v>
      </c>
      <c r="C42" s="96">
        <v>1483.73</v>
      </c>
      <c r="D42" s="66"/>
      <c r="F42" s="83"/>
      <c r="G42" s="83"/>
      <c r="H42" s="83"/>
      <c r="I42" s="83" t="s">
        <v>2001</v>
      </c>
      <c r="J42" s="83"/>
      <c r="K42" s="99"/>
      <c r="L42" s="99"/>
    </row>
    <row r="43" spans="2:12" x14ac:dyDescent="0.25">
      <c r="B43" s="81" t="str">
        <f>VLOOKUP("Cameroon",T,lang,FALSE)</f>
        <v>Cameroon</v>
      </c>
      <c r="C43" s="96">
        <v>1480.48</v>
      </c>
      <c r="D43" s="66"/>
      <c r="F43" s="83" t="s">
        <v>1968</v>
      </c>
      <c r="G43" s="83">
        <v>0</v>
      </c>
      <c r="H43" s="83"/>
      <c r="I43" s="83" t="s">
        <v>1417</v>
      </c>
      <c r="J43" s="83"/>
      <c r="K43" s="99"/>
      <c r="L43" s="99"/>
    </row>
    <row r="44" spans="2:12" x14ac:dyDescent="0.25">
      <c r="B44" s="81" t="str">
        <f>VLOOKUP("Canada",T,lang,FALSE)</f>
        <v>Canada</v>
      </c>
      <c r="C44" s="96">
        <v>1479</v>
      </c>
      <c r="D44" s="66"/>
      <c r="F44" s="83" t="s">
        <v>1994</v>
      </c>
      <c r="G44" s="83">
        <v>15</v>
      </c>
      <c r="H44" s="83"/>
      <c r="I44" s="83" t="s">
        <v>1453</v>
      </c>
      <c r="J44" s="83"/>
      <c r="K44" s="99"/>
      <c r="L44" s="99"/>
    </row>
    <row r="45" spans="2:12" x14ac:dyDescent="0.25">
      <c r="B45" s="81" t="str">
        <f>VLOOKUP("Ecuador",T,lang,FALSE)</f>
        <v>Ecuador</v>
      </c>
      <c r="C45" s="96">
        <v>1453</v>
      </c>
      <c r="D45" s="66"/>
      <c r="F45" s="83" t="s">
        <v>1995</v>
      </c>
      <c r="G45" s="83">
        <v>30</v>
      </c>
      <c r="H45" s="83"/>
      <c r="I45" s="83" t="s">
        <v>2002</v>
      </c>
      <c r="J45" s="83"/>
      <c r="K45" s="99"/>
      <c r="L45" s="99"/>
    </row>
    <row r="46" spans="2:12" x14ac:dyDescent="0.25">
      <c r="B46" s="81" t="str">
        <f>VLOOKUP("Saudi Arabia",T,lang,FALSE)</f>
        <v>Saudi Arabia</v>
      </c>
      <c r="C46" s="96">
        <v>1445</v>
      </c>
      <c r="D46" s="66"/>
      <c r="F46" s="83" t="s">
        <v>1996</v>
      </c>
      <c r="G46" s="83">
        <v>45</v>
      </c>
      <c r="H46" s="83"/>
      <c r="I46" s="83" t="s">
        <v>2358</v>
      </c>
      <c r="J46" s="83"/>
      <c r="K46" s="99"/>
      <c r="L46" s="99"/>
    </row>
    <row r="47" spans="2:12" x14ac:dyDescent="0.25">
      <c r="B47" s="81" t="str">
        <f>VLOOKUP("Qatar",T,lang,FALSE)</f>
        <v>Qatar</v>
      </c>
      <c r="C47" s="96">
        <v>1441</v>
      </c>
      <c r="D47" s="66"/>
      <c r="F47" s="83"/>
      <c r="G47" s="83"/>
      <c r="H47" s="83"/>
      <c r="I47" s="83" t="s">
        <v>1064</v>
      </c>
      <c r="J47" s="83"/>
      <c r="K47" s="99"/>
      <c r="L47" s="99"/>
    </row>
    <row r="48" spans="2:12" x14ac:dyDescent="0.25">
      <c r="B48" s="81" t="str">
        <f>VLOOKUP("Ghana",T,lang,FALSE)</f>
        <v>Ghana</v>
      </c>
      <c r="C48" s="97">
        <v>1387.36</v>
      </c>
      <c r="D48" s="66"/>
      <c r="F48" s="83" t="s">
        <v>1997</v>
      </c>
      <c r="G48" s="83">
        <f>IF(G4="Type 2",0,1)</f>
        <v>1</v>
      </c>
      <c r="H48" s="83"/>
      <c r="I48" s="83" t="s">
        <v>2396</v>
      </c>
      <c r="J48" s="83"/>
      <c r="K48" s="99"/>
      <c r="L48" s="99"/>
    </row>
    <row r="49" spans="2:12" x14ac:dyDescent="0.25">
      <c r="B49" s="73"/>
      <c r="C49" s="74"/>
      <c r="D49" s="75"/>
      <c r="F49" s="83"/>
      <c r="G49" s="83"/>
      <c r="H49" s="83"/>
      <c r="I49" s="83"/>
      <c r="J49" s="83"/>
      <c r="K49" s="99"/>
      <c r="L49" s="99"/>
    </row>
  </sheetData>
  <sheetProtection algorithmName="SHA-512" hashValue="9MoiQIOTk22C+T+Cvg5miOecEKb11rJnquT4r5rL7VEDW6xpcJFqN/LVikWHTGARcL+6pezbKIWLhPU/ylSazg==" saltValue="jh275ZyopeeC3yzkhnZC8Q==" spinCount="100000" sheet="1" objects="1" scenarios="1"/>
  <sortState xmlns:xlrd2="http://schemas.microsoft.com/office/spreadsheetml/2017/richdata2" ref="I17:I48">
    <sortCondition ref="I17:I48"/>
  </sortState>
  <dataValidations count="5">
    <dataValidation type="list" allowBlank="1" showInputMessage="1" showErrorMessage="1" promptTitle="Select Language" prompt="Use drop-down List" sqref="C4" xr:uid="{00000000-0002-0000-0100-000000000000}">
      <formula1>lang_list</formula1>
    </dataValidation>
    <dataValidation type="list" allowBlank="1" showInputMessage="1" showErrorMessage="1" promptTitle="Select Summer Time" prompt="Use drop-down List" sqref="C6" xr:uid="{00000000-0002-0000-0100-000001000000}">
      <formula1>"Yes,No"</formula1>
    </dataValidation>
    <dataValidation type="list" allowBlank="1" showInputMessage="1" showErrorMessage="1" promptTitle="Select GTM-time" prompt="Use drop-down List" sqref="C8" xr:uid="{00000000-0002-0000-0100-000002000000}">
      <formula1>$F$18:$F$41</formula1>
    </dataValidation>
    <dataValidation type="list" allowBlank="1" showInputMessage="1" showErrorMessage="1" promptTitle="Select Minutes" prompt="Use drop-down List" sqref="C10" xr:uid="{00000000-0002-0000-0100-000003000000}">
      <formula1>$F$43:$F$46</formula1>
    </dataValidation>
    <dataValidation type="list" allowBlank="1" showInputMessage="1" showErrorMessage="1" promptTitle="Select Your Favorite Team" prompt="Use drop-down List" sqref="C12" xr:uid="{00000000-0002-0000-0100-000004000000}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97"/>
  <sheetViews>
    <sheetView showGridLines="0" topLeftCell="A11" zoomScaleNormal="100" workbookViewId="0">
      <selection activeCell="AY48" sqref="AY48:BC54"/>
    </sheetView>
  </sheetViews>
  <sheetFormatPr defaultColWidth="9.140625" defaultRowHeight="15" x14ac:dyDescent="0.25"/>
  <cols>
    <col min="1" max="1" width="4.85546875" style="3" customWidth="1"/>
    <col min="2" max="2" width="6.140625" style="3" customWidth="1"/>
    <col min="3" max="3" width="11.7109375" style="3" bestFit="1" customWidth="1"/>
    <col min="4" max="4" width="7.28515625" style="4" customWidth="1"/>
    <col min="5" max="5" width="22.5703125" style="5" customWidth="1"/>
    <col min="6" max="7" width="4.28515625" style="6" customWidth="1"/>
    <col min="8" max="8" width="22.5703125" style="7" customWidth="1"/>
    <col min="9" max="9" width="3.42578125" style="2" customWidth="1"/>
    <col min="10" max="10" width="14" style="8" customWidth="1"/>
    <col min="11" max="14" width="5.42578125" style="9" customWidth="1"/>
    <col min="15" max="15" width="7.7109375" style="9" customWidth="1"/>
    <col min="16" max="16" width="6.7109375" style="9" customWidth="1"/>
    <col min="17" max="17" width="3.42578125" style="98" customWidth="1"/>
    <col min="18" max="18" width="15.42578125" style="47" hidden="1" customWidth="1"/>
    <col min="19" max="20" width="16" style="88" hidden="1" customWidth="1"/>
    <col min="21" max="21" width="5" style="48" hidden="1" customWidth="1"/>
    <col min="22" max="25" width="6.140625" style="47" hidden="1" customWidth="1"/>
    <col min="26" max="26" width="4.28515625" style="48" hidden="1" customWidth="1"/>
    <col min="27" max="27" width="5.42578125" style="47" hidden="1" customWidth="1"/>
    <col min="28" max="28" width="13.42578125" style="48" hidden="1" customWidth="1"/>
    <col min="29" max="33" width="5.42578125" style="47" hidden="1" customWidth="1"/>
    <col min="34" max="36" width="6" style="47" hidden="1" customWidth="1"/>
    <col min="37" max="37" width="5.42578125" style="47" hidden="1" customWidth="1"/>
    <col min="38" max="38" width="6" style="47" hidden="1" customWidth="1"/>
    <col min="39" max="39" width="7.140625" style="48" hidden="1" customWidth="1"/>
    <col min="40" max="40" width="10" style="48" hidden="1" customWidth="1"/>
    <col min="41" max="41" width="15.28515625" style="48" hidden="1" customWidth="1"/>
    <col min="42" max="46" width="4.7109375" style="47" hidden="1" customWidth="1"/>
    <col min="47" max="49" width="9.140625" style="48" hidden="1" customWidth="1"/>
    <col min="50" max="50" width="9.140625" style="49" hidden="1" customWidth="1"/>
    <col min="51" max="51" width="3.28515625" style="2" customWidth="1"/>
    <col min="52" max="52" width="19.7109375" style="2" customWidth="1"/>
    <col min="53" max="55" width="3" style="2" customWidth="1"/>
    <col min="56" max="57" width="2" style="2" customWidth="1"/>
    <col min="58" max="58" width="3.28515625" style="2" customWidth="1"/>
    <col min="59" max="59" width="19.7109375" style="2" customWidth="1"/>
    <col min="60" max="62" width="3" style="2" customWidth="1"/>
    <col min="63" max="64" width="2" style="2" customWidth="1"/>
    <col min="65" max="65" width="3.28515625" style="2" customWidth="1"/>
    <col min="66" max="66" width="19.7109375" style="2" customWidth="1"/>
    <col min="67" max="69" width="3" style="2" customWidth="1"/>
    <col min="70" max="71" width="2" style="2" customWidth="1"/>
    <col min="72" max="72" width="3.28515625" style="2" customWidth="1"/>
    <col min="73" max="73" width="19.7109375" style="2" customWidth="1"/>
    <col min="74" max="76" width="3" style="2" customWidth="1"/>
    <col min="77" max="16384" width="9.140625" style="2"/>
  </cols>
  <sheetData>
    <row r="1" spans="1:76" ht="46.5" x14ac:dyDescent="0.25">
      <c r="A1" s="110" t="str">
        <f>INDEX(T,2,lang)</f>
        <v>2022 World Cup Final Tournament Schedule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S1" s="47"/>
      <c r="T1" s="47"/>
      <c r="U1" s="47"/>
      <c r="Z1" s="47"/>
      <c r="AB1" s="47"/>
      <c r="AD1" s="48"/>
      <c r="AE1" s="48"/>
      <c r="AF1" s="48"/>
      <c r="AL1" s="48"/>
      <c r="AP1" s="48"/>
      <c r="AQ1" s="48"/>
      <c r="AR1" s="48"/>
      <c r="AS1" s="48"/>
      <c r="AT1" s="48"/>
    </row>
    <row r="2" spans="1:76" ht="3" customHeight="1" x14ac:dyDescent="0.25">
      <c r="S2" s="47"/>
      <c r="T2" s="47"/>
      <c r="U2" s="47"/>
      <c r="Z2" s="47"/>
      <c r="AB2" s="47"/>
      <c r="AD2" s="48"/>
      <c r="AE2" s="48"/>
      <c r="AF2" s="48"/>
      <c r="AL2" s="48"/>
      <c r="AP2" s="48"/>
      <c r="AQ2" s="48"/>
      <c r="AR2" s="48"/>
      <c r="AS2" s="48"/>
      <c r="AT2" s="48"/>
    </row>
    <row r="3" spans="1:76" ht="12.75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1" t="str">
        <f>"Language: " &amp; Settings!C4</f>
        <v>Language: English</v>
      </c>
      <c r="P3" s="111"/>
      <c r="S3" s="47"/>
      <c r="T3" s="47"/>
      <c r="U3" s="47"/>
      <c r="Z3" s="47"/>
      <c r="AB3" s="47"/>
      <c r="AD3" s="48"/>
      <c r="AE3" s="48"/>
      <c r="AF3" s="48"/>
      <c r="AL3" s="48"/>
      <c r="AP3" s="48"/>
      <c r="AQ3" s="48"/>
      <c r="AR3" s="48"/>
      <c r="AS3" s="48"/>
      <c r="AT3" s="48"/>
    </row>
    <row r="4" spans="1:76" ht="3" customHeight="1" x14ac:dyDescent="0.25"/>
    <row r="5" spans="1:76" ht="15" customHeight="1" x14ac:dyDescent="0.25">
      <c r="A5" s="112" t="str">
        <f>INDEX(T,3,lang)</f>
        <v>Group Stage</v>
      </c>
      <c r="B5" s="113"/>
      <c r="C5" s="113"/>
      <c r="D5" s="113"/>
      <c r="E5" s="113"/>
      <c r="F5" s="113"/>
      <c r="G5" s="113"/>
      <c r="H5" s="114"/>
      <c r="J5" s="118" t="s">
        <v>2006</v>
      </c>
      <c r="K5" s="119"/>
      <c r="L5" s="119"/>
      <c r="M5" s="119"/>
      <c r="N5" s="119"/>
      <c r="O5" s="119"/>
      <c r="P5" s="120"/>
    </row>
    <row r="6" spans="1:76" ht="15" customHeight="1" x14ac:dyDescent="0.25">
      <c r="A6" s="115"/>
      <c r="B6" s="116"/>
      <c r="C6" s="116"/>
      <c r="D6" s="116"/>
      <c r="E6" s="116"/>
      <c r="F6" s="116"/>
      <c r="G6" s="116"/>
      <c r="H6" s="117"/>
      <c r="J6" s="121"/>
      <c r="K6" s="122"/>
      <c r="L6" s="122"/>
      <c r="M6" s="122"/>
      <c r="N6" s="122"/>
      <c r="O6" s="122"/>
      <c r="P6" s="123"/>
      <c r="R6" s="47" t="s">
        <v>2007</v>
      </c>
      <c r="V6" s="47" t="s">
        <v>2008</v>
      </c>
      <c r="W6" s="47" t="s">
        <v>2009</v>
      </c>
      <c r="AA6" s="47" t="s">
        <v>2010</v>
      </c>
      <c r="AB6" s="47" t="s">
        <v>970</v>
      </c>
      <c r="AC6" s="47" t="s">
        <v>322</v>
      </c>
      <c r="AD6" s="47" t="s">
        <v>358</v>
      </c>
      <c r="AE6" s="47" t="s">
        <v>293</v>
      </c>
      <c r="AF6" s="47" t="s">
        <v>2008</v>
      </c>
      <c r="AG6" s="47" t="s">
        <v>2009</v>
      </c>
      <c r="AH6" s="47" t="s">
        <v>2011</v>
      </c>
      <c r="AI6" s="47" t="s">
        <v>2011</v>
      </c>
      <c r="AK6" s="47" t="s">
        <v>2012</v>
      </c>
      <c r="AL6" s="47" t="s">
        <v>338</v>
      </c>
      <c r="AM6" s="47" t="s">
        <v>2013</v>
      </c>
      <c r="AN6" s="47" t="s">
        <v>2005</v>
      </c>
      <c r="AP6" s="47" t="s">
        <v>322</v>
      </c>
      <c r="AQ6" s="47" t="s">
        <v>358</v>
      </c>
      <c r="AR6" s="47" t="s">
        <v>2008</v>
      </c>
      <c r="AS6" s="47" t="s">
        <v>2009</v>
      </c>
      <c r="AT6" s="47" t="s">
        <v>2014</v>
      </c>
      <c r="AY6" s="104" t="str">
        <f>INDEX(T,4,lang)</f>
        <v>Round of 16</v>
      </c>
      <c r="AZ6" s="105"/>
      <c r="BA6" s="105"/>
      <c r="BB6" s="105"/>
      <c r="BC6" s="106"/>
      <c r="BF6" s="104" t="str">
        <f>INDEX(T,5,lang)</f>
        <v>Quarterfinals</v>
      </c>
      <c r="BG6" s="105"/>
      <c r="BH6" s="105"/>
      <c r="BI6" s="105"/>
      <c r="BJ6" s="106"/>
      <c r="BM6" s="104" t="str">
        <f>INDEX(T,6,lang)</f>
        <v>Semi-Finals</v>
      </c>
      <c r="BN6" s="105"/>
      <c r="BO6" s="105"/>
      <c r="BP6" s="105"/>
      <c r="BQ6" s="106"/>
      <c r="BT6" s="104" t="str">
        <f>INDEX(T,8,lang)</f>
        <v>Final</v>
      </c>
      <c r="BU6" s="105"/>
      <c r="BV6" s="105"/>
      <c r="BW6" s="105"/>
      <c r="BX6" s="106"/>
    </row>
    <row r="7" spans="1:76" ht="15" customHeight="1" x14ac:dyDescent="0.25">
      <c r="A7" s="11">
        <v>1</v>
      </c>
      <c r="B7" s="12" t="str">
        <f t="shared" ref="B7:B54" si="0">INDEX(T,18+INT(MOD(R7-1,7)),lang)</f>
        <v>Sun</v>
      </c>
      <c r="C7" s="13" t="str">
        <f t="shared" ref="C7:C54" si="1">INDEX(T,24+MONTH(R7),lang) &amp; " " &amp; DAY(R7) &amp; ", " &amp; YEAR(R7)</f>
        <v>Nov 20, 2022</v>
      </c>
      <c r="D7" s="14">
        <f t="shared" ref="D7:D54" si="2">TIME(HOUR(R7),MINUTE(R7),0)</f>
        <v>0.79166666666666663</v>
      </c>
      <c r="E7" s="92" t="str">
        <f>AB9</f>
        <v>Qatar</v>
      </c>
      <c r="F7" s="15">
        <v>1</v>
      </c>
      <c r="G7" s="16">
        <v>0</v>
      </c>
      <c r="H7" s="89" t="str">
        <f>AB10</f>
        <v>Ecuador</v>
      </c>
      <c r="R7" s="47">
        <f>DATE(2022,11,20)+TIME(5,0,0)+gmt_delta</f>
        <v>44885.791666666672</v>
      </c>
      <c r="S7" s="88" t="str">
        <f t="shared" ref="S7:S54" si="3">IF(OR(F7="",G7=""),"",IF(F7&gt;G7,E7&amp;"_win",IF(F7&lt;G7,E7&amp;"_lose",E7&amp;"_draw")))</f>
        <v>Qatar_win</v>
      </c>
      <c r="T7" s="88" t="str">
        <f t="shared" ref="T7:T54" si="4">IF(S7="","",IF(F7&lt;G7,H7&amp;"_win",IF(F7&gt;G7,H7&amp;"_lose",H7&amp;"_draw")))</f>
        <v>Ecuador_lose</v>
      </c>
      <c r="U7" s="48">
        <f t="shared" ref="U7:U54" si="5">IF(S7="",0,IF(VLOOKUP(E7,$AB$8:$AK$53,7,FALSE)=VLOOKUP(H7,$AB$8:$AK$53,7,FALSE),1,0))</f>
        <v>0</v>
      </c>
      <c r="V7" s="47">
        <f t="shared" ref="V7:V54" si="6">U7*F7</f>
        <v>0</v>
      </c>
      <c r="W7" s="47">
        <f t="shared" ref="W7:W54" si="7">U7*G7</f>
        <v>0</v>
      </c>
      <c r="X7" s="47">
        <f t="shared" ref="X7:X54" si="8">IF(OR(E7=my_team,H7=my_team),1,0)</f>
        <v>0</v>
      </c>
      <c r="Y7" s="47">
        <f t="shared" ref="Y7:Y54" si="9">IF(OR(F7="",G7=""),"",IF(F7&gt;G7,1,IF(F7&lt;G7,-1,0)))</f>
        <v>1</v>
      </c>
      <c r="AY7" s="107"/>
      <c r="AZ7" s="108"/>
      <c r="BA7" s="108"/>
      <c r="BB7" s="108"/>
      <c r="BC7" s="109"/>
      <c r="BF7" s="107"/>
      <c r="BG7" s="108"/>
      <c r="BH7" s="108"/>
      <c r="BI7" s="108"/>
      <c r="BJ7" s="109"/>
      <c r="BM7" s="107"/>
      <c r="BN7" s="108"/>
      <c r="BO7" s="108"/>
      <c r="BP7" s="108"/>
      <c r="BQ7" s="109"/>
      <c r="BT7" s="107"/>
      <c r="BU7" s="108"/>
      <c r="BV7" s="108"/>
      <c r="BW7" s="108"/>
      <c r="BX7" s="109"/>
    </row>
    <row r="8" spans="1:76" ht="15" customHeight="1" x14ac:dyDescent="0.25">
      <c r="A8" s="17">
        <v>2</v>
      </c>
      <c r="B8" s="18" t="str">
        <f t="shared" si="0"/>
        <v>Mon</v>
      </c>
      <c r="C8" s="19" t="str">
        <f t="shared" si="1"/>
        <v>Nov 21, 2022</v>
      </c>
      <c r="D8" s="20">
        <f t="shared" si="2"/>
        <v>0.79166666666666663</v>
      </c>
      <c r="E8" s="93" t="str">
        <f>AB8</f>
        <v>Senegal</v>
      </c>
      <c r="F8" s="21">
        <v>0</v>
      </c>
      <c r="G8" s="22">
        <v>3</v>
      </c>
      <c r="H8" s="90" t="str">
        <f>AB11</f>
        <v>Netherlands</v>
      </c>
      <c r="J8" s="58" t="str">
        <f>INDEX(T,9,lang) &amp; " " &amp; "A"</f>
        <v>Group A</v>
      </c>
      <c r="K8" s="59" t="str">
        <f>INDEX(T,10,lang)</f>
        <v>PL</v>
      </c>
      <c r="L8" s="59" t="str">
        <f>INDEX(T,11,lang)</f>
        <v>W</v>
      </c>
      <c r="M8" s="59" t="str">
        <f>INDEX(T,12,lang)</f>
        <v>DRAW</v>
      </c>
      <c r="N8" s="59" t="str">
        <f>INDEX(T,13,lang)</f>
        <v>L</v>
      </c>
      <c r="O8" s="59" t="str">
        <f>INDEX(T,14,lang)</f>
        <v>GF - GA</v>
      </c>
      <c r="P8" s="60" t="str">
        <f>INDEX(T,15,lang)</f>
        <v>PNT</v>
      </c>
      <c r="R8" s="47">
        <f>DATE(2022,11,21)+TIME(5,0,0)+gmt_delta</f>
        <v>44886.791666666672</v>
      </c>
      <c r="S8" s="88" t="str">
        <f t="shared" si="3"/>
        <v>Senegal_lose</v>
      </c>
      <c r="T8" s="88" t="str">
        <f t="shared" si="4"/>
        <v>Netherlands_win</v>
      </c>
      <c r="U8" s="48">
        <f t="shared" si="5"/>
        <v>0</v>
      </c>
      <c r="V8" s="47">
        <f t="shared" si="6"/>
        <v>0</v>
      </c>
      <c r="W8" s="47">
        <f t="shared" si="7"/>
        <v>0</v>
      </c>
      <c r="X8" s="47">
        <f t="shared" si="8"/>
        <v>0</v>
      </c>
      <c r="Y8" s="47">
        <f t="shared" si="9"/>
        <v>-1</v>
      </c>
      <c r="AA8" s="47">
        <f>COUNTIF(AN8:AN11,CONCATENATE("&gt;=",AN8))</f>
        <v>2</v>
      </c>
      <c r="AB8" s="48" t="str">
        <f>VLOOKUP("Senegal",T,lang,FALSE)</f>
        <v>Senegal</v>
      </c>
      <c r="AC8" s="47">
        <f>COUNTIF($S$7:$T$54,"=" &amp; AB8 &amp; "_win")</f>
        <v>2</v>
      </c>
      <c r="AD8" s="47">
        <f>COUNTIF($S$7:$T$54,"=" &amp; AB8 &amp; "_draw")</f>
        <v>0</v>
      </c>
      <c r="AE8" s="47">
        <f>COUNTIF($S$7:$T$54,"=" &amp; AB8 &amp; "_lose")</f>
        <v>1</v>
      </c>
      <c r="AF8" s="47">
        <f>SUMIF($E$7:$E$54,$AB8,$F$7:$F$54) + SUMIF($H$7:$H$54,$AB8,$G$7:$G$54)</f>
        <v>4</v>
      </c>
      <c r="AG8" s="47">
        <f>SUMIF($E$7:$E$54,$AB8,$G$7:$G$54) + SUMIF($H$7:$H$54,$AB8,$F$7:$F$54)</f>
        <v>3</v>
      </c>
      <c r="AH8" s="47">
        <f>(AF8-AG8)*100+AK8*10000+AF8</f>
        <v>60104</v>
      </c>
      <c r="AI8" s="47">
        <f>AF8-AG8</f>
        <v>1</v>
      </c>
      <c r="AJ8" s="47">
        <f>(AI8-AI13)/AI12</f>
        <v>0.46153846153846156</v>
      </c>
      <c r="AK8" s="47">
        <f>AC8*3+AD8</f>
        <v>6</v>
      </c>
      <c r="AL8" s="47">
        <f>AP8/AP12*1000+AQ8/AQ12*100+AT8/AT12*10+AR8/AR12</f>
        <v>0</v>
      </c>
      <c r="AM8" s="47">
        <f>VLOOKUP(AB8,db_fifarank,2,FALSE)/2000000</f>
        <v>7.9208000000000002E-4</v>
      </c>
      <c r="AN8" s="48">
        <f>1000*AK8/AK12+100*AJ8+10*AF8/AF12+1*AL8/AL12+AM8</f>
        <v>651.15463823384619</v>
      </c>
      <c r="AO8" s="48" t="str">
        <f>IF(SUM(AC8:AE11)=12,J9,INDEX(T,70,lang))</f>
        <v>Netherlands</v>
      </c>
      <c r="AP8" s="47">
        <f>SUMPRODUCT(($S$7:$S$54=AB8&amp;"_win")*($U$7:$U$54))+SUMPRODUCT(($T$7:$T$54=AB8&amp;"_win")*($U$7:$U$54))</f>
        <v>0</v>
      </c>
      <c r="AQ8" s="47">
        <f>SUMPRODUCT(($S$7:$S$54=AB8&amp;"_draw")*($U$7:$U$54))+SUMPRODUCT(($T$7:$T$54=AB8&amp;"_draw")*($U$7:$U$54))</f>
        <v>0</v>
      </c>
      <c r="AR8" s="47">
        <f>SUMPRODUCT(($E$7:$E$54=AB8)*($U$7:$U$54)*($F$7:$F$54))+SUMPRODUCT(($H$7:$H$54=AB8)*($U$7:$U$54)*($G$7:$G$54))</f>
        <v>0</v>
      </c>
      <c r="AS8" s="47">
        <f>SUMPRODUCT(($E$7:$E$54=AB8)*($U$7:$U$54)*($G$7:$G$54))+SUMPRODUCT(($H$7:$H$54=AB8)*($U$7:$U$54)*($F$7:$F$54))</f>
        <v>0</v>
      </c>
      <c r="AT8" s="47">
        <f>AR8-AS8</f>
        <v>0</v>
      </c>
      <c r="BG8" s="23"/>
      <c r="BH8" s="23"/>
      <c r="BI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ht="15" customHeight="1" x14ac:dyDescent="0.25">
      <c r="A9" s="17">
        <v>3</v>
      </c>
      <c r="B9" s="18" t="str">
        <f t="shared" si="0"/>
        <v>Mon</v>
      </c>
      <c r="C9" s="19" t="str">
        <f t="shared" si="1"/>
        <v>Nov 21, 2022</v>
      </c>
      <c r="D9" s="20">
        <f t="shared" si="2"/>
        <v>0.66666666666666663</v>
      </c>
      <c r="E9" s="93" t="str">
        <f>AB14</f>
        <v>England</v>
      </c>
      <c r="F9" s="21">
        <v>2</v>
      </c>
      <c r="G9" s="22">
        <v>0</v>
      </c>
      <c r="H9" s="90" t="str">
        <f>AB15</f>
        <v>Iran</v>
      </c>
      <c r="J9" s="50" t="str">
        <f>VLOOKUP(1,AA8:AK11,2,FALSE)</f>
        <v>Netherlands</v>
      </c>
      <c r="K9" s="51">
        <f>L9+M9+N9</f>
        <v>3</v>
      </c>
      <c r="L9" s="51">
        <f>VLOOKUP(1,AA8:AK11,3,FALSE)</f>
        <v>3</v>
      </c>
      <c r="M9" s="51">
        <f>VLOOKUP(1,AA8:AK11,4,FALSE)</f>
        <v>0</v>
      </c>
      <c r="N9" s="51">
        <f>VLOOKUP(1,AA8:AK11,5,FALSE)</f>
        <v>0</v>
      </c>
      <c r="O9" s="51" t="str">
        <f>VLOOKUP(1,AA8:AK11,6,FALSE) &amp; " - " &amp; VLOOKUP(1,AA8:AK11,7,FALSE)</f>
        <v>7 - 0</v>
      </c>
      <c r="P9" s="52">
        <f>L9*3+M9</f>
        <v>9</v>
      </c>
      <c r="R9" s="47">
        <f>DATE(2022,11,21)+TIME(2,0,0)+gmt_delta</f>
        <v>44886.666666666672</v>
      </c>
      <c r="S9" s="88" t="str">
        <f t="shared" si="3"/>
        <v>England_win</v>
      </c>
      <c r="T9" s="88" t="str">
        <f t="shared" si="4"/>
        <v>Iran_lose</v>
      </c>
      <c r="U9" s="48">
        <f t="shared" si="5"/>
        <v>0</v>
      </c>
      <c r="V9" s="47">
        <f t="shared" si="6"/>
        <v>0</v>
      </c>
      <c r="W9" s="47">
        <f t="shared" si="7"/>
        <v>0</v>
      </c>
      <c r="X9" s="47">
        <f t="shared" si="8"/>
        <v>0</v>
      </c>
      <c r="Y9" s="47">
        <f t="shared" si="9"/>
        <v>1</v>
      </c>
      <c r="AA9" s="47">
        <f>COUNTIF(AN8:AN11,CONCATENATE("&gt;=",AN9))</f>
        <v>3</v>
      </c>
      <c r="AB9" s="48" t="str">
        <f>VLOOKUP("Qatar",T,lang,FALSE)</f>
        <v>Qatar</v>
      </c>
      <c r="AC9" s="47">
        <f>COUNTIF($S$7:$T$54,"=" &amp; AB9 &amp; "_win")</f>
        <v>1</v>
      </c>
      <c r="AD9" s="47">
        <f>COUNTIF($S$7:$T$54,"=" &amp; AB9 &amp; "_draw")</f>
        <v>0</v>
      </c>
      <c r="AE9" s="47">
        <f>COUNTIF($S$7:$T$54,"=" &amp; AB9 &amp; "_lose")</f>
        <v>2</v>
      </c>
      <c r="AF9" s="47">
        <f>SUMIF($E$7:$E$54,$AB9,$F$7:$F$54) + SUMIF($H$7:$H$54,$AB9,$G$7:$G$54)</f>
        <v>1</v>
      </c>
      <c r="AG9" s="47">
        <f>SUMIF($E$7:$E$54,$AB9,$G$7:$G$54) + SUMIF($H$7:$H$54,$AB9,$F$7:$F$54)</f>
        <v>4</v>
      </c>
      <c r="AH9" s="47">
        <f>(AF9-AG9)*100+AK9*10000+AF9</f>
        <v>29701</v>
      </c>
      <c r="AI9" s="47">
        <f>AF9-AG9</f>
        <v>-3</v>
      </c>
      <c r="AJ9" s="47">
        <f>(AI9-AI13)/AI12</f>
        <v>0.15384615384615385</v>
      </c>
      <c r="AK9" s="47">
        <f>AC9*3+AD9</f>
        <v>3</v>
      </c>
      <c r="AL9" s="47">
        <f>AP9/AP12*1000+AQ9/AQ12*100+AT9/AT12*10+AR9/AR12</f>
        <v>0</v>
      </c>
      <c r="AM9" s="47">
        <f>VLOOKUP(AB9,db_fifarank,2,FALSE)/2000000</f>
        <v>7.205E-4</v>
      </c>
      <c r="AN9" s="48">
        <f>1000*AK9/AK12+100*AJ9+10*AF9/AF12+1*AL9/AL12+AM9</f>
        <v>316.63533588461536</v>
      </c>
      <c r="AO9" s="48" t="str">
        <f>IF(SUM(AC8:AE11)=12,J10,INDEX(T,71,lang))</f>
        <v>Senegal</v>
      </c>
      <c r="AP9" s="47">
        <f>SUMPRODUCT(($S$7:$S$54=AB9&amp;"_win")*($U$7:$U$54))+SUMPRODUCT(($T$7:$T$54=AB9&amp;"_win")*($U$7:$U$54))</f>
        <v>0</v>
      </c>
      <c r="AQ9" s="47">
        <f>SUMPRODUCT(($S$7:$S$54=AB9&amp;"_draw")*($U$7:$U$54))+SUMPRODUCT(($T$7:$T$54=AB9&amp;"_draw")*($U$7:$U$54))</f>
        <v>0</v>
      </c>
      <c r="AR9" s="47">
        <f>SUMPRODUCT(($E$7:$E$54=AB9)*($U$7:$U$54)*($F$7:$F$54))+SUMPRODUCT(($H$7:$H$54=AB9)*($U$7:$U$54)*($G$7:$G$54))</f>
        <v>0</v>
      </c>
      <c r="AS9" s="47">
        <f>SUMPRODUCT(($E$7:$E$54=AB9)*($U$7:$U$54)*($G$7:$G$54))+SUMPRODUCT(($H$7:$H$54=AB9)*($U$7:$U$54)*($F$7:$F$54))</f>
        <v>0</v>
      </c>
      <c r="AT9" s="47">
        <f>AR9-AS9</f>
        <v>0</v>
      </c>
      <c r="AY9" s="23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23"/>
      <c r="BA9" s="23"/>
      <c r="BB9" s="23"/>
      <c r="BC9" s="24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ht="15" customHeight="1" x14ac:dyDescent="0.25">
      <c r="A10" s="17">
        <v>4</v>
      </c>
      <c r="B10" s="18" t="str">
        <f t="shared" si="0"/>
        <v>Mon</v>
      </c>
      <c r="C10" s="19" t="str">
        <f t="shared" si="1"/>
        <v>Nov 21, 2022</v>
      </c>
      <c r="D10" s="20">
        <f t="shared" si="2"/>
        <v>0.91666666666666663</v>
      </c>
      <c r="E10" s="93" t="str">
        <f>AB16</f>
        <v>United States</v>
      </c>
      <c r="F10" s="21">
        <v>1</v>
      </c>
      <c r="G10" s="22">
        <v>1</v>
      </c>
      <c r="H10" s="90" t="str">
        <f>AB17</f>
        <v>Wales</v>
      </c>
      <c r="J10" s="53" t="str">
        <f>VLOOKUP(2,AA8:AK11,2,FALSE)</f>
        <v>Senegal</v>
      </c>
      <c r="K10" s="25">
        <f>L10+M10+N10</f>
        <v>3</v>
      </c>
      <c r="L10" s="25">
        <f>VLOOKUP(2,AA8:AK11,3,FALSE)</f>
        <v>2</v>
      </c>
      <c r="M10" s="25">
        <f>VLOOKUP(2,AA8:AK11,4,FALSE)</f>
        <v>0</v>
      </c>
      <c r="N10" s="25">
        <f>VLOOKUP(2,AA8:AK11,5,FALSE)</f>
        <v>1</v>
      </c>
      <c r="O10" s="25" t="str">
        <f>VLOOKUP(2,AA8:AK11,6,FALSE) &amp; " - " &amp; VLOOKUP(2,AA8:AK11,7,FALSE)</f>
        <v>4 - 3</v>
      </c>
      <c r="P10" s="54">
        <f>L10*3+M10</f>
        <v>6</v>
      </c>
      <c r="R10" s="47">
        <f>DATE(2022,11,21)+TIME(8,0,0)+gmt_delta</f>
        <v>44886.916666666672</v>
      </c>
      <c r="S10" s="88" t="str">
        <f t="shared" si="3"/>
        <v>United States_draw</v>
      </c>
      <c r="T10" s="88" t="str">
        <f t="shared" si="4"/>
        <v>Wales_draw</v>
      </c>
      <c r="U10" s="48">
        <f t="shared" si="5"/>
        <v>0</v>
      </c>
      <c r="V10" s="47">
        <f t="shared" si="6"/>
        <v>0</v>
      </c>
      <c r="W10" s="47">
        <f t="shared" si="7"/>
        <v>0</v>
      </c>
      <c r="X10" s="47">
        <f t="shared" si="8"/>
        <v>0</v>
      </c>
      <c r="Y10" s="47">
        <f t="shared" si="9"/>
        <v>0</v>
      </c>
      <c r="AA10" s="47">
        <f>COUNTIF(AN8:AN11,CONCATENATE("&gt;=",AN10))</f>
        <v>4</v>
      </c>
      <c r="AB10" s="48" t="str">
        <f>VLOOKUP("Ecuador",T,lang,FALSE)</f>
        <v>Ecuador</v>
      </c>
      <c r="AC10" s="47">
        <f>COUNTIF($S$7:$T$54,"=" &amp; AB10 &amp; "_win")</f>
        <v>0</v>
      </c>
      <c r="AD10" s="47">
        <f>COUNTIF($S$7:$T$54,"=" &amp; AB10 &amp; "_draw")</f>
        <v>0</v>
      </c>
      <c r="AE10" s="47">
        <f>COUNTIF($S$7:$T$54,"=" &amp; AB10 &amp; "_lose")</f>
        <v>3</v>
      </c>
      <c r="AF10" s="47">
        <f>SUMIF($E$7:$E$54,$AB10,$F$7:$F$54) + SUMIF($H$7:$H$54,$AB10,$G$7:$G$54)</f>
        <v>0</v>
      </c>
      <c r="AG10" s="47">
        <f>SUMIF($E$7:$E$54,$AB10,$G$7:$G$54) + SUMIF($H$7:$H$54,$AB10,$F$7:$F$54)</f>
        <v>5</v>
      </c>
      <c r="AH10" s="47">
        <f>(AF10-AG10)*100+AK10*10000+AF10</f>
        <v>-500</v>
      </c>
      <c r="AI10" s="47">
        <f>AF10-AG10</f>
        <v>-5</v>
      </c>
      <c r="AJ10" s="47">
        <f>(AI10-AI13)/AI12</f>
        <v>0</v>
      </c>
      <c r="AK10" s="47">
        <f>AC10*3+AD10</f>
        <v>0</v>
      </c>
      <c r="AL10" s="47">
        <f>AP10/AP12*1000+AQ10/AQ12*100+AT10/AT12*10+AR10/AR12</f>
        <v>0</v>
      </c>
      <c r="AM10" s="47">
        <f>VLOOKUP(AB10,db_fifarank,2,FALSE)/2000000</f>
        <v>7.2650000000000004E-4</v>
      </c>
      <c r="AN10" s="48">
        <f>1000*AK10/AK12+100*AJ10+10*AF10/AF12+1*AL10/AL12+AM10</f>
        <v>7.2650000000000004E-4</v>
      </c>
      <c r="AP10" s="47">
        <f>SUMPRODUCT(($S$7:$S$54=AB10&amp;"_win")*($U$7:$U$54))+SUMPRODUCT(($T$7:$T$54=AB10&amp;"_win")*($U$7:$U$54))</f>
        <v>0</v>
      </c>
      <c r="AQ10" s="47">
        <f>SUMPRODUCT(($S$7:$S$54=AB10&amp;"_draw")*($U$7:$U$54))+SUMPRODUCT(($T$7:$T$54=AB10&amp;"_draw")*($U$7:$U$54))</f>
        <v>0</v>
      </c>
      <c r="AR10" s="47">
        <f>SUMPRODUCT(($E$7:$E$54=AB10)*($U$7:$U$54)*($F$7:$F$54))+SUMPRODUCT(($H$7:$H$54=AB10)*($U$7:$U$54)*($G$7:$G$54))</f>
        <v>0</v>
      </c>
      <c r="AS10" s="47">
        <f>SUMPRODUCT(($E$7:$E$54=AB10)*($U$7:$U$54)*($G$7:$G$54))+SUMPRODUCT(($H$7:$H$54=AB10)*($U$7:$U$54)*($F$7:$F$54))</f>
        <v>0</v>
      </c>
      <c r="AT10" s="47">
        <f>AR10-AS10</f>
        <v>0</v>
      </c>
      <c r="AY10" s="124">
        <v>49</v>
      </c>
      <c r="AZ10" s="26" t="str">
        <f>AO8</f>
        <v>Netherlands</v>
      </c>
      <c r="BA10" s="84">
        <v>2</v>
      </c>
      <c r="BB10" s="86"/>
      <c r="BC10" s="27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ht="15" customHeight="1" x14ac:dyDescent="0.25">
      <c r="A11" s="17">
        <v>5</v>
      </c>
      <c r="B11" s="18" t="str">
        <f t="shared" si="0"/>
        <v>Tue</v>
      </c>
      <c r="C11" s="19" t="str">
        <f t="shared" si="1"/>
        <v>Nov 22, 2022</v>
      </c>
      <c r="D11" s="20">
        <f t="shared" si="2"/>
        <v>0.54166666666666663</v>
      </c>
      <c r="E11" s="93" t="str">
        <f>AB20</f>
        <v>Argentina</v>
      </c>
      <c r="F11" s="21">
        <v>4</v>
      </c>
      <c r="G11" s="22">
        <v>1</v>
      </c>
      <c r="H11" s="90" t="str">
        <f>AB21</f>
        <v>Saudi Arabia</v>
      </c>
      <c r="J11" s="53" t="str">
        <f>VLOOKUP(3,AA8:AK11,2,FALSE)</f>
        <v>Qatar</v>
      </c>
      <c r="K11" s="25">
        <f>L11+M11+N11</f>
        <v>3</v>
      </c>
      <c r="L11" s="25">
        <f>VLOOKUP(3,AA8:AK11,3,FALSE)</f>
        <v>1</v>
      </c>
      <c r="M11" s="25">
        <f>VLOOKUP(3,AA8:AK11,4,FALSE)</f>
        <v>0</v>
      </c>
      <c r="N11" s="25">
        <f>VLOOKUP(3,AA8:AK11,5,FALSE)</f>
        <v>2</v>
      </c>
      <c r="O11" s="25" t="str">
        <f>VLOOKUP(3,AA8:AK11,6,FALSE) &amp; " - " &amp; VLOOKUP(3,AA8:AK11,7,FALSE)</f>
        <v>1 - 4</v>
      </c>
      <c r="P11" s="54">
        <f>L11*3+M11</f>
        <v>3</v>
      </c>
      <c r="R11" s="47">
        <f>DATE(2022,11,21)+TIME(23,0,0)+gmt_delta</f>
        <v>44887.541666666672</v>
      </c>
      <c r="S11" s="88" t="str">
        <f t="shared" si="3"/>
        <v>Argentina_win</v>
      </c>
      <c r="T11" s="88" t="str">
        <f t="shared" si="4"/>
        <v>Saudi Arabia_lose</v>
      </c>
      <c r="U11" s="48">
        <f t="shared" si="5"/>
        <v>0</v>
      </c>
      <c r="V11" s="47">
        <f t="shared" si="6"/>
        <v>0</v>
      </c>
      <c r="W11" s="47">
        <f t="shared" si="7"/>
        <v>0</v>
      </c>
      <c r="X11" s="47">
        <f t="shared" si="8"/>
        <v>1</v>
      </c>
      <c r="Y11" s="47">
        <f t="shared" si="9"/>
        <v>1</v>
      </c>
      <c r="AA11" s="47">
        <f>COUNTIF(AN8:AN11,CONCATENATE("&gt;=",AN11))</f>
        <v>1</v>
      </c>
      <c r="AB11" s="48" t="str">
        <f>VLOOKUP("Netherlands",T,lang,FALSE)</f>
        <v>Netherlands</v>
      </c>
      <c r="AC11" s="47">
        <f>COUNTIF($S$7:$T$54,"=" &amp; AB11 &amp; "_win")</f>
        <v>3</v>
      </c>
      <c r="AD11" s="47">
        <f>COUNTIF($S$7:$T$54,"=" &amp; AB11 &amp; "_draw")</f>
        <v>0</v>
      </c>
      <c r="AE11" s="47">
        <f>COUNTIF($S$7:$T$54,"=" &amp; AB11 &amp; "_lose")</f>
        <v>0</v>
      </c>
      <c r="AF11" s="47">
        <f>SUMIF($E$7:$E$54,$AB11,$F$7:$F$54) + SUMIF($H$7:$H$54,$AB11,$G$7:$G$54)</f>
        <v>7</v>
      </c>
      <c r="AG11" s="47">
        <f>SUMIF($E$7:$E$54,$AB11,$G$7:$G$54) + SUMIF($H$7:$H$54,$AB11,$F$7:$F$54)</f>
        <v>0</v>
      </c>
      <c r="AH11" s="47">
        <f>(AF11-AG11)*100+AK11*10000+AF11</f>
        <v>90707</v>
      </c>
      <c r="AI11" s="47">
        <f>AF11-AG11</f>
        <v>7</v>
      </c>
      <c r="AJ11" s="47">
        <f>(AI11-AI13)/AI12</f>
        <v>0.92307692307692313</v>
      </c>
      <c r="AK11" s="47">
        <f>AC11*3+AD11</f>
        <v>9</v>
      </c>
      <c r="AL11" s="47">
        <f>AP11/AP12*1000+AQ11/AQ12*100+AT11/AT12*10+AR11/AR12</f>
        <v>0</v>
      </c>
      <c r="AM11" s="47">
        <f>VLOOKUP(AB11,db_fifarank,2,FALSE)/2000000</f>
        <v>8.2933000000000008E-4</v>
      </c>
      <c r="AN11" s="48">
        <f>1000*AK11/AK12+100*AJ11+10*AF11/AF12+1*AL11/AL12+AM11</f>
        <v>1001.0585216376923</v>
      </c>
      <c r="AP11" s="47">
        <f>SUMPRODUCT(($S$7:$S$54=AB11&amp;"_win")*($U$7:$U$54))+SUMPRODUCT(($T$7:$T$54=AB11&amp;"_win")*($U$7:$U$54))</f>
        <v>0</v>
      </c>
      <c r="AQ11" s="47">
        <f>SUMPRODUCT(($S$7:$S$54=AB11&amp;"_draw")*($U$7:$U$54))+SUMPRODUCT(($T$7:$T$54=AB11&amp;"_draw")*($U$7:$U$54))</f>
        <v>0</v>
      </c>
      <c r="AR11" s="47">
        <f>SUMPRODUCT(($E$7:$E$54=AB11)*($U$7:$U$54)*($F$7:$F$54))+SUMPRODUCT(($H$7:$H$54=AB11)*($U$7:$U$54)*($G$7:$G$54))</f>
        <v>0</v>
      </c>
      <c r="AS11" s="47">
        <f>SUMPRODUCT(($E$7:$E$54=AB11)*($U$7:$U$54)*($G$7:$G$54))+SUMPRODUCT(($H$7:$H$54=AB11)*($U$7:$U$54)*($F$7:$F$54))</f>
        <v>0</v>
      </c>
      <c r="AT11" s="47">
        <f>AR11-AS11</f>
        <v>0</v>
      </c>
      <c r="AY11" s="125"/>
      <c r="AZ11" s="28" t="str">
        <f>AO15</f>
        <v>United States</v>
      </c>
      <c r="BA11" s="85">
        <v>0</v>
      </c>
      <c r="BB11" s="87"/>
      <c r="BC11" s="30"/>
      <c r="BD11" s="31"/>
      <c r="BE11" s="23"/>
      <c r="BF11" s="23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23"/>
      <c r="BH11" s="23"/>
      <c r="BI11" s="23"/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6" ht="15" customHeight="1" x14ac:dyDescent="0.25">
      <c r="A12" s="17">
        <v>6</v>
      </c>
      <c r="B12" s="18" t="str">
        <f t="shared" si="0"/>
        <v>Tue</v>
      </c>
      <c r="C12" s="19" t="str">
        <f t="shared" si="1"/>
        <v>Nov 22, 2022</v>
      </c>
      <c r="D12" s="20">
        <f t="shared" si="2"/>
        <v>0.66666666666666663</v>
      </c>
      <c r="E12" s="93" t="str">
        <f>AB28</f>
        <v>Denmark</v>
      </c>
      <c r="F12" s="21">
        <v>2</v>
      </c>
      <c r="G12" s="22">
        <v>1</v>
      </c>
      <c r="H12" s="90" t="str">
        <f>AB29</f>
        <v>Tunisia</v>
      </c>
      <c r="J12" s="55" t="str">
        <f>VLOOKUP(4,AA8:AK11,2,FALSE)</f>
        <v>Ecuador</v>
      </c>
      <c r="K12" s="56">
        <f>L12+M12+N12</f>
        <v>3</v>
      </c>
      <c r="L12" s="56">
        <f>VLOOKUP(4,AA8:AK11,3,FALSE)</f>
        <v>0</v>
      </c>
      <c r="M12" s="56">
        <f>VLOOKUP(4,AA8:AK11,4,FALSE)</f>
        <v>0</v>
      </c>
      <c r="N12" s="56">
        <f>VLOOKUP(4,AA8:AK11,5,FALSE)</f>
        <v>3</v>
      </c>
      <c r="O12" s="56" t="str">
        <f>VLOOKUP(4,AA8:AK11,6,FALSE) &amp; " - " &amp; VLOOKUP(4,AA8:AK11,7,FALSE)</f>
        <v>0 - 5</v>
      </c>
      <c r="P12" s="57">
        <f>L12*3+M12</f>
        <v>0</v>
      </c>
      <c r="R12" s="47">
        <f>DATE(2022,11,22)+TIME(2,0,0)+gmt_delta</f>
        <v>44887.666666666672</v>
      </c>
      <c r="S12" s="88" t="str">
        <f t="shared" si="3"/>
        <v>Denmark_win</v>
      </c>
      <c r="T12" s="88" t="str">
        <f t="shared" si="4"/>
        <v>Tunisia_lose</v>
      </c>
      <c r="U12" s="48">
        <f t="shared" si="5"/>
        <v>0</v>
      </c>
      <c r="V12" s="47">
        <f t="shared" si="6"/>
        <v>0</v>
      </c>
      <c r="W12" s="47">
        <f t="shared" si="7"/>
        <v>0</v>
      </c>
      <c r="X12" s="47">
        <f t="shared" si="8"/>
        <v>0</v>
      </c>
      <c r="Y12" s="47">
        <f t="shared" si="9"/>
        <v>1</v>
      </c>
      <c r="AC12" s="47">
        <f t="shared" ref="AC12:AL12" si="10">MAX(AC8:AC11)-MIN(AC8:AC11)+1</f>
        <v>4</v>
      </c>
      <c r="AD12" s="47">
        <f t="shared" si="10"/>
        <v>1</v>
      </c>
      <c r="AE12" s="47">
        <f t="shared" si="10"/>
        <v>4</v>
      </c>
      <c r="AF12" s="47">
        <f t="shared" si="10"/>
        <v>8</v>
      </c>
      <c r="AG12" s="47">
        <f t="shared" si="10"/>
        <v>6</v>
      </c>
      <c r="AH12" s="47">
        <f>MAX(AH8:AH11)-AH13+1</f>
        <v>91208</v>
      </c>
      <c r="AI12" s="47">
        <f>MAX(AI8:AI11)-AI13+1</f>
        <v>13</v>
      </c>
      <c r="AK12" s="47">
        <f t="shared" si="10"/>
        <v>10</v>
      </c>
      <c r="AL12" s="47">
        <f t="shared" si="10"/>
        <v>1</v>
      </c>
      <c r="AP12" s="47">
        <f>MAX(AP8:AP11)-MIN(AP8:AP11)+1</f>
        <v>1</v>
      </c>
      <c r="AQ12" s="47">
        <f>MAX(AQ8:AQ11)-MIN(AQ8:AQ11)+1</f>
        <v>1</v>
      </c>
      <c r="AR12" s="47">
        <f>MAX(AR8:AR11)-MIN(AR8:AR11)+1</f>
        <v>1</v>
      </c>
      <c r="AS12" s="47">
        <f>MAX(AS8:AS11)-MIN(AS8:AS11)+1</f>
        <v>1</v>
      </c>
      <c r="AT12" s="47">
        <f>MAX(AT8:AT11)-MIN(AT8:AT11)+1</f>
        <v>1</v>
      </c>
      <c r="AY12" s="23"/>
      <c r="AZ12" s="23"/>
      <c r="BA12" s="23"/>
      <c r="BB12" s="23"/>
      <c r="BC12" s="23"/>
      <c r="BD12" s="33"/>
      <c r="BE12" s="23"/>
      <c r="BF12" s="124">
        <v>57</v>
      </c>
      <c r="BG12" s="26" t="str">
        <f>T58</f>
        <v>Netherlands</v>
      </c>
      <c r="BH12" s="84">
        <v>1</v>
      </c>
      <c r="BI12" s="86"/>
      <c r="BJ12" s="27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ht="15" customHeight="1" x14ac:dyDescent="0.25">
      <c r="A13" s="17">
        <v>7</v>
      </c>
      <c r="B13" s="18" t="str">
        <f t="shared" si="0"/>
        <v>Tue</v>
      </c>
      <c r="C13" s="19" t="str">
        <f t="shared" si="1"/>
        <v>Nov 22, 2022</v>
      </c>
      <c r="D13" s="20">
        <f t="shared" si="2"/>
        <v>0.79166666666666663</v>
      </c>
      <c r="E13" s="93" t="str">
        <f>AB22</f>
        <v>Mexico</v>
      </c>
      <c r="F13" s="21">
        <v>0</v>
      </c>
      <c r="G13" s="22">
        <v>1</v>
      </c>
      <c r="H13" s="90" t="str">
        <f>AB23</f>
        <v>Poland</v>
      </c>
      <c r="R13" s="47">
        <f>DATE(2022,11,22)+TIME(5,0,0)+gmt_delta</f>
        <v>44887.791666666672</v>
      </c>
      <c r="S13" s="88" t="str">
        <f t="shared" si="3"/>
        <v>Mexico_lose</v>
      </c>
      <c r="T13" s="88" t="str">
        <f t="shared" si="4"/>
        <v>Poland_win</v>
      </c>
      <c r="U13" s="48">
        <f t="shared" si="5"/>
        <v>0</v>
      </c>
      <c r="V13" s="47">
        <f t="shared" si="6"/>
        <v>0</v>
      </c>
      <c r="W13" s="47">
        <f t="shared" si="7"/>
        <v>0</v>
      </c>
      <c r="X13" s="47">
        <f t="shared" si="8"/>
        <v>0</v>
      </c>
      <c r="Y13" s="47">
        <f t="shared" si="9"/>
        <v>-1</v>
      </c>
      <c r="AH13" s="47">
        <f>MIN(AH8:AH11)</f>
        <v>-500</v>
      </c>
      <c r="AI13" s="47">
        <f>MIN(AI8:AI11)</f>
        <v>-5</v>
      </c>
      <c r="AY13" s="23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23"/>
      <c r="BA13" s="23"/>
      <c r="BB13" s="23"/>
      <c r="BC13" s="32"/>
      <c r="BD13" s="33"/>
      <c r="BE13" s="34"/>
      <c r="BF13" s="125"/>
      <c r="BG13" s="28" t="str">
        <f>T59</f>
        <v>Argentina</v>
      </c>
      <c r="BH13" s="85">
        <v>0</v>
      </c>
      <c r="BI13" s="87"/>
      <c r="BJ13" s="30"/>
      <c r="BK13" s="31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ht="15" customHeight="1" x14ac:dyDescent="0.25">
      <c r="A14" s="17">
        <v>8</v>
      </c>
      <c r="B14" s="18" t="str">
        <f t="shared" si="0"/>
        <v>Tue</v>
      </c>
      <c r="C14" s="19" t="str">
        <f t="shared" si="1"/>
        <v>Nov 22, 2022</v>
      </c>
      <c r="D14" s="20">
        <f t="shared" si="2"/>
        <v>0.91666666666666663</v>
      </c>
      <c r="E14" s="93" t="str">
        <f>AB26</f>
        <v>France</v>
      </c>
      <c r="F14" s="21">
        <v>2</v>
      </c>
      <c r="G14" s="22">
        <v>0</v>
      </c>
      <c r="H14" s="90" t="str">
        <f>AB27</f>
        <v>Australia</v>
      </c>
      <c r="J14" s="58" t="str">
        <f>INDEX(T,9,lang) &amp; " " &amp; "B"</f>
        <v>Group B</v>
      </c>
      <c r="K14" s="59" t="str">
        <f>INDEX(T,10,lang)</f>
        <v>PL</v>
      </c>
      <c r="L14" s="59" t="str">
        <f>INDEX(T,11,lang)</f>
        <v>W</v>
      </c>
      <c r="M14" s="59" t="str">
        <f>INDEX(T,12,lang)</f>
        <v>DRAW</v>
      </c>
      <c r="N14" s="59" t="str">
        <f>INDEX(T,13,lang)</f>
        <v>L</v>
      </c>
      <c r="O14" s="59" t="str">
        <f>INDEX(T,14,lang)</f>
        <v>GF - GA</v>
      </c>
      <c r="P14" s="60" t="str">
        <f>INDEX(T,15,lang)</f>
        <v>PNT</v>
      </c>
      <c r="R14" s="47">
        <f>DATE(2022,11,22)+TIME(8,0,0)+gmt_delta</f>
        <v>44887.916666666672</v>
      </c>
      <c r="S14" s="88" t="str">
        <f t="shared" si="3"/>
        <v>France_win</v>
      </c>
      <c r="T14" s="88" t="str">
        <f t="shared" si="4"/>
        <v>Australia_lose</v>
      </c>
      <c r="U14" s="48">
        <f t="shared" si="5"/>
        <v>0</v>
      </c>
      <c r="V14" s="47">
        <f t="shared" si="6"/>
        <v>0</v>
      </c>
      <c r="W14" s="47">
        <f t="shared" si="7"/>
        <v>0</v>
      </c>
      <c r="X14" s="47">
        <f t="shared" si="8"/>
        <v>0</v>
      </c>
      <c r="Y14" s="47">
        <f t="shared" si="9"/>
        <v>1</v>
      </c>
      <c r="AA14" s="47">
        <f>COUNTIF(AN14:AN17,CONCATENATE("&gt;=",AN14))</f>
        <v>1</v>
      </c>
      <c r="AB14" s="48" t="str">
        <f>VLOOKUP("England",T,lang,FALSE)</f>
        <v>England</v>
      </c>
      <c r="AC14" s="47">
        <f>COUNTIF($S$7:$T$54,"=" &amp; AB14 &amp; "_win")</f>
        <v>3</v>
      </c>
      <c r="AD14" s="47">
        <f>COUNTIF($S$7:$T$54,"=" &amp; AB14 &amp; "_draw")</f>
        <v>0</v>
      </c>
      <c r="AE14" s="47">
        <f>COUNTIF($S$7:$T$54,"=" &amp; AB14 &amp; "_lose")</f>
        <v>0</v>
      </c>
      <c r="AF14" s="47">
        <f>SUMIF($E$7:$E$54,$AB14,$F$7:$F$54) + SUMIF($H$7:$H$54,$AB14,$G$7:$G$54)</f>
        <v>7</v>
      </c>
      <c r="AG14" s="47">
        <f>SUMIF($E$7:$E$54,$AB14,$G$7:$G$54) + SUMIF($H$7:$H$54,$AB14,$F$7:$F$54)</f>
        <v>2</v>
      </c>
      <c r="AH14" s="47">
        <f>(AF14-AG14)*100+AK14*10000+AF14</f>
        <v>90507</v>
      </c>
      <c r="AI14" s="47">
        <f>AF14-AG14</f>
        <v>5</v>
      </c>
      <c r="AJ14" s="47">
        <f>(AI14-AI19)/AI18</f>
        <v>0.88888888888888884</v>
      </c>
      <c r="AK14" s="47">
        <f>AC14*3+AD14</f>
        <v>9</v>
      </c>
      <c r="AL14" s="47">
        <f>AP14/AP18*1000+AQ14/AQ18*100+AT14/AT18*10+AR14/AR18</f>
        <v>0</v>
      </c>
      <c r="AM14" s="47">
        <f>VLOOKUP(AB14,db_fifarank,2,FALSE)/2000000</f>
        <v>8.8099999999999995E-4</v>
      </c>
      <c r="AN14" s="48">
        <f>1000*AK14/AK18+100*AJ14+10*AF14/AF18+1*AL14/AL18+AM14</f>
        <v>1100.5564365555556</v>
      </c>
      <c r="AO14" s="48" t="str">
        <f>IF(SUM(AC14:AE17)=12,J15,INDEX(T,72,lang))</f>
        <v>England</v>
      </c>
      <c r="AP14" s="47">
        <f>SUMPRODUCT(($S$7:$S$54=AB14&amp;"_win")*($U$7:$U$54))+SUMPRODUCT(($T$7:$T$54=AB14&amp;"_win")*($U$7:$U$54))</f>
        <v>0</v>
      </c>
      <c r="AQ14" s="47">
        <f>SUMPRODUCT(($S$7:$S$54=AB14&amp;"_draw")*($U$7:$U$54))+SUMPRODUCT(($T$7:$T$54=AB14&amp;"_draw")*($U$7:$U$54))</f>
        <v>0</v>
      </c>
      <c r="AR14" s="47">
        <f>SUMPRODUCT(($E$7:$E$54=AB14)*($U$7:$U$54)*($F$7:$F$54))+SUMPRODUCT(($H$7:$H$54=AB14)*($U$7:$U$54)*($G$7:$G$54))</f>
        <v>0</v>
      </c>
      <c r="AS14" s="47">
        <f>SUMPRODUCT(($E$7:$E$54=AB14)*($U$7:$U$54)*($G$7:$G$54))+SUMPRODUCT(($H$7:$H$54=AB14)*($U$7:$U$54)*($F$7:$F$54))</f>
        <v>0</v>
      </c>
      <c r="AT14" s="47">
        <f>AR14-AS14</f>
        <v>0</v>
      </c>
      <c r="AY14" s="124">
        <v>50</v>
      </c>
      <c r="AZ14" s="26" t="str">
        <f>AO20</f>
        <v>Argentina</v>
      </c>
      <c r="BA14" s="84">
        <v>1</v>
      </c>
      <c r="BB14" s="86"/>
      <c r="BC14" s="27"/>
      <c r="BD14" s="35"/>
      <c r="BE14" s="23"/>
      <c r="BF14" s="23"/>
      <c r="BG14" s="23"/>
      <c r="BH14" s="23"/>
      <c r="BI14" s="23"/>
      <c r="BJ14" s="23"/>
      <c r="BK14" s="33"/>
      <c r="BL14" s="23"/>
      <c r="BM14" s="23"/>
      <c r="BN14" s="23"/>
      <c r="BO14" s="23"/>
      <c r="BP14" s="23"/>
      <c r="BQ14" s="32"/>
      <c r="BR14" s="23"/>
      <c r="BS14" s="23"/>
      <c r="BT14" s="23"/>
      <c r="BU14" s="23"/>
      <c r="BV14" s="23"/>
      <c r="BW14" s="23"/>
      <c r="BX14" s="23"/>
    </row>
    <row r="15" spans="1:76" ht="15" customHeight="1" x14ac:dyDescent="0.25">
      <c r="A15" s="17">
        <v>9</v>
      </c>
      <c r="B15" s="18" t="str">
        <f t="shared" si="0"/>
        <v>Wed</v>
      </c>
      <c r="C15" s="19" t="str">
        <f t="shared" si="1"/>
        <v>Nov 23, 2022</v>
      </c>
      <c r="D15" s="20">
        <f t="shared" si="2"/>
        <v>0.54166666666666663</v>
      </c>
      <c r="E15" s="93" t="str">
        <f>AB40</f>
        <v>Morocco</v>
      </c>
      <c r="F15" s="21">
        <v>1</v>
      </c>
      <c r="G15" s="22">
        <v>2</v>
      </c>
      <c r="H15" s="90" t="str">
        <f>AB41</f>
        <v>Croatia</v>
      </c>
      <c r="J15" s="50" t="str">
        <f>VLOOKUP(1,AA14:AK17,2,FALSE)</f>
        <v>England</v>
      </c>
      <c r="K15" s="51">
        <f>L15+M15+N15</f>
        <v>3</v>
      </c>
      <c r="L15" s="51">
        <f>VLOOKUP(1,AA14:AK17,3,FALSE)</f>
        <v>3</v>
      </c>
      <c r="M15" s="51">
        <f>VLOOKUP(1,AA14:AK17,4,FALSE)</f>
        <v>0</v>
      </c>
      <c r="N15" s="51">
        <f>VLOOKUP(1,AA14:AK17,5,FALSE)</f>
        <v>0</v>
      </c>
      <c r="O15" s="51" t="str">
        <f>VLOOKUP(1,AA14:AK17,6,FALSE) &amp; " - " &amp; VLOOKUP(1,AA14:AK17,7,FALSE)</f>
        <v>7 - 2</v>
      </c>
      <c r="P15" s="52">
        <f>L15*3+M15</f>
        <v>9</v>
      </c>
      <c r="R15" s="47">
        <f>DATE(2022,11,22)+TIME(23,0,0)+gmt_delta</f>
        <v>44888.541666666672</v>
      </c>
      <c r="S15" s="88" t="str">
        <f t="shared" si="3"/>
        <v>Morocco_lose</v>
      </c>
      <c r="T15" s="88" t="str">
        <f t="shared" si="4"/>
        <v>Croatia_win</v>
      </c>
      <c r="U15" s="48">
        <f t="shared" si="5"/>
        <v>0</v>
      </c>
      <c r="V15" s="47">
        <f t="shared" si="6"/>
        <v>0</v>
      </c>
      <c r="W15" s="47">
        <f t="shared" si="7"/>
        <v>0</v>
      </c>
      <c r="X15" s="47">
        <f t="shared" si="8"/>
        <v>0</v>
      </c>
      <c r="Y15" s="47">
        <f t="shared" si="9"/>
        <v>-1</v>
      </c>
      <c r="AA15" s="47">
        <f>COUNTIF(AN14:AN17,CONCATENATE("&gt;=",AN15))</f>
        <v>4</v>
      </c>
      <c r="AB15" s="48" t="str">
        <f>VLOOKUP("Iran",T,lang,FALSE)</f>
        <v>Iran</v>
      </c>
      <c r="AC15" s="47">
        <f>COUNTIF($S$7:$T$54,"=" &amp; AB15 &amp; "_win")</f>
        <v>0</v>
      </c>
      <c r="AD15" s="47">
        <f>COUNTIF($S$7:$T$54,"=" &amp; AB15 &amp; "_draw")</f>
        <v>1</v>
      </c>
      <c r="AE15" s="47">
        <f>COUNTIF($S$7:$T$54,"=" &amp; AB15 &amp; "_lose")</f>
        <v>2</v>
      </c>
      <c r="AF15" s="47">
        <f>SUMIF($E$7:$E$54,$AB15,$F$7:$F$54) + SUMIF($H$7:$H$54,$AB15,$G$7:$G$54)</f>
        <v>2</v>
      </c>
      <c r="AG15" s="47">
        <f>SUMIF($E$7:$E$54,$AB15,$G$7:$G$54) + SUMIF($H$7:$H$54,$AB15,$F$7:$F$54)</f>
        <v>5</v>
      </c>
      <c r="AH15" s="47">
        <f>(AF15-AG15)*100+AK15*10000+AF15</f>
        <v>9702</v>
      </c>
      <c r="AI15" s="47">
        <f>AF15-AG15</f>
        <v>-3</v>
      </c>
      <c r="AJ15" s="47">
        <f>(AI15-AI19)/AI18</f>
        <v>0</v>
      </c>
      <c r="AK15" s="47">
        <f>AC15*3+AD15</f>
        <v>1</v>
      </c>
      <c r="AL15" s="47">
        <f>AP15/AP18*1000+AQ15/AQ18*100+AT15/AT18*10+AR15/AR18</f>
        <v>0</v>
      </c>
      <c r="AM15" s="47">
        <f>VLOOKUP(AB15,db_fifarank,2,FALSE)/2000000</f>
        <v>7.8200000000000003E-4</v>
      </c>
      <c r="AN15" s="48">
        <f>1000*AK15/AK18+100*AJ15+10*AF15/AF18+1*AL15/AL18+AM15</f>
        <v>114.44522644444444</v>
      </c>
      <c r="AO15" s="48" t="str">
        <f>IF(SUM(AC14:AE17)=12,J16,INDEX(T,73,lang))</f>
        <v>United States</v>
      </c>
      <c r="AP15" s="47">
        <f>SUMPRODUCT(($S$7:$S$54=AB15&amp;"_win")*($U$7:$U$54))+SUMPRODUCT(($T$7:$T$54=AB15&amp;"_win")*($U$7:$U$54))</f>
        <v>0</v>
      </c>
      <c r="AQ15" s="47">
        <f>SUMPRODUCT(($S$7:$S$54=AB15&amp;"_draw")*($U$7:$U$54))+SUMPRODUCT(($T$7:$T$54=AB15&amp;"_draw")*($U$7:$U$54))</f>
        <v>0</v>
      </c>
      <c r="AR15" s="47">
        <f>SUMPRODUCT(($E$7:$E$54=AB15)*($U$7:$U$54)*($F$7:$F$54))+SUMPRODUCT(($H$7:$H$54=AB15)*($U$7:$U$54)*($G$7:$G$54))</f>
        <v>0</v>
      </c>
      <c r="AS15" s="47">
        <f>SUMPRODUCT(($E$7:$E$54=AB15)*($U$7:$U$54)*($G$7:$G$54))+SUMPRODUCT(($H$7:$H$54=AB15)*($U$7:$U$54)*($F$7:$F$54))</f>
        <v>0</v>
      </c>
      <c r="AT15" s="47">
        <f>AR15-AS15</f>
        <v>0</v>
      </c>
      <c r="AY15" s="125"/>
      <c r="AZ15" s="28" t="str">
        <f>AO27</f>
        <v>Denmark</v>
      </c>
      <c r="BA15" s="85">
        <v>0</v>
      </c>
      <c r="BB15" s="87"/>
      <c r="BC15" s="30"/>
      <c r="BD15" s="23"/>
      <c r="BE15" s="23"/>
      <c r="BF15" s="23"/>
      <c r="BG15" s="23"/>
      <c r="BH15" s="23"/>
      <c r="BI15" s="23"/>
      <c r="BJ15" s="23"/>
      <c r="BK15" s="33"/>
      <c r="BL15" s="23"/>
      <c r="BM15" s="23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23"/>
      <c r="BO15" s="23"/>
      <c r="BP15" s="23"/>
      <c r="BQ15" s="32"/>
      <c r="BR15" s="23"/>
      <c r="BS15" s="23"/>
      <c r="BT15" s="23"/>
      <c r="BU15" s="23"/>
      <c r="BV15" s="23"/>
      <c r="BW15" s="23"/>
      <c r="BX15" s="23"/>
    </row>
    <row r="16" spans="1:76" ht="15" customHeight="1" x14ac:dyDescent="0.25">
      <c r="A16" s="17">
        <v>10</v>
      </c>
      <c r="B16" s="18" t="str">
        <f t="shared" si="0"/>
        <v>Wed</v>
      </c>
      <c r="C16" s="19" t="str">
        <f t="shared" si="1"/>
        <v>Nov 23, 2022</v>
      </c>
      <c r="D16" s="20">
        <f t="shared" si="2"/>
        <v>0.66666666666666663</v>
      </c>
      <c r="E16" s="93" t="str">
        <f>AB34</f>
        <v>Germany</v>
      </c>
      <c r="F16" s="21">
        <v>2</v>
      </c>
      <c r="G16" s="22">
        <v>0</v>
      </c>
      <c r="H16" s="90" t="str">
        <f>AB35</f>
        <v>Japan</v>
      </c>
      <c r="J16" s="53" t="str">
        <f>VLOOKUP(2,AA14:AK17,2,FALSE)</f>
        <v>United States</v>
      </c>
      <c r="K16" s="25">
        <f>L16+M16+N16</f>
        <v>3</v>
      </c>
      <c r="L16" s="25">
        <f>VLOOKUP(2,AA14:AK17,3,FALSE)</f>
        <v>1</v>
      </c>
      <c r="M16" s="25">
        <f>VLOOKUP(2,AA14:AK17,4,FALSE)</f>
        <v>1</v>
      </c>
      <c r="N16" s="25">
        <f>VLOOKUP(2,AA14:AK17,5,FALSE)</f>
        <v>1</v>
      </c>
      <c r="O16" s="25" t="str">
        <f>VLOOKUP(2,AA14:AK17,6,FALSE) &amp; " - " &amp; VLOOKUP(2,AA14:AK17,7,FALSE)</f>
        <v>4 - 4</v>
      </c>
      <c r="P16" s="54">
        <f>L16*3+M16</f>
        <v>4</v>
      </c>
      <c r="R16" s="47">
        <f>DATE(2022,11,23)+TIME(2,0,0)+gmt_delta</f>
        <v>44888.666666666672</v>
      </c>
      <c r="S16" s="88" t="str">
        <f t="shared" si="3"/>
        <v>Germany_win</v>
      </c>
      <c r="T16" s="88" t="str">
        <f t="shared" si="4"/>
        <v>Japan_lose</v>
      </c>
      <c r="U16" s="48">
        <f t="shared" si="5"/>
        <v>0</v>
      </c>
      <c r="V16" s="47">
        <f t="shared" si="6"/>
        <v>0</v>
      </c>
      <c r="W16" s="47">
        <f t="shared" si="7"/>
        <v>0</v>
      </c>
      <c r="X16" s="47">
        <f t="shared" si="8"/>
        <v>0</v>
      </c>
      <c r="Y16" s="47">
        <f t="shared" si="9"/>
        <v>1</v>
      </c>
      <c r="AA16" s="47">
        <f>COUNTIF(AN14:AN17,CONCATENATE("&gt;=",AN16))</f>
        <v>2</v>
      </c>
      <c r="AB16" s="48" t="str">
        <f>VLOOKUP("United States",T,lang,FALSE)</f>
        <v>United States</v>
      </c>
      <c r="AC16" s="47">
        <f>COUNTIF($S$7:$T$54,"=" &amp; AB16 &amp; "_win")</f>
        <v>1</v>
      </c>
      <c r="AD16" s="47">
        <f>COUNTIF($S$7:$T$54,"=" &amp; AB16 &amp; "_draw")</f>
        <v>1</v>
      </c>
      <c r="AE16" s="47">
        <f>COUNTIF($S$7:$T$54,"=" &amp; AB16 &amp; "_lose")</f>
        <v>1</v>
      </c>
      <c r="AF16" s="47">
        <f>SUMIF($E$7:$E$54,$AB16,$F$7:$F$54) + SUMIF($H$7:$H$54,$AB16,$G$7:$G$54)</f>
        <v>4</v>
      </c>
      <c r="AG16" s="47">
        <f>SUMIF($E$7:$E$54,$AB16,$G$7:$G$54) + SUMIF($H$7:$H$54,$AB16,$F$7:$F$54)</f>
        <v>4</v>
      </c>
      <c r="AH16" s="47">
        <f>(AF16-AG16)*100+AK16*10000+AF16</f>
        <v>40004</v>
      </c>
      <c r="AI16" s="47">
        <f>AF16-AG16</f>
        <v>0</v>
      </c>
      <c r="AJ16" s="47">
        <f>(AI16-AI19)/AI18</f>
        <v>0.33333333333333331</v>
      </c>
      <c r="AK16" s="47">
        <f>AC16*3+AD16</f>
        <v>4</v>
      </c>
      <c r="AL16" s="47">
        <f>AP16/AP18*1000+AQ16/AQ18*100+AT16/AT18*10+AR16/AR18</f>
        <v>0</v>
      </c>
      <c r="AM16" s="47">
        <f>VLOOKUP(AB16,db_fifarank,2,FALSE)/2000000</f>
        <v>8.1685999999999998E-4</v>
      </c>
      <c r="AN16" s="48">
        <f>1000*AK16/AK18+100*AJ16+10*AF16/AF18+1*AL16/AL18+AM16</f>
        <v>484.44526130444444</v>
      </c>
      <c r="AP16" s="47">
        <f>SUMPRODUCT(($S$7:$S$54=AB16&amp;"_win")*($U$7:$U$54))+SUMPRODUCT(($T$7:$T$54=AB16&amp;"_win")*($U$7:$U$54))</f>
        <v>0</v>
      </c>
      <c r="AQ16" s="47">
        <f>SUMPRODUCT(($S$7:$S$54=AB16&amp;"_draw")*($U$7:$U$54))+SUMPRODUCT(($T$7:$T$54=AB16&amp;"_draw")*($U$7:$U$54))</f>
        <v>0</v>
      </c>
      <c r="AR16" s="47">
        <f>SUMPRODUCT(($E$7:$E$54=AB16)*($U$7:$U$54)*($F$7:$F$54))+SUMPRODUCT(($H$7:$H$54=AB16)*($U$7:$U$54)*($G$7:$G$54))</f>
        <v>0</v>
      </c>
      <c r="AS16" s="47">
        <f>SUMPRODUCT(($E$7:$E$54=AB16)*($U$7:$U$54)*($G$7:$G$54))+SUMPRODUCT(($H$7:$H$54=AB16)*($U$7:$U$54)*($F$7:$F$54))</f>
        <v>0</v>
      </c>
      <c r="AT16" s="47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3"/>
      <c r="BL16" s="23"/>
      <c r="BM16" s="124">
        <v>61</v>
      </c>
      <c r="BN16" s="26" t="str">
        <f>T69</f>
        <v>Netherlands</v>
      </c>
      <c r="BO16" s="84">
        <v>1</v>
      </c>
      <c r="BP16" s="86"/>
      <c r="BQ16" s="27"/>
      <c r="BR16" s="23"/>
      <c r="BS16" s="23"/>
      <c r="BT16" s="23"/>
      <c r="BU16" s="23"/>
      <c r="BV16" s="23"/>
      <c r="BW16" s="23"/>
      <c r="BX16" s="23"/>
    </row>
    <row r="17" spans="1:76" ht="15" customHeight="1" x14ac:dyDescent="0.25">
      <c r="A17" s="17">
        <v>11</v>
      </c>
      <c r="B17" s="18" t="str">
        <f t="shared" si="0"/>
        <v>Wed</v>
      </c>
      <c r="C17" s="19" t="str">
        <f t="shared" si="1"/>
        <v>Nov 23, 2022</v>
      </c>
      <c r="D17" s="20">
        <f t="shared" si="2"/>
        <v>0.79166666666666663</v>
      </c>
      <c r="E17" s="93" t="str">
        <f>AB32</f>
        <v>Spain</v>
      </c>
      <c r="F17" s="21">
        <v>1</v>
      </c>
      <c r="G17" s="22">
        <v>0</v>
      </c>
      <c r="H17" s="90" t="str">
        <f>AB33</f>
        <v>Costa Rica</v>
      </c>
      <c r="J17" s="53" t="str">
        <f>VLOOKUP(3,AA14:AK17,2,FALSE)</f>
        <v>Wales</v>
      </c>
      <c r="K17" s="25">
        <f>L17+M17+N17</f>
        <v>3</v>
      </c>
      <c r="L17" s="25">
        <f>VLOOKUP(3,AA14:AK17,3,FALSE)</f>
        <v>0</v>
      </c>
      <c r="M17" s="25">
        <f>VLOOKUP(3,AA14:AK17,4,FALSE)</f>
        <v>2</v>
      </c>
      <c r="N17" s="25">
        <f>VLOOKUP(3,AA14:AK17,5,FALSE)</f>
        <v>1</v>
      </c>
      <c r="O17" s="25" t="str">
        <f>VLOOKUP(3,AA14:AK17,6,FALSE) &amp; " - " &amp; VLOOKUP(3,AA14:AK17,7,FALSE)</f>
        <v>3 - 5</v>
      </c>
      <c r="P17" s="54">
        <f>L17*3+M17</f>
        <v>2</v>
      </c>
      <c r="R17" s="47">
        <f>DATE(2022,11,23)+TIME(5,0,0)+gmt_delta</f>
        <v>44888.791666666672</v>
      </c>
      <c r="S17" s="88" t="str">
        <f t="shared" si="3"/>
        <v>Spain_win</v>
      </c>
      <c r="T17" s="88" t="str">
        <f t="shared" si="4"/>
        <v>Costa Rica_lose</v>
      </c>
      <c r="U17" s="48">
        <f t="shared" si="5"/>
        <v>0</v>
      </c>
      <c r="V17" s="47">
        <f t="shared" si="6"/>
        <v>0</v>
      </c>
      <c r="W17" s="47">
        <f t="shared" si="7"/>
        <v>0</v>
      </c>
      <c r="X17" s="47">
        <f t="shared" si="8"/>
        <v>0</v>
      </c>
      <c r="Y17" s="47">
        <f t="shared" si="9"/>
        <v>1</v>
      </c>
      <c r="AA17" s="47">
        <f>COUNTIF(AN14:AN17,CONCATENATE("&gt;=",AN17))</f>
        <v>3</v>
      </c>
      <c r="AB17" s="48" t="str">
        <f>VLOOKUP("Wales",T,lang,FALSE)</f>
        <v>Wales</v>
      </c>
      <c r="AC17" s="47">
        <f>COUNTIF($S$7:$T$54,"=" &amp; AB17 &amp; "_win")</f>
        <v>0</v>
      </c>
      <c r="AD17" s="47">
        <f>COUNTIF($S$7:$T$54,"=" &amp; AB17 &amp; "_draw")</f>
        <v>2</v>
      </c>
      <c r="AE17" s="47">
        <f>COUNTIF($S$7:$T$54,"=" &amp; AB17 &amp; "_lose")</f>
        <v>1</v>
      </c>
      <c r="AF17" s="47">
        <f>SUMIF($E$7:$E$54,$AB17,$F$7:$F$54) + SUMIF($H$7:$H$54,$AB17,$G$7:$G$54)</f>
        <v>3</v>
      </c>
      <c r="AG17" s="47">
        <f>SUMIF($E$7:$E$54,$AB17,$G$7:$G$54) + SUMIF($H$7:$H$54,$AB17,$F$7:$F$54)</f>
        <v>5</v>
      </c>
      <c r="AH17" s="47">
        <f>(AF17-AG17)*100+AK17*10000+AF17</f>
        <v>19803</v>
      </c>
      <c r="AI17" s="47">
        <f>AF17-AG17</f>
        <v>-2</v>
      </c>
      <c r="AJ17" s="47">
        <f>(AI17-AI19)/AI18</f>
        <v>0.1111111111111111</v>
      </c>
      <c r="AK17" s="47">
        <f>AC17*3+AD17</f>
        <v>2</v>
      </c>
      <c r="AL17" s="47">
        <f>AP17/AP18*1000+AQ17/AQ18*100+AT17/AT18*10+AR17/AR18</f>
        <v>0</v>
      </c>
      <c r="AM17" s="47">
        <f>VLOOKUP(AB17,db_fifarank,2,FALSE)/2000000</f>
        <v>7.9106500000000008E-4</v>
      </c>
      <c r="AN17" s="48">
        <f>1000*AK17/AK18+100*AJ17+10*AF17/AF18+1*AL17/AL18+AM17</f>
        <v>238.33412439833333</v>
      </c>
      <c r="AP17" s="47">
        <f>SUMPRODUCT(($S$7:$S$54=AB17&amp;"_win")*($U$7:$U$54))+SUMPRODUCT(($T$7:$T$54=AB17&amp;"_win")*($U$7:$U$54))</f>
        <v>0</v>
      </c>
      <c r="AQ17" s="47">
        <f>SUMPRODUCT(($S$7:$S$54=AB17&amp;"_draw")*($U$7:$U$54))+SUMPRODUCT(($T$7:$T$54=AB17&amp;"_draw")*($U$7:$U$54))</f>
        <v>0</v>
      </c>
      <c r="AR17" s="47">
        <f>SUMPRODUCT(($E$7:$E$54=AB17)*($U$7:$U$54)*($F$7:$F$54))+SUMPRODUCT(($H$7:$H$54=AB17)*($U$7:$U$54)*($G$7:$G$54))</f>
        <v>0</v>
      </c>
      <c r="AS17" s="47">
        <f>SUMPRODUCT(($E$7:$E$54=AB17)*($U$7:$U$54)*($G$7:$G$54))+SUMPRODUCT(($H$7:$H$54=AB17)*($U$7:$U$54)*($F$7:$F$54))</f>
        <v>0</v>
      </c>
      <c r="AT17" s="47">
        <f>AR17-AS17</f>
        <v>0</v>
      </c>
      <c r="AY17" s="23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23"/>
      <c r="BA17" s="23"/>
      <c r="BB17" s="23"/>
      <c r="BC17" s="32"/>
      <c r="BD17" s="23"/>
      <c r="BE17" s="23"/>
      <c r="BF17" s="23"/>
      <c r="BG17" s="23"/>
      <c r="BH17" s="23"/>
      <c r="BI17" s="23"/>
      <c r="BJ17" s="23"/>
      <c r="BK17" s="33"/>
      <c r="BL17" s="34"/>
      <c r="BM17" s="125"/>
      <c r="BN17" s="28" t="str">
        <f>T70</f>
        <v>Brazil</v>
      </c>
      <c r="BO17" s="85">
        <v>0</v>
      </c>
      <c r="BP17" s="87"/>
      <c r="BQ17" s="30"/>
      <c r="BR17" s="31"/>
      <c r="BS17" s="36"/>
      <c r="BT17" s="23"/>
      <c r="BU17" s="23"/>
      <c r="BV17" s="23"/>
      <c r="BW17" s="23"/>
      <c r="BX17" s="23"/>
    </row>
    <row r="18" spans="1:76" ht="15" customHeight="1" x14ac:dyDescent="0.25">
      <c r="A18" s="17">
        <v>12</v>
      </c>
      <c r="B18" s="18" t="str">
        <f t="shared" si="0"/>
        <v>Wed</v>
      </c>
      <c r="C18" s="19" t="str">
        <f t="shared" si="1"/>
        <v>Nov 23, 2022</v>
      </c>
      <c r="D18" s="20">
        <f t="shared" si="2"/>
        <v>0.91666666666666663</v>
      </c>
      <c r="E18" s="93" t="str">
        <f>AB38</f>
        <v>Belgium</v>
      </c>
      <c r="F18" s="21">
        <v>2</v>
      </c>
      <c r="G18" s="22">
        <v>0</v>
      </c>
      <c r="H18" s="90" t="str">
        <f>AB39</f>
        <v>Canada</v>
      </c>
      <c r="J18" s="55" t="str">
        <f>VLOOKUP(4,AA14:AK17,2,FALSE)</f>
        <v>Iran</v>
      </c>
      <c r="K18" s="56">
        <f>L18+M18+N18</f>
        <v>3</v>
      </c>
      <c r="L18" s="56">
        <f>VLOOKUP(4,AA14:AK17,3,FALSE)</f>
        <v>0</v>
      </c>
      <c r="M18" s="56">
        <f>VLOOKUP(4,AA14:AK17,4,FALSE)</f>
        <v>1</v>
      </c>
      <c r="N18" s="56">
        <f>VLOOKUP(4,AA14:AK17,5,FALSE)</f>
        <v>2</v>
      </c>
      <c r="O18" s="56" t="str">
        <f>VLOOKUP(4,AA14:AK17,6,FALSE) &amp; " - " &amp; VLOOKUP(4,AA14:AK17,7,FALSE)</f>
        <v>2 - 5</v>
      </c>
      <c r="P18" s="57">
        <f>L18*3+M18</f>
        <v>1</v>
      </c>
      <c r="R18" s="47">
        <f>DATE(2022,11,23)+TIME(8,0,0)+gmt_delta</f>
        <v>44888.916666666672</v>
      </c>
      <c r="S18" s="88" t="str">
        <f t="shared" si="3"/>
        <v>Belgium_win</v>
      </c>
      <c r="T18" s="88" t="str">
        <f t="shared" si="4"/>
        <v>Canada_lose</v>
      </c>
      <c r="U18" s="48">
        <f t="shared" si="5"/>
        <v>0</v>
      </c>
      <c r="V18" s="47">
        <f t="shared" si="6"/>
        <v>0</v>
      </c>
      <c r="W18" s="47">
        <f t="shared" si="7"/>
        <v>0</v>
      </c>
      <c r="X18" s="47">
        <f t="shared" si="8"/>
        <v>0</v>
      </c>
      <c r="Y18" s="47">
        <f t="shared" si="9"/>
        <v>1</v>
      </c>
      <c r="AC18" s="47">
        <f t="shared" ref="AC18:AL18" si="11">MAX(AC14:AC17)-MIN(AC14:AC17)+1</f>
        <v>4</v>
      </c>
      <c r="AD18" s="47">
        <f t="shared" si="11"/>
        <v>3</v>
      </c>
      <c r="AE18" s="47">
        <f t="shared" si="11"/>
        <v>3</v>
      </c>
      <c r="AF18" s="47">
        <f t="shared" si="11"/>
        <v>6</v>
      </c>
      <c r="AG18" s="47">
        <f t="shared" si="11"/>
        <v>4</v>
      </c>
      <c r="AH18" s="47">
        <f>MAX(AH14:AH17)-AH19+1</f>
        <v>80806</v>
      </c>
      <c r="AI18" s="47">
        <f>MAX(AI14:AI17)-AI19+1</f>
        <v>9</v>
      </c>
      <c r="AK18" s="47">
        <f t="shared" si="11"/>
        <v>9</v>
      </c>
      <c r="AL18" s="47">
        <f t="shared" si="11"/>
        <v>1</v>
      </c>
      <c r="AP18" s="47">
        <f>MAX(AP14:AP17)-MIN(AP14:AP17)+1</f>
        <v>1</v>
      </c>
      <c r="AQ18" s="47">
        <f>MAX(AQ14:AQ17)-MIN(AQ14:AQ17)+1</f>
        <v>1</v>
      </c>
      <c r="AR18" s="47">
        <f>MAX(AR14:AR17)-MIN(AR14:AR17)+1</f>
        <v>1</v>
      </c>
      <c r="AS18" s="47">
        <f>MAX(AS14:AS17)-MIN(AS14:AS17)+1</f>
        <v>1</v>
      </c>
      <c r="AT18" s="47">
        <f>MAX(AT14:AT17)-MIN(AT14:AT17)+1</f>
        <v>1</v>
      </c>
      <c r="AY18" s="124">
        <v>53</v>
      </c>
      <c r="AZ18" s="26" t="str">
        <f>AO32</f>
        <v>Germany</v>
      </c>
      <c r="BA18" s="84">
        <v>2</v>
      </c>
      <c r="BB18" s="86"/>
      <c r="BC18" s="27"/>
      <c r="BD18" s="23"/>
      <c r="BE18" s="23"/>
      <c r="BF18" s="23"/>
      <c r="BG18" s="23"/>
      <c r="BH18" s="23"/>
      <c r="BI18" s="23"/>
      <c r="BJ18" s="23"/>
      <c r="BK18" s="33"/>
      <c r="BL18" s="23"/>
      <c r="BM18" s="23"/>
      <c r="BN18" s="23"/>
      <c r="BO18" s="23"/>
      <c r="BP18" s="23"/>
      <c r="BQ18" s="23"/>
      <c r="BR18" s="33"/>
      <c r="BS18" s="23"/>
      <c r="BT18" s="23"/>
      <c r="BU18" s="23"/>
      <c r="BV18" s="23"/>
      <c r="BW18" s="23"/>
      <c r="BX18" s="23"/>
    </row>
    <row r="19" spans="1:76" ht="15" customHeight="1" x14ac:dyDescent="0.25">
      <c r="A19" s="17">
        <v>13</v>
      </c>
      <c r="B19" s="18" t="str">
        <f t="shared" si="0"/>
        <v>Thu</v>
      </c>
      <c r="C19" s="19" t="str">
        <f t="shared" si="1"/>
        <v>Nov 24, 2022</v>
      </c>
      <c r="D19" s="20">
        <f t="shared" si="2"/>
        <v>0.54166666666666663</v>
      </c>
      <c r="E19" s="93" t="str">
        <f>AB46</f>
        <v>Switzerland</v>
      </c>
      <c r="F19" s="21">
        <v>1</v>
      </c>
      <c r="G19" s="22">
        <v>2</v>
      </c>
      <c r="H19" s="90" t="str">
        <f>AB47</f>
        <v>Cameroon</v>
      </c>
      <c r="R19" s="47">
        <f>DATE(2022,11,23)+TIME(23,0,0)+gmt_delta</f>
        <v>44889.541666666672</v>
      </c>
      <c r="S19" s="88" t="str">
        <f t="shared" si="3"/>
        <v>Switzerland_lose</v>
      </c>
      <c r="T19" s="88" t="str">
        <f t="shared" si="4"/>
        <v>Cameroon_win</v>
      </c>
      <c r="U19" s="48">
        <f t="shared" si="5"/>
        <v>0</v>
      </c>
      <c r="V19" s="47">
        <f t="shared" si="6"/>
        <v>0</v>
      </c>
      <c r="W19" s="47">
        <f t="shared" si="7"/>
        <v>0</v>
      </c>
      <c r="X19" s="47">
        <f t="shared" si="8"/>
        <v>0</v>
      </c>
      <c r="Y19" s="47">
        <f t="shared" si="9"/>
        <v>-1</v>
      </c>
      <c r="AH19" s="47">
        <f>MIN(AH14:AH17)</f>
        <v>9702</v>
      </c>
      <c r="AI19" s="47">
        <f>MIN(AI14:AI17)</f>
        <v>-3</v>
      </c>
      <c r="AY19" s="125"/>
      <c r="AZ19" s="28" t="str">
        <f>AO39</f>
        <v>Croatia</v>
      </c>
      <c r="BA19" s="85">
        <v>1</v>
      </c>
      <c r="BB19" s="87"/>
      <c r="BC19" s="30"/>
      <c r="BD19" s="31"/>
      <c r="BE19" s="23"/>
      <c r="BF19" s="23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23"/>
      <c r="BH19" s="23"/>
      <c r="BI19" s="23"/>
      <c r="BJ19" s="32"/>
      <c r="BK19" s="33"/>
      <c r="BL19" s="23"/>
      <c r="BM19" s="23"/>
      <c r="BN19" s="23"/>
      <c r="BO19" s="23"/>
      <c r="BP19" s="23"/>
      <c r="BQ19" s="23"/>
      <c r="BR19" s="33"/>
      <c r="BS19" s="23"/>
      <c r="BT19" s="23"/>
      <c r="BU19" s="23"/>
      <c r="BV19" s="23"/>
      <c r="BW19" s="23"/>
      <c r="BX19" s="23"/>
    </row>
    <row r="20" spans="1:76" ht="15" customHeight="1" x14ac:dyDescent="0.25">
      <c r="A20" s="17">
        <v>14</v>
      </c>
      <c r="B20" s="18" t="str">
        <f t="shared" si="0"/>
        <v>Thu</v>
      </c>
      <c r="C20" s="19" t="str">
        <f t="shared" si="1"/>
        <v>Nov 24, 2022</v>
      </c>
      <c r="D20" s="20">
        <f t="shared" si="2"/>
        <v>0.66666666666666663</v>
      </c>
      <c r="E20" s="93" t="str">
        <f>AB52</f>
        <v>Uruguay</v>
      </c>
      <c r="F20" s="21">
        <v>1</v>
      </c>
      <c r="G20" s="22">
        <v>1</v>
      </c>
      <c r="H20" s="90" t="str">
        <f>AB53</f>
        <v>Korea Republic</v>
      </c>
      <c r="J20" s="58" t="str">
        <f>INDEX(T,9,lang) &amp; " " &amp; "C"</f>
        <v>Group C</v>
      </c>
      <c r="K20" s="59" t="str">
        <f>INDEX(T,10,lang)</f>
        <v>PL</v>
      </c>
      <c r="L20" s="59" t="str">
        <f>INDEX(T,11,lang)</f>
        <v>W</v>
      </c>
      <c r="M20" s="59" t="str">
        <f>INDEX(T,12,lang)</f>
        <v>DRAW</v>
      </c>
      <c r="N20" s="59" t="str">
        <f>INDEX(T,13,lang)</f>
        <v>L</v>
      </c>
      <c r="O20" s="59" t="str">
        <f>INDEX(T,14,lang)</f>
        <v>GF - GA</v>
      </c>
      <c r="P20" s="60" t="str">
        <f>INDEX(T,15,lang)</f>
        <v>PNT</v>
      </c>
      <c r="R20" s="47">
        <f>DATE(2022,11,24)+TIME(2,0,0)+gmt_delta</f>
        <v>44889.666666666672</v>
      </c>
      <c r="S20" s="88" t="str">
        <f t="shared" si="3"/>
        <v>Uruguay_draw</v>
      </c>
      <c r="T20" s="88" t="str">
        <f t="shared" si="4"/>
        <v>Korea Republic_draw</v>
      </c>
      <c r="U20" s="48">
        <f t="shared" si="5"/>
        <v>0</v>
      </c>
      <c r="V20" s="47">
        <f t="shared" si="6"/>
        <v>0</v>
      </c>
      <c r="W20" s="47">
        <f t="shared" si="7"/>
        <v>0</v>
      </c>
      <c r="X20" s="47">
        <f t="shared" si="8"/>
        <v>0</v>
      </c>
      <c r="Y20" s="47">
        <f t="shared" si="9"/>
        <v>0</v>
      </c>
      <c r="AA20" s="47">
        <f>COUNTIF(AN20:AN23,CONCATENATE("&gt;=",AN20))</f>
        <v>1</v>
      </c>
      <c r="AB20" s="48" t="str">
        <f>VLOOKUP("Argentina",T,lang,FALSE)</f>
        <v>Argentina</v>
      </c>
      <c r="AC20" s="47">
        <f>COUNTIF($S$7:$T$54,"=" &amp; AB20 &amp; "_win")</f>
        <v>3</v>
      </c>
      <c r="AD20" s="47">
        <f>COUNTIF($S$7:$T$54,"=" &amp; AB20 &amp; "_draw")</f>
        <v>0</v>
      </c>
      <c r="AE20" s="47">
        <f>COUNTIF($S$7:$T$54,"=" &amp; AB20 &amp; "_lose")</f>
        <v>0</v>
      </c>
      <c r="AF20" s="47">
        <f>SUMIF($E$7:$E$54,$AB20,$F$7:$F$54) + SUMIF($H$7:$H$54,$AB20,$G$7:$G$54)</f>
        <v>8</v>
      </c>
      <c r="AG20" s="47">
        <f>SUMIF($E$7:$E$54,$AB20,$G$7:$G$54) + SUMIF($H$7:$H$54,$AB20,$F$7:$F$54)</f>
        <v>2</v>
      </c>
      <c r="AH20" s="47">
        <f>(AF20-AG20)*100+AK20*10000+AF20</f>
        <v>90608</v>
      </c>
      <c r="AI20" s="47">
        <f>AF20-AG20</f>
        <v>6</v>
      </c>
      <c r="AJ20" s="47">
        <f>(AI20-AI25)/AI24</f>
        <v>0.91666666666666663</v>
      </c>
      <c r="AK20" s="47">
        <f>AC20*3+AD20</f>
        <v>9</v>
      </c>
      <c r="AL20" s="47">
        <f>AP20/AP24*1000+AQ20/AQ24*100+AT20/AT24*10+AR20/AR24</f>
        <v>0</v>
      </c>
      <c r="AM20" s="47">
        <f>VLOOKUP(AB20,db_fifarank,2,FALSE)/2000000</f>
        <v>8.8250000000000004E-4</v>
      </c>
      <c r="AN20" s="48">
        <f>1000*AK20/AK24+100*AJ20+10*AF20/AF24+1*AL20/AL24+AM20</f>
        <v>1001.6675491666666</v>
      </c>
      <c r="AO20" s="48" t="str">
        <f>IF(SUM(AC20:AE23)=12,J21,INDEX(T,74,lang))</f>
        <v>Argentina</v>
      </c>
      <c r="AP20" s="47">
        <f>SUMPRODUCT(($S$7:$S$54=AB20&amp;"_win")*($U$7:$U$54))+SUMPRODUCT(($T$7:$T$54=AB20&amp;"_win")*($U$7:$U$54))</f>
        <v>0</v>
      </c>
      <c r="AQ20" s="47">
        <f>SUMPRODUCT(($S$7:$S$54=AB20&amp;"_draw")*($U$7:$U$54))+SUMPRODUCT(($T$7:$T$54=AB20&amp;"_draw")*($U$7:$U$54))</f>
        <v>0</v>
      </c>
      <c r="AR20" s="47">
        <f>SUMPRODUCT(($E$7:$E$54=AB20)*($U$7:$U$54)*($F$7:$F$54))+SUMPRODUCT(($H$7:$H$54=AB20)*($U$7:$U$54)*($G$7:$G$54))</f>
        <v>0</v>
      </c>
      <c r="AS20" s="47">
        <f>SUMPRODUCT(($E$7:$E$54=AB20)*($U$7:$U$54)*($G$7:$G$54))+SUMPRODUCT(($H$7:$H$54=AB20)*($U$7:$U$54)*($F$7:$F$54))</f>
        <v>0</v>
      </c>
      <c r="AT20" s="47">
        <f>AR20-AS20</f>
        <v>0</v>
      </c>
      <c r="AY20" s="23"/>
      <c r="AZ20" s="23"/>
      <c r="BA20" s="23"/>
      <c r="BB20" s="23"/>
      <c r="BC20" s="23"/>
      <c r="BD20" s="33"/>
      <c r="BE20" s="23"/>
      <c r="BF20" s="124">
        <v>58</v>
      </c>
      <c r="BG20" s="26" t="str">
        <f>T62</f>
        <v>Germany</v>
      </c>
      <c r="BH20" s="84">
        <v>1</v>
      </c>
      <c r="BI20" s="86"/>
      <c r="BJ20" s="27"/>
      <c r="BK20" s="35"/>
      <c r="BL20" s="23"/>
      <c r="BM20" s="23"/>
      <c r="BN20" s="23"/>
      <c r="BO20" s="23"/>
      <c r="BP20" s="23"/>
      <c r="BQ20" s="23"/>
      <c r="BR20" s="33"/>
      <c r="BS20" s="23"/>
      <c r="BT20" s="23"/>
      <c r="BU20" s="23"/>
      <c r="BV20" s="23"/>
      <c r="BW20" s="23"/>
      <c r="BX20" s="23"/>
    </row>
    <row r="21" spans="1:76" ht="15" customHeight="1" x14ac:dyDescent="0.25">
      <c r="A21" s="17">
        <v>15</v>
      </c>
      <c r="B21" s="18" t="str">
        <f t="shared" si="0"/>
        <v>Thu</v>
      </c>
      <c r="C21" s="19" t="str">
        <f t="shared" si="1"/>
        <v>Nov 24, 2022</v>
      </c>
      <c r="D21" s="20">
        <f t="shared" si="2"/>
        <v>0.79166666666666663</v>
      </c>
      <c r="E21" s="93" t="str">
        <f>AB50</f>
        <v>Portugal</v>
      </c>
      <c r="F21" s="21">
        <v>2</v>
      </c>
      <c r="G21" s="22">
        <v>0</v>
      </c>
      <c r="H21" s="90" t="str">
        <f>AB51</f>
        <v>Ghana</v>
      </c>
      <c r="J21" s="50" t="str">
        <f>VLOOKUP(1,AA20:AK23,2,FALSE)</f>
        <v>Argentina</v>
      </c>
      <c r="K21" s="51">
        <f>L21+M21+N21</f>
        <v>3</v>
      </c>
      <c r="L21" s="51">
        <f>VLOOKUP(1,AA20:AK23,3,FALSE)</f>
        <v>3</v>
      </c>
      <c r="M21" s="51">
        <f>VLOOKUP(1,AA20:AK23,4,FALSE)</f>
        <v>0</v>
      </c>
      <c r="N21" s="51">
        <f>VLOOKUP(1,AA20:AK23,5,FALSE)</f>
        <v>0</v>
      </c>
      <c r="O21" s="51" t="str">
        <f>VLOOKUP(1,AA20:AK23,6,FALSE) &amp; " - " &amp; VLOOKUP(1,AA20:AK23,7,FALSE)</f>
        <v>8 - 2</v>
      </c>
      <c r="P21" s="52">
        <f>L21*3+M21</f>
        <v>9</v>
      </c>
      <c r="R21" s="47">
        <f>DATE(2022,11,24)+TIME(5,0,0)+gmt_delta</f>
        <v>44889.791666666672</v>
      </c>
      <c r="S21" s="88" t="str">
        <f t="shared" si="3"/>
        <v>Portugal_win</v>
      </c>
      <c r="T21" s="88" t="str">
        <f t="shared" si="4"/>
        <v>Ghana_lose</v>
      </c>
      <c r="U21" s="48">
        <f t="shared" si="5"/>
        <v>0</v>
      </c>
      <c r="V21" s="47">
        <f t="shared" si="6"/>
        <v>0</v>
      </c>
      <c r="W21" s="47">
        <f t="shared" si="7"/>
        <v>0</v>
      </c>
      <c r="X21" s="47">
        <f t="shared" si="8"/>
        <v>0</v>
      </c>
      <c r="Y21" s="47">
        <f t="shared" si="9"/>
        <v>1</v>
      </c>
      <c r="AA21" s="47">
        <f>COUNTIF(AN20:AN23,CONCATENATE("&gt;=",AN21))</f>
        <v>4</v>
      </c>
      <c r="AB21" s="48" t="str">
        <f>VLOOKUP("Saudi Arabia",T,lang,FALSE)</f>
        <v>Saudi Arabia</v>
      </c>
      <c r="AC21" s="47">
        <f>COUNTIF($S$7:$T$54,"=" &amp; AB21 &amp; "_win")</f>
        <v>0</v>
      </c>
      <c r="AD21" s="47">
        <f>COUNTIF($S$7:$T$54,"=" &amp; AB21 &amp; "_draw")</f>
        <v>0</v>
      </c>
      <c r="AE21" s="47">
        <f>COUNTIF($S$7:$T$54,"=" &amp; AB21 &amp; "_lose")</f>
        <v>3</v>
      </c>
      <c r="AF21" s="47">
        <f>SUMIF($E$7:$E$54,$AB21,$F$7:$F$54) + SUMIF($H$7:$H$54,$AB21,$G$7:$G$54)</f>
        <v>1</v>
      </c>
      <c r="AG21" s="47">
        <f>SUMIF($E$7:$E$54,$AB21,$G$7:$G$54) + SUMIF($H$7:$H$54,$AB21,$F$7:$F$54)</f>
        <v>6</v>
      </c>
      <c r="AH21" s="47">
        <f>(AF21-AG21)*100+AK21*10000+AF21</f>
        <v>-499</v>
      </c>
      <c r="AI21" s="47">
        <f>AF21-AG21</f>
        <v>-5</v>
      </c>
      <c r="AJ21" s="47">
        <f>(AI21-AI25)/AI24</f>
        <v>0</v>
      </c>
      <c r="AK21" s="47">
        <f>AC21*3+AD21</f>
        <v>0</v>
      </c>
      <c r="AL21" s="47">
        <f>AP21/AP24*1000+AQ21/AQ24*100+AT21/AT24*10+AR21/AR24</f>
        <v>0</v>
      </c>
      <c r="AM21" s="47">
        <f>VLOOKUP(AB21,db_fifarank,2,FALSE)/2000000</f>
        <v>7.2250000000000005E-4</v>
      </c>
      <c r="AN21" s="48">
        <f>1000*AK21/AK24+100*AJ21+10*AF21/AF24+1*AL21/AL24+AM21</f>
        <v>1.2507225</v>
      </c>
      <c r="AO21" s="48" t="str">
        <f>IF(SUM(AC20:AE23)=12,J22,INDEX(T,75,lang))</f>
        <v>Poland</v>
      </c>
      <c r="AP21" s="47">
        <f>SUMPRODUCT(($S$7:$S$54=AB21&amp;"_win")*($U$7:$U$54))+SUMPRODUCT(($T$7:$T$54=AB21&amp;"_win")*($U$7:$U$54))</f>
        <v>0</v>
      </c>
      <c r="AQ21" s="47">
        <f>SUMPRODUCT(($S$7:$S$54=AB21&amp;"_draw")*($U$7:$U$54))+SUMPRODUCT(($T$7:$T$54=AB21&amp;"_draw")*($U$7:$U$54))</f>
        <v>0</v>
      </c>
      <c r="AR21" s="47">
        <f>SUMPRODUCT(($E$7:$E$54=AB21)*($U$7:$U$54)*($F$7:$F$54))+SUMPRODUCT(($H$7:$H$54=AB21)*($U$7:$U$54)*($G$7:$G$54))</f>
        <v>0</v>
      </c>
      <c r="AS21" s="47">
        <f>SUMPRODUCT(($E$7:$E$54=AB21)*($U$7:$U$54)*($G$7:$G$54))+SUMPRODUCT(($H$7:$H$54=AB21)*($U$7:$U$54)*($F$7:$F$54))</f>
        <v>0</v>
      </c>
      <c r="AT21" s="47">
        <f>AR21-AS21</f>
        <v>0</v>
      </c>
      <c r="AY21" s="23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23"/>
      <c r="BA21" s="23"/>
      <c r="BB21" s="23"/>
      <c r="BC21" s="32"/>
      <c r="BD21" s="33"/>
      <c r="BE21" s="34"/>
      <c r="BF21" s="125"/>
      <c r="BG21" s="28" t="str">
        <f>T63</f>
        <v>Brazil</v>
      </c>
      <c r="BH21" s="85">
        <v>2</v>
      </c>
      <c r="BI21" s="87"/>
      <c r="BJ21" s="30"/>
      <c r="BK21" s="23"/>
      <c r="BL21" s="23"/>
      <c r="BM21" s="23"/>
      <c r="BN21" s="23"/>
      <c r="BO21" s="23"/>
      <c r="BP21" s="23"/>
      <c r="BQ21" s="23"/>
      <c r="BR21" s="33"/>
      <c r="BS21" s="23"/>
      <c r="BT21" s="23"/>
      <c r="BU21" s="23"/>
      <c r="BV21" s="23"/>
      <c r="BW21" s="23"/>
      <c r="BX21" s="23"/>
    </row>
    <row r="22" spans="1:76" ht="15" customHeight="1" x14ac:dyDescent="0.25">
      <c r="A22" s="17">
        <v>16</v>
      </c>
      <c r="B22" s="18" t="str">
        <f t="shared" si="0"/>
        <v>Thu</v>
      </c>
      <c r="C22" s="19" t="str">
        <f t="shared" si="1"/>
        <v>Nov 24, 2022</v>
      </c>
      <c r="D22" s="20">
        <f t="shared" si="2"/>
        <v>0.91666666666666663</v>
      </c>
      <c r="E22" s="93" t="str">
        <f>AB44</f>
        <v>Brazil</v>
      </c>
      <c r="F22" s="21">
        <v>2</v>
      </c>
      <c r="G22" s="22">
        <v>0</v>
      </c>
      <c r="H22" s="90" t="str">
        <f>AB45</f>
        <v>Serbia</v>
      </c>
      <c r="J22" s="53" t="str">
        <f>VLOOKUP(2,AA20:AK23,2,FALSE)</f>
        <v>Poland</v>
      </c>
      <c r="K22" s="25">
        <f>L22+M22+N22</f>
        <v>3</v>
      </c>
      <c r="L22" s="25">
        <f>VLOOKUP(2,AA20:AK23,3,FALSE)</f>
        <v>2</v>
      </c>
      <c r="M22" s="25">
        <f>VLOOKUP(2,AA20:AK23,4,FALSE)</f>
        <v>0</v>
      </c>
      <c r="N22" s="25">
        <f>VLOOKUP(2,AA20:AK23,5,FALSE)</f>
        <v>1</v>
      </c>
      <c r="O22" s="25" t="str">
        <f>VLOOKUP(2,AA20:AK23,6,FALSE) &amp; " - " &amp; VLOOKUP(2,AA20:AK23,7,FALSE)</f>
        <v>3 - 2</v>
      </c>
      <c r="P22" s="54">
        <f>L22*3+M22</f>
        <v>6</v>
      </c>
      <c r="R22" s="47">
        <f>DATE(2022,11,24)+TIME(8,0,0)+gmt_delta</f>
        <v>44889.916666666672</v>
      </c>
      <c r="S22" s="88" t="str">
        <f t="shared" si="3"/>
        <v>Brazil_win</v>
      </c>
      <c r="T22" s="88" t="str">
        <f t="shared" si="4"/>
        <v>Serbia_lose</v>
      </c>
      <c r="U22" s="48">
        <f t="shared" si="5"/>
        <v>0</v>
      </c>
      <c r="V22" s="47">
        <f t="shared" si="6"/>
        <v>0</v>
      </c>
      <c r="W22" s="47">
        <f t="shared" si="7"/>
        <v>0</v>
      </c>
      <c r="X22" s="47">
        <f t="shared" si="8"/>
        <v>0</v>
      </c>
      <c r="Y22" s="47">
        <f t="shared" si="9"/>
        <v>1</v>
      </c>
      <c r="AA22" s="47">
        <f>COUNTIF(AN20:AN23,CONCATENATE("&gt;=",AN22))</f>
        <v>3</v>
      </c>
      <c r="AB22" s="48" t="str">
        <f>VLOOKUP("Mexico",T,lang,FALSE)</f>
        <v>Mexico</v>
      </c>
      <c r="AC22" s="47">
        <f>COUNTIF($S$7:$T$54,"=" &amp; AB22 &amp; "_win")</f>
        <v>1</v>
      </c>
      <c r="AD22" s="47">
        <f>COUNTIF($S$7:$T$54,"=" &amp; AB22 &amp; "_draw")</f>
        <v>0</v>
      </c>
      <c r="AE22" s="47">
        <f>COUNTIF($S$7:$T$54,"=" &amp; AB22 &amp; "_lose")</f>
        <v>2</v>
      </c>
      <c r="AF22" s="47">
        <f>SUMIF($E$7:$E$54,$AB22,$F$7:$F$54) + SUMIF($H$7:$H$54,$AB22,$G$7:$G$54)</f>
        <v>1</v>
      </c>
      <c r="AG22" s="47">
        <f>SUMIF($E$7:$E$54,$AB22,$G$7:$G$54) + SUMIF($H$7:$H$54,$AB22,$F$7:$F$54)</f>
        <v>3</v>
      </c>
      <c r="AH22" s="47">
        <f>(AF22-AG22)*100+AK22*10000+AF22</f>
        <v>29801</v>
      </c>
      <c r="AI22" s="47">
        <f>AF22-AG22</f>
        <v>-2</v>
      </c>
      <c r="AJ22" s="47">
        <f>(AI22-AI25)/AI24</f>
        <v>0.25</v>
      </c>
      <c r="AK22" s="47">
        <f>AC22*3+AD22</f>
        <v>3</v>
      </c>
      <c r="AL22" s="47">
        <f>AP22/AP24*1000+AQ22/AQ24*100+AT22/AT24*10+AR22/AR24</f>
        <v>0</v>
      </c>
      <c r="AM22" s="47">
        <f>VLOOKUP(AB22,db_fifarank,2,FALSE)/2000000</f>
        <v>8.2940999999999993E-4</v>
      </c>
      <c r="AN22" s="48">
        <f>1000*AK22/AK24+100*AJ22+10*AF22/AF24+1*AL22/AL24+AM22</f>
        <v>326.25082940999999</v>
      </c>
      <c r="AP22" s="47">
        <f>SUMPRODUCT(($S$7:$S$54=AB22&amp;"_win")*($U$7:$U$54))+SUMPRODUCT(($T$7:$T$54=AB22&amp;"_win")*($U$7:$U$54))</f>
        <v>0</v>
      </c>
      <c r="AQ22" s="47">
        <f>SUMPRODUCT(($S$7:$S$54=AB22&amp;"_draw")*($U$7:$U$54))+SUMPRODUCT(($T$7:$T$54=AB22&amp;"_draw")*($U$7:$U$54))</f>
        <v>0</v>
      </c>
      <c r="AR22" s="47">
        <f>SUMPRODUCT(($E$7:$E$54=AB22)*($U$7:$U$54)*($F$7:$F$54))+SUMPRODUCT(($H$7:$H$54=AB22)*($U$7:$U$54)*($G$7:$G$54))</f>
        <v>0</v>
      </c>
      <c r="AS22" s="47">
        <f>SUMPRODUCT(($E$7:$E$54=AB22)*($U$7:$U$54)*($G$7:$G$54))+SUMPRODUCT(($H$7:$H$54=AB22)*($U$7:$U$54)*($F$7:$F$54))</f>
        <v>0</v>
      </c>
      <c r="AT22" s="47">
        <f>AR22-AS22</f>
        <v>0</v>
      </c>
      <c r="AY22" s="124">
        <v>54</v>
      </c>
      <c r="AZ22" s="26" t="str">
        <f>AO44</f>
        <v>Brazil</v>
      </c>
      <c r="BA22" s="84">
        <v>1</v>
      </c>
      <c r="BB22" s="86">
        <v>3</v>
      </c>
      <c r="BC22" s="27"/>
      <c r="BD22" s="35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33"/>
      <c r="BS22" s="23"/>
      <c r="BT22" s="23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23"/>
      <c r="BV22" s="23"/>
      <c r="BW22" s="23"/>
      <c r="BX22" s="32"/>
    </row>
    <row r="23" spans="1:76" ht="15" customHeight="1" x14ac:dyDescent="0.25">
      <c r="A23" s="17">
        <v>17</v>
      </c>
      <c r="B23" s="18" t="str">
        <f t="shared" si="0"/>
        <v>Fri</v>
      </c>
      <c r="C23" s="19" t="str">
        <f t="shared" si="1"/>
        <v>Nov 25, 2022</v>
      </c>
      <c r="D23" s="20">
        <f t="shared" si="2"/>
        <v>0.54166666666666663</v>
      </c>
      <c r="E23" s="93" t="str">
        <f>AB17</f>
        <v>Wales</v>
      </c>
      <c r="F23" s="21">
        <v>1</v>
      </c>
      <c r="G23" s="22">
        <v>1</v>
      </c>
      <c r="H23" s="90" t="str">
        <f>AB15</f>
        <v>Iran</v>
      </c>
      <c r="J23" s="53" t="str">
        <f>VLOOKUP(3,AA20:AK23,2,FALSE)</f>
        <v>Mexico</v>
      </c>
      <c r="K23" s="25">
        <f>L23+M23+N23</f>
        <v>3</v>
      </c>
      <c r="L23" s="25">
        <f>VLOOKUP(3,AA20:AK23,3,FALSE)</f>
        <v>1</v>
      </c>
      <c r="M23" s="25">
        <f>VLOOKUP(3,AA20:AK23,4,FALSE)</f>
        <v>0</v>
      </c>
      <c r="N23" s="25">
        <f>VLOOKUP(3,AA20:AK23,5,FALSE)</f>
        <v>2</v>
      </c>
      <c r="O23" s="25" t="str">
        <f>VLOOKUP(3,AA20:AK23,6,FALSE) &amp; " - " &amp; VLOOKUP(3,AA20:AK23,7,FALSE)</f>
        <v>1 - 3</v>
      </c>
      <c r="P23" s="54">
        <f>L23*3+M23</f>
        <v>3</v>
      </c>
      <c r="R23" s="47">
        <f>DATE(2022,11,24)+TIME(23,0,0)+gmt_delta</f>
        <v>44890.541666666672</v>
      </c>
      <c r="S23" s="88" t="str">
        <f t="shared" si="3"/>
        <v>Wales_draw</v>
      </c>
      <c r="T23" s="88" t="str">
        <f t="shared" si="4"/>
        <v>Iran_draw</v>
      </c>
      <c r="U23" s="48">
        <f t="shared" si="5"/>
        <v>0</v>
      </c>
      <c r="V23" s="47">
        <f t="shared" si="6"/>
        <v>0</v>
      </c>
      <c r="W23" s="47">
        <f t="shared" si="7"/>
        <v>0</v>
      </c>
      <c r="X23" s="47">
        <f t="shared" si="8"/>
        <v>0</v>
      </c>
      <c r="Y23" s="47">
        <f t="shared" si="9"/>
        <v>0</v>
      </c>
      <c r="AA23" s="47">
        <f>COUNTIF(AN20:AN23,CONCATENATE("&gt;=",AN23))</f>
        <v>2</v>
      </c>
      <c r="AB23" s="48" t="str">
        <f>VLOOKUP("Poland",T,lang,FALSE)</f>
        <v>Poland</v>
      </c>
      <c r="AC23" s="47">
        <f>COUNTIF($S$7:$T$54,"=" &amp; AB23 &amp; "_win")</f>
        <v>2</v>
      </c>
      <c r="AD23" s="47">
        <f>COUNTIF($S$7:$T$54,"=" &amp; AB23 &amp; "_draw")</f>
        <v>0</v>
      </c>
      <c r="AE23" s="47">
        <f>COUNTIF($S$7:$T$54,"=" &amp; AB23 &amp; "_lose")</f>
        <v>1</v>
      </c>
      <c r="AF23" s="47">
        <f>SUMIF($E$7:$E$54,$AB23,$F$7:$F$54) + SUMIF($H$7:$H$54,$AB23,$G$7:$G$54)</f>
        <v>3</v>
      </c>
      <c r="AG23" s="47">
        <f>SUMIF($E$7:$E$54,$AB23,$G$7:$G$54) + SUMIF($H$7:$H$54,$AB23,$F$7:$F$54)</f>
        <v>2</v>
      </c>
      <c r="AH23" s="47">
        <f>(AF23-AG23)*100+AK23*10000+AF23</f>
        <v>60103</v>
      </c>
      <c r="AI23" s="47">
        <f>AF23-AG23</f>
        <v>1</v>
      </c>
      <c r="AJ23" s="47">
        <f>(AI23-AI25)/AI24</f>
        <v>0.5</v>
      </c>
      <c r="AK23" s="47">
        <f>AC23*3+AD23</f>
        <v>6</v>
      </c>
      <c r="AL23" s="47">
        <f>AP23/AP24*1000+AQ23/AQ24*100+AT23/AT24*10+AR23/AR24</f>
        <v>0</v>
      </c>
      <c r="AM23" s="47">
        <f>VLOOKUP(AB23,db_fifarank,2,FALSE)/2000000</f>
        <v>7.7200000000000001E-4</v>
      </c>
      <c r="AN23" s="48">
        <f>1000*AK23/AK24+100*AJ23+10*AF23/AF24+1*AL23/AL24+AM23</f>
        <v>653.75077199999998</v>
      </c>
      <c r="AP23" s="47">
        <f>SUMPRODUCT(($S$7:$S$54=AB23&amp;"_win")*($U$7:$U$54))+SUMPRODUCT(($T$7:$T$54=AB23&amp;"_win")*($U$7:$U$54))</f>
        <v>0</v>
      </c>
      <c r="AQ23" s="47">
        <f>SUMPRODUCT(($S$7:$S$54=AB23&amp;"_draw")*($U$7:$U$54))+SUMPRODUCT(($T$7:$T$54=AB23&amp;"_draw")*($U$7:$U$54))</f>
        <v>0</v>
      </c>
      <c r="AR23" s="47">
        <f>SUMPRODUCT(($E$7:$E$54=AB23)*($U$7:$U$54)*($F$7:$F$54))+SUMPRODUCT(($H$7:$H$54=AB23)*($U$7:$U$54)*($G$7:$G$54))</f>
        <v>0</v>
      </c>
      <c r="AS23" s="47">
        <f>SUMPRODUCT(($E$7:$E$54=AB23)*($U$7:$U$54)*($G$7:$G$54))+SUMPRODUCT(($H$7:$H$54=AB23)*($U$7:$U$54)*($F$7:$F$54))</f>
        <v>0</v>
      </c>
      <c r="AT23" s="47">
        <f>AR23-AS23</f>
        <v>0</v>
      </c>
      <c r="AY23" s="125"/>
      <c r="AZ23" s="28" t="str">
        <f>AO51</f>
        <v>Uruguay</v>
      </c>
      <c r="BA23" s="85">
        <v>1</v>
      </c>
      <c r="BB23" s="87">
        <v>1</v>
      </c>
      <c r="BC23" s="30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33"/>
      <c r="BS23" s="23"/>
      <c r="BT23" s="124">
        <v>64</v>
      </c>
      <c r="BU23" s="26" t="str">
        <f>T76</f>
        <v>Netherlands</v>
      </c>
      <c r="BV23" s="84">
        <v>2</v>
      </c>
      <c r="BW23" s="86"/>
      <c r="BX23" s="27"/>
    </row>
    <row r="24" spans="1:76" ht="15" customHeight="1" x14ac:dyDescent="0.25">
      <c r="A24" s="17">
        <v>18</v>
      </c>
      <c r="B24" s="18" t="str">
        <f t="shared" si="0"/>
        <v>Fri</v>
      </c>
      <c r="C24" s="19" t="str">
        <f t="shared" si="1"/>
        <v>Nov 25, 2022</v>
      </c>
      <c r="D24" s="20">
        <f t="shared" si="2"/>
        <v>0.66666666666666663</v>
      </c>
      <c r="E24" s="93" t="str">
        <f>AB9</f>
        <v>Qatar</v>
      </c>
      <c r="F24" s="21">
        <v>0</v>
      </c>
      <c r="G24" s="22">
        <v>2</v>
      </c>
      <c r="H24" s="90" t="str">
        <f>AB8</f>
        <v>Senegal</v>
      </c>
      <c r="J24" s="55" t="str">
        <f>VLOOKUP(4,AA20:AK23,2,FALSE)</f>
        <v>Saudi Arabia</v>
      </c>
      <c r="K24" s="56">
        <f>L24+M24+N24</f>
        <v>3</v>
      </c>
      <c r="L24" s="56">
        <f>VLOOKUP(4,AA20:AK23,3,FALSE)</f>
        <v>0</v>
      </c>
      <c r="M24" s="56">
        <f>VLOOKUP(4,AA20:AK23,4,FALSE)</f>
        <v>0</v>
      </c>
      <c r="N24" s="56">
        <f>VLOOKUP(4,AA20:AK23,5,FALSE)</f>
        <v>3</v>
      </c>
      <c r="O24" s="56" t="str">
        <f>VLOOKUP(4,AA20:AK23,6,FALSE) &amp; " - " &amp; VLOOKUP(4,AA20:AK23,7,FALSE)</f>
        <v>1 - 6</v>
      </c>
      <c r="P24" s="57">
        <f>L24*3+M24</f>
        <v>0</v>
      </c>
      <c r="R24" s="47">
        <f>DATE(2022,11,25)+TIME(2,0,0)+gmt_delta</f>
        <v>44890.666666666672</v>
      </c>
      <c r="S24" s="88" t="str">
        <f t="shared" si="3"/>
        <v>Qatar_lose</v>
      </c>
      <c r="T24" s="88" t="str">
        <f t="shared" si="4"/>
        <v>Senegal_win</v>
      </c>
      <c r="U24" s="48">
        <f t="shared" si="5"/>
        <v>0</v>
      </c>
      <c r="V24" s="47">
        <f t="shared" si="6"/>
        <v>0</v>
      </c>
      <c r="W24" s="47">
        <f t="shared" si="7"/>
        <v>0</v>
      </c>
      <c r="X24" s="47">
        <f t="shared" si="8"/>
        <v>0</v>
      </c>
      <c r="Y24" s="47">
        <f t="shared" si="9"/>
        <v>-1</v>
      </c>
      <c r="AC24" s="47">
        <f t="shared" ref="AC24:AL24" si="12">MAX(AC20:AC23)-MIN(AC20:AC23)+1</f>
        <v>4</v>
      </c>
      <c r="AD24" s="47">
        <f t="shared" si="12"/>
        <v>1</v>
      </c>
      <c r="AE24" s="47">
        <f t="shared" si="12"/>
        <v>4</v>
      </c>
      <c r="AF24" s="47">
        <f t="shared" si="12"/>
        <v>8</v>
      </c>
      <c r="AG24" s="47">
        <f t="shared" si="12"/>
        <v>5</v>
      </c>
      <c r="AH24" s="47">
        <f>MAX(AH20:AH23)-AH25+1</f>
        <v>91108</v>
      </c>
      <c r="AI24" s="47">
        <f>MAX(AI20:AI23)-AI25+1</f>
        <v>12</v>
      </c>
      <c r="AK24" s="47">
        <f t="shared" si="12"/>
        <v>10</v>
      </c>
      <c r="AL24" s="47">
        <f t="shared" si="12"/>
        <v>1</v>
      </c>
      <c r="AP24" s="47">
        <f>MAX(AP20:AP23)-MIN(AP20:AP23)+1</f>
        <v>1</v>
      </c>
      <c r="AQ24" s="47">
        <f>MAX(AQ20:AQ23)-MIN(AQ20:AQ23)+1</f>
        <v>1</v>
      </c>
      <c r="AR24" s="47">
        <f>MAX(AR20:AR23)-MIN(AR20:AR23)+1</f>
        <v>1</v>
      </c>
      <c r="AS24" s="47">
        <f>MAX(AS20:AS23)-MIN(AS20:AS23)+1</f>
        <v>1</v>
      </c>
      <c r="AT24" s="47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33"/>
      <c r="BS24" s="34"/>
      <c r="BT24" s="125"/>
      <c r="BU24" s="28" t="str">
        <f>T77</f>
        <v>Belgium</v>
      </c>
      <c r="BV24" s="85">
        <v>1</v>
      </c>
      <c r="BW24" s="87"/>
      <c r="BX24" s="30"/>
    </row>
    <row r="25" spans="1:76" ht="15" customHeight="1" x14ac:dyDescent="0.25">
      <c r="A25" s="17">
        <v>19</v>
      </c>
      <c r="B25" s="18" t="str">
        <f t="shared" si="0"/>
        <v>Fri</v>
      </c>
      <c r="C25" s="19" t="str">
        <f t="shared" si="1"/>
        <v>Nov 25, 2022</v>
      </c>
      <c r="D25" s="20">
        <f t="shared" si="2"/>
        <v>0.79166666666666663</v>
      </c>
      <c r="E25" s="93" t="str">
        <f>AB11</f>
        <v>Netherlands</v>
      </c>
      <c r="F25" s="21">
        <v>2</v>
      </c>
      <c r="G25" s="22">
        <v>0</v>
      </c>
      <c r="H25" s="90" t="str">
        <f>AB10</f>
        <v>Ecuador</v>
      </c>
      <c r="R25" s="47">
        <f>DATE(2022,11,25)+TIME(5,0,0)+gmt_delta</f>
        <v>44890.791666666672</v>
      </c>
      <c r="S25" s="88" t="str">
        <f t="shared" si="3"/>
        <v>Netherlands_win</v>
      </c>
      <c r="T25" s="88" t="str">
        <f t="shared" si="4"/>
        <v>Ecuador_lose</v>
      </c>
      <c r="U25" s="48">
        <f t="shared" si="5"/>
        <v>0</v>
      </c>
      <c r="V25" s="47">
        <f t="shared" si="6"/>
        <v>0</v>
      </c>
      <c r="W25" s="47">
        <f t="shared" si="7"/>
        <v>0</v>
      </c>
      <c r="X25" s="47">
        <f t="shared" si="8"/>
        <v>0</v>
      </c>
      <c r="Y25" s="47">
        <f t="shared" si="9"/>
        <v>1</v>
      </c>
      <c r="AH25" s="47">
        <f>MIN(AH20:AH23)</f>
        <v>-499</v>
      </c>
      <c r="AI25" s="47">
        <f>MIN(AI20:AI23)</f>
        <v>-5</v>
      </c>
      <c r="AY25" s="23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23"/>
      <c r="BA25" s="23"/>
      <c r="BB25" s="23"/>
      <c r="BC25" s="37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33"/>
      <c r="BS25" s="23"/>
      <c r="BT25" s="23"/>
      <c r="BU25" s="23"/>
      <c r="BV25" s="23"/>
      <c r="BW25" s="23"/>
      <c r="BX25" s="23"/>
    </row>
    <row r="26" spans="1:76" ht="15" customHeight="1" x14ac:dyDescent="0.25">
      <c r="A26" s="17">
        <v>20</v>
      </c>
      <c r="B26" s="18" t="str">
        <f t="shared" si="0"/>
        <v>Fri</v>
      </c>
      <c r="C26" s="19" t="str">
        <f t="shared" si="1"/>
        <v>Nov 25, 2022</v>
      </c>
      <c r="D26" s="20">
        <f t="shared" si="2"/>
        <v>0.91666666666666663</v>
      </c>
      <c r="E26" s="93" t="str">
        <f>AB14</f>
        <v>England</v>
      </c>
      <c r="F26" s="21">
        <v>2</v>
      </c>
      <c r="G26" s="22">
        <v>1</v>
      </c>
      <c r="H26" s="90" t="str">
        <f>AB16</f>
        <v>United States</v>
      </c>
      <c r="J26" s="58" t="str">
        <f>INDEX(T,9,lang) &amp; " " &amp; "D"</f>
        <v>Group D</v>
      </c>
      <c r="K26" s="59" t="str">
        <f>INDEX(T,10,lang)</f>
        <v>PL</v>
      </c>
      <c r="L26" s="59" t="str">
        <f>INDEX(T,11,lang)</f>
        <v>W</v>
      </c>
      <c r="M26" s="59" t="str">
        <f>INDEX(T,12,lang)</f>
        <v>DRAW</v>
      </c>
      <c r="N26" s="59" t="str">
        <f>INDEX(T,13,lang)</f>
        <v>L</v>
      </c>
      <c r="O26" s="59" t="str">
        <f>INDEX(T,14,lang)</f>
        <v>GF - GA</v>
      </c>
      <c r="P26" s="60" t="str">
        <f>INDEX(T,15,lang)</f>
        <v>PNT</v>
      </c>
      <c r="R26" s="47">
        <f>DATE(2022,11,25)+TIME(8,0,0)+gmt_delta</f>
        <v>44890.916666666672</v>
      </c>
      <c r="S26" s="88" t="str">
        <f t="shared" si="3"/>
        <v>England_win</v>
      </c>
      <c r="T26" s="88" t="str">
        <f t="shared" si="4"/>
        <v>United States_lose</v>
      </c>
      <c r="U26" s="48">
        <f t="shared" si="5"/>
        <v>0</v>
      </c>
      <c r="V26" s="47">
        <f t="shared" si="6"/>
        <v>0</v>
      </c>
      <c r="W26" s="47">
        <f t="shared" si="7"/>
        <v>0</v>
      </c>
      <c r="X26" s="47">
        <f t="shared" si="8"/>
        <v>0</v>
      </c>
      <c r="Y26" s="47">
        <f t="shared" si="9"/>
        <v>1</v>
      </c>
      <c r="AA26" s="47">
        <f>COUNTIF(AN26:AN29,CONCATENATE("&gt;=",AN26))</f>
        <v>1</v>
      </c>
      <c r="AB26" s="48" t="str">
        <f>VLOOKUP("France",T,lang,FALSE)</f>
        <v>France</v>
      </c>
      <c r="AC26" s="47">
        <f>COUNTIF($S$7:$T$54,"=" &amp; AB26 &amp; "_win")</f>
        <v>3</v>
      </c>
      <c r="AD26" s="47">
        <f>COUNTIF($S$7:$T$54,"=" &amp; AB26 &amp; "_draw")</f>
        <v>0</v>
      </c>
      <c r="AE26" s="47">
        <f>COUNTIF($S$7:$T$54,"=" &amp; AB26 &amp; "_lose")</f>
        <v>0</v>
      </c>
      <c r="AF26" s="47">
        <f>SUMIF($E$7:$E$54,$AB26,$F$7:$F$54) + SUMIF($H$7:$H$54,$AB26,$G$7:$G$54)</f>
        <v>6</v>
      </c>
      <c r="AG26" s="47">
        <f>SUMIF($E$7:$E$54,$AB26,$G$7:$G$54) + SUMIF($H$7:$H$54,$AB26,$F$7:$F$54)</f>
        <v>1</v>
      </c>
      <c r="AH26" s="47">
        <f>(AF26-AG26)*100+AK26*10000+AF26</f>
        <v>90506</v>
      </c>
      <c r="AI26" s="47">
        <f>AF26-AG26</f>
        <v>5</v>
      </c>
      <c r="AJ26" s="47">
        <f>(AI26-AI31)/AI30</f>
        <v>0.88888888888888884</v>
      </c>
      <c r="AK26" s="47">
        <f>AC26*3+AD26</f>
        <v>9</v>
      </c>
      <c r="AL26" s="47">
        <f>AP26/AP30*1000+AQ26/AQ30*100+AT26/AT30*10+AR26/AR30</f>
        <v>0</v>
      </c>
      <c r="AM26" s="47">
        <f>VLOOKUP(AB26,db_fifarank,2,FALSE)/2000000</f>
        <v>8.9499999999999996E-4</v>
      </c>
      <c r="AN26" s="48">
        <f>1000*AK26/AK30+100*AJ26+10*AF26/AF30+1*AL26/AL30+AM26</f>
        <v>1098.8897838888888</v>
      </c>
      <c r="AO26" s="48" t="str">
        <f>IF(SUM(AC26:AE29)=12,J27,INDEX(T,76,lang))</f>
        <v>France</v>
      </c>
      <c r="AP26" s="47">
        <f>SUMPRODUCT(($S$7:$S$54=AB26&amp;"_win")*($U$7:$U$54))+SUMPRODUCT(($T$7:$T$54=AB26&amp;"_win")*($U$7:$U$54))</f>
        <v>0</v>
      </c>
      <c r="AQ26" s="47">
        <f>SUMPRODUCT(($S$7:$S$54=AB26&amp;"_draw")*($U$7:$U$54))+SUMPRODUCT(($T$7:$T$54=AB26&amp;"_draw")*($U$7:$U$54))</f>
        <v>0</v>
      </c>
      <c r="AR26" s="47">
        <f>SUMPRODUCT(($E$7:$E$54=AB26)*($U$7:$U$54)*($F$7:$F$54))+SUMPRODUCT(($H$7:$H$54=AB26)*($U$7:$U$54)*($G$7:$G$54))</f>
        <v>0</v>
      </c>
      <c r="AS26" s="47">
        <f>SUMPRODUCT(($E$7:$E$54=AB26)*($U$7:$U$54)*($G$7:$G$54))+SUMPRODUCT(($H$7:$H$54=AB26)*($U$7:$U$54)*($F$7:$F$54))</f>
        <v>0</v>
      </c>
      <c r="AT26" s="47">
        <f>AR26-AS26</f>
        <v>0</v>
      </c>
      <c r="AY26" s="124">
        <v>51</v>
      </c>
      <c r="AZ26" s="26" t="str">
        <f>AO14</f>
        <v>England</v>
      </c>
      <c r="BA26" s="84">
        <v>1</v>
      </c>
      <c r="BB26" s="86"/>
      <c r="BC26" s="27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33"/>
      <c r="BS26" s="23"/>
      <c r="BT26" s="23"/>
      <c r="BU26" s="23"/>
      <c r="BV26" s="23"/>
      <c r="BW26" s="23"/>
      <c r="BX26" s="23"/>
    </row>
    <row r="27" spans="1:76" ht="15" customHeight="1" x14ac:dyDescent="0.25">
      <c r="A27" s="17">
        <v>21</v>
      </c>
      <c r="B27" s="18" t="str">
        <f t="shared" si="0"/>
        <v>Sat</v>
      </c>
      <c r="C27" s="19" t="str">
        <f t="shared" si="1"/>
        <v>Nov 26, 2022</v>
      </c>
      <c r="D27" s="20">
        <f t="shared" si="2"/>
        <v>0.54166666666666663</v>
      </c>
      <c r="E27" s="93" t="str">
        <f>AB29</f>
        <v>Tunisia</v>
      </c>
      <c r="F27" s="21">
        <v>0</v>
      </c>
      <c r="G27" s="22">
        <v>0</v>
      </c>
      <c r="H27" s="90" t="str">
        <f>AB27</f>
        <v>Australia</v>
      </c>
      <c r="J27" s="50" t="str">
        <f>VLOOKUP(1,AA26:AK29,2,FALSE)</f>
        <v>France</v>
      </c>
      <c r="K27" s="51">
        <f>L27+M27+N27</f>
        <v>3</v>
      </c>
      <c r="L27" s="51">
        <f>VLOOKUP(1,AA26:AK29,3,FALSE)</f>
        <v>3</v>
      </c>
      <c r="M27" s="51">
        <f>VLOOKUP(1,AA26:AK29,4,FALSE)</f>
        <v>0</v>
      </c>
      <c r="N27" s="51">
        <f>VLOOKUP(1,AA26:AK29,5,FALSE)</f>
        <v>0</v>
      </c>
      <c r="O27" s="51" t="str">
        <f>VLOOKUP(1,AA26:AK29,6,FALSE) &amp; " - " &amp; VLOOKUP(1,AA26:AK29,7,FALSE)</f>
        <v>6 - 1</v>
      </c>
      <c r="P27" s="52">
        <f>L27*3+M27</f>
        <v>9</v>
      </c>
      <c r="R27" s="47">
        <f>DATE(2022,11,25)+TIME(23,0,0)+gmt_delta</f>
        <v>44891.541666666672</v>
      </c>
      <c r="S27" s="88" t="str">
        <f t="shared" si="3"/>
        <v>Tunisia_draw</v>
      </c>
      <c r="T27" s="88" t="str">
        <f t="shared" si="4"/>
        <v>Australia_draw</v>
      </c>
      <c r="U27" s="48">
        <f t="shared" si="5"/>
        <v>1</v>
      </c>
      <c r="V27" s="47">
        <f t="shared" si="6"/>
        <v>0</v>
      </c>
      <c r="W27" s="47">
        <f t="shared" si="7"/>
        <v>0</v>
      </c>
      <c r="X27" s="47">
        <f t="shared" si="8"/>
        <v>0</v>
      </c>
      <c r="Y27" s="47">
        <f t="shared" si="9"/>
        <v>0</v>
      </c>
      <c r="AA27" s="47">
        <f>COUNTIF(AN26:AN29,CONCATENATE("&gt;=",AN27))</f>
        <v>4</v>
      </c>
      <c r="AB27" s="48" t="str">
        <f>VLOOKUP("Australia",T,lang,FALSE)</f>
        <v>Australia</v>
      </c>
      <c r="AC27" s="47">
        <f>COUNTIF($S$7:$T$54,"=" &amp; AB27 &amp; "_win")</f>
        <v>0</v>
      </c>
      <c r="AD27" s="47">
        <f>COUNTIF($S$7:$T$54,"=" &amp; AB27 &amp; "_draw")</f>
        <v>1</v>
      </c>
      <c r="AE27" s="47">
        <f>COUNTIF($S$7:$T$54,"=" &amp; AB27 &amp; "_lose")</f>
        <v>2</v>
      </c>
      <c r="AF27" s="47">
        <f>SUMIF($E$7:$E$54,$AB27,$F$7:$F$54) + SUMIF($H$7:$H$54,$AB27,$G$7:$G$54)</f>
        <v>1</v>
      </c>
      <c r="AG27" s="47">
        <f>SUMIF($E$7:$E$54,$AB27,$G$7:$G$54) + SUMIF($H$7:$H$54,$AB27,$F$7:$F$54)</f>
        <v>4</v>
      </c>
      <c r="AH27" s="47">
        <f>(AF27-AG27)*100+AK27*10000+AF27</f>
        <v>9701</v>
      </c>
      <c r="AI27" s="47">
        <f>AF27-AG27</f>
        <v>-3</v>
      </c>
      <c r="AJ27" s="47">
        <f>(AI27-AI31)/AI30</f>
        <v>0</v>
      </c>
      <c r="AK27" s="47">
        <f>AC27*3+AD27</f>
        <v>1</v>
      </c>
      <c r="AL27" s="47">
        <f>AP27/AP30*1000+AQ27/AQ30*100+AT27/AT30*10+AR27/AR30</f>
        <v>50</v>
      </c>
      <c r="AM27" s="47">
        <f>VLOOKUP(AB27,db_fifarank,2,FALSE)/2000000</f>
        <v>7.4186499999999997E-4</v>
      </c>
      <c r="AN27" s="48">
        <f>1000*AK27/AK30+100*AJ27+10*AF27/AF30+1*AL27/AL30+AM27</f>
        <v>113.75891179964053</v>
      </c>
      <c r="AO27" s="48" t="str">
        <f>IF(SUM(AC26:AE29)=12,J28,INDEX(T,77,lang))</f>
        <v>Denmark</v>
      </c>
      <c r="AP27" s="47">
        <f>SUMPRODUCT(($S$7:$S$54=AB27&amp;"_win")*($U$7:$U$54))+SUMPRODUCT(($T$7:$T$54=AB27&amp;"_win")*($U$7:$U$54))</f>
        <v>0</v>
      </c>
      <c r="AQ27" s="47">
        <f>SUMPRODUCT(($S$7:$S$54=AB27&amp;"_draw")*($U$7:$U$54))+SUMPRODUCT(($T$7:$T$54=AB27&amp;"_draw")*($U$7:$U$54))</f>
        <v>1</v>
      </c>
      <c r="AR27" s="47">
        <f>SUMPRODUCT(($E$7:$E$54=AB27)*($U$7:$U$54)*($F$7:$F$54))+SUMPRODUCT(($H$7:$H$54=AB27)*($U$7:$U$54)*($G$7:$G$54))</f>
        <v>0</v>
      </c>
      <c r="AS27" s="47">
        <f>SUMPRODUCT(($E$7:$E$54=AB27)*($U$7:$U$54)*($G$7:$G$54))+SUMPRODUCT(($H$7:$H$54=AB27)*($U$7:$U$54)*($F$7:$F$54))</f>
        <v>0</v>
      </c>
      <c r="AT27" s="47">
        <f>AR27-AS27</f>
        <v>0</v>
      </c>
      <c r="AY27" s="125"/>
      <c r="AZ27" s="28" t="str">
        <f>AO9</f>
        <v>Senegal</v>
      </c>
      <c r="BA27" s="85">
        <v>0</v>
      </c>
      <c r="BB27" s="87"/>
      <c r="BC27" s="30"/>
      <c r="BD27" s="31"/>
      <c r="BE27" s="23"/>
      <c r="BF27" s="23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23"/>
      <c r="BH27" s="23"/>
      <c r="BI27" s="23"/>
      <c r="BJ27" s="32"/>
      <c r="BK27" s="23"/>
      <c r="BL27" s="23"/>
      <c r="BM27" s="23"/>
      <c r="BN27" s="23"/>
      <c r="BO27" s="23"/>
      <c r="BP27" s="23"/>
      <c r="BQ27" s="23"/>
      <c r="BR27" s="33"/>
      <c r="BS27" s="23"/>
      <c r="BT27" s="23"/>
      <c r="BU27" s="23"/>
      <c r="BV27" s="23"/>
      <c r="BW27" s="23"/>
      <c r="BX27" s="23"/>
    </row>
    <row r="28" spans="1:76" ht="15" customHeight="1" x14ac:dyDescent="0.25">
      <c r="A28" s="17">
        <v>22</v>
      </c>
      <c r="B28" s="18" t="str">
        <f t="shared" si="0"/>
        <v>Sat</v>
      </c>
      <c r="C28" s="19" t="str">
        <f t="shared" si="1"/>
        <v>Nov 26, 2022</v>
      </c>
      <c r="D28" s="20">
        <f t="shared" si="2"/>
        <v>0.66666666666666663</v>
      </c>
      <c r="E28" s="93" t="str">
        <f>AB23</f>
        <v>Poland</v>
      </c>
      <c r="F28" s="21">
        <v>1</v>
      </c>
      <c r="G28" s="22">
        <v>0</v>
      </c>
      <c r="H28" s="90" t="str">
        <f>AB21</f>
        <v>Saudi Arabia</v>
      </c>
      <c r="J28" s="53" t="str">
        <f>VLOOKUP(2,AA26:AK29,2,FALSE)</f>
        <v>Denmark</v>
      </c>
      <c r="K28" s="25">
        <f>L28+M28+N28</f>
        <v>3</v>
      </c>
      <c r="L28" s="25">
        <f>VLOOKUP(2,AA26:AK29,3,FALSE)</f>
        <v>2</v>
      </c>
      <c r="M28" s="25">
        <f>VLOOKUP(2,AA26:AK29,4,FALSE)</f>
        <v>0</v>
      </c>
      <c r="N28" s="25">
        <f>VLOOKUP(2,AA26:AK29,5,FALSE)</f>
        <v>1</v>
      </c>
      <c r="O28" s="25" t="str">
        <f>VLOOKUP(2,AA26:AK29,6,FALSE) &amp; " - " &amp; VLOOKUP(2,AA26:AK29,7,FALSE)</f>
        <v>5 - 4</v>
      </c>
      <c r="P28" s="54">
        <f>L28*3+M28</f>
        <v>6</v>
      </c>
      <c r="R28" s="47">
        <f>DATE(2022,11,26)+TIME(2,0,0)+gmt_delta</f>
        <v>44891.666666666672</v>
      </c>
      <c r="S28" s="88" t="str">
        <f t="shared" si="3"/>
        <v>Poland_win</v>
      </c>
      <c r="T28" s="88" t="str">
        <f t="shared" si="4"/>
        <v>Saudi Arabia_lose</v>
      </c>
      <c r="U28" s="48">
        <f t="shared" si="5"/>
        <v>0</v>
      </c>
      <c r="V28" s="47">
        <f t="shared" si="6"/>
        <v>0</v>
      </c>
      <c r="W28" s="47">
        <f t="shared" si="7"/>
        <v>0</v>
      </c>
      <c r="X28" s="47">
        <f t="shared" si="8"/>
        <v>0</v>
      </c>
      <c r="Y28" s="47">
        <f t="shared" si="9"/>
        <v>1</v>
      </c>
      <c r="AA28" s="47">
        <f>COUNTIF(AN26:AN29,CONCATENATE("&gt;=",AN28))</f>
        <v>2</v>
      </c>
      <c r="AB28" s="48" t="str">
        <f>VLOOKUP("Denmark",T,lang,FALSE)</f>
        <v>Denmark</v>
      </c>
      <c r="AC28" s="47">
        <f>COUNTIF($S$7:$T$54,"=" &amp; AB28 &amp; "_win")</f>
        <v>2</v>
      </c>
      <c r="AD28" s="47">
        <f>COUNTIF($S$7:$T$54,"=" &amp; AB28 &amp; "_draw")</f>
        <v>0</v>
      </c>
      <c r="AE28" s="47">
        <f>COUNTIF($S$7:$T$54,"=" &amp; AB28 &amp; "_lose")</f>
        <v>1</v>
      </c>
      <c r="AF28" s="47">
        <f>SUMIF($E$7:$E$54,$AB28,$F$7:$F$54) + SUMIF($H$7:$H$54,$AB28,$G$7:$G$54)</f>
        <v>5</v>
      </c>
      <c r="AG28" s="47">
        <f>SUMIF($E$7:$E$54,$AB28,$G$7:$G$54) + SUMIF($H$7:$H$54,$AB28,$F$7:$F$54)</f>
        <v>4</v>
      </c>
      <c r="AH28" s="47">
        <f>(AF28-AG28)*100+AK28*10000+AF28</f>
        <v>60105</v>
      </c>
      <c r="AI28" s="47">
        <f>AF28-AG28</f>
        <v>1</v>
      </c>
      <c r="AJ28" s="47">
        <f>(AI28-AI31)/AI30</f>
        <v>0.44444444444444442</v>
      </c>
      <c r="AK28" s="47">
        <f>AC28*3+AD28</f>
        <v>6</v>
      </c>
      <c r="AL28" s="47">
        <f>AP28/AP30*1000+AQ28/AQ30*100+AT28/AT30*10+AR28/AR30</f>
        <v>0</v>
      </c>
      <c r="AM28" s="47">
        <f>VLOOKUP(AB28,db_fifarank,2,FALSE)/2000000</f>
        <v>8.2679999999999993E-4</v>
      </c>
      <c r="AN28" s="48">
        <f>1000*AK28/AK30+100*AJ28+10*AF28/AF30+1*AL28/AL30+AM28</f>
        <v>719.44527124444448</v>
      </c>
      <c r="AP28" s="47">
        <f>SUMPRODUCT(($S$7:$S$54=AB28&amp;"_win")*($U$7:$U$54))+SUMPRODUCT(($T$7:$T$54=AB28&amp;"_win")*($U$7:$U$54))</f>
        <v>0</v>
      </c>
      <c r="AQ28" s="47">
        <f>SUMPRODUCT(($S$7:$S$54=AB28&amp;"_draw")*($U$7:$U$54))+SUMPRODUCT(($T$7:$T$54=AB28&amp;"_draw")*($U$7:$U$54))</f>
        <v>0</v>
      </c>
      <c r="AR28" s="47">
        <f>SUMPRODUCT(($E$7:$E$54=AB28)*($U$7:$U$54)*($F$7:$F$54))+SUMPRODUCT(($H$7:$H$54=AB28)*($U$7:$U$54)*($G$7:$G$54))</f>
        <v>0</v>
      </c>
      <c r="AS28" s="47">
        <f>SUMPRODUCT(($E$7:$E$54=AB28)*($U$7:$U$54)*($G$7:$G$54))+SUMPRODUCT(($H$7:$H$54=AB28)*($U$7:$U$54)*($F$7:$F$54))</f>
        <v>0</v>
      </c>
      <c r="AT28" s="47">
        <f>AR28-AS28</f>
        <v>0</v>
      </c>
      <c r="AY28" s="23"/>
      <c r="AZ28" s="23"/>
      <c r="BA28" s="23"/>
      <c r="BB28" s="23"/>
      <c r="BC28" s="23"/>
      <c r="BD28" s="33"/>
      <c r="BE28" s="23"/>
      <c r="BF28" s="124">
        <v>59</v>
      </c>
      <c r="BG28" s="26" t="str">
        <f>T60</f>
        <v>England</v>
      </c>
      <c r="BH28" s="84">
        <v>1</v>
      </c>
      <c r="BI28" s="86"/>
      <c r="BJ28" s="27"/>
      <c r="BK28" s="23"/>
      <c r="BL28" s="23"/>
      <c r="BM28" s="23"/>
      <c r="BN28" s="23"/>
      <c r="BO28" s="23"/>
      <c r="BP28" s="23"/>
      <c r="BQ28" s="23"/>
      <c r="BR28" s="33"/>
      <c r="BS28" s="23"/>
      <c r="BT28" s="23"/>
      <c r="BU28" s="23"/>
      <c r="BV28" s="23"/>
      <c r="BW28" s="23"/>
      <c r="BX28" s="23"/>
    </row>
    <row r="29" spans="1:76" ht="15" customHeight="1" x14ac:dyDescent="0.25">
      <c r="A29" s="17">
        <v>23</v>
      </c>
      <c r="B29" s="18" t="str">
        <f t="shared" si="0"/>
        <v>Sat</v>
      </c>
      <c r="C29" s="19" t="str">
        <f t="shared" si="1"/>
        <v>Nov 26, 2022</v>
      </c>
      <c r="D29" s="20">
        <f t="shared" si="2"/>
        <v>0.79166666666666663</v>
      </c>
      <c r="E29" s="93" t="str">
        <f>AB26</f>
        <v>France</v>
      </c>
      <c r="F29" s="21">
        <v>2</v>
      </c>
      <c r="G29" s="22">
        <v>1</v>
      </c>
      <c r="H29" s="90" t="str">
        <f>AB28</f>
        <v>Denmark</v>
      </c>
      <c r="J29" s="53" t="str">
        <f>VLOOKUP(3,AA26:AK29,2,FALSE)</f>
        <v>Tunisia</v>
      </c>
      <c r="K29" s="25">
        <f>L29+M29+N29</f>
        <v>3</v>
      </c>
      <c r="L29" s="25">
        <f>VLOOKUP(3,AA26:AK29,3,FALSE)</f>
        <v>0</v>
      </c>
      <c r="M29" s="25">
        <f>VLOOKUP(3,AA26:AK29,4,FALSE)</f>
        <v>1</v>
      </c>
      <c r="N29" s="25">
        <f>VLOOKUP(3,AA26:AK29,5,FALSE)</f>
        <v>2</v>
      </c>
      <c r="O29" s="25" t="str">
        <f>VLOOKUP(3,AA26:AK29,6,FALSE) &amp; " - " &amp; VLOOKUP(3,AA26:AK29,7,FALSE)</f>
        <v>1 - 4</v>
      </c>
      <c r="P29" s="54">
        <f>L29*3+M29</f>
        <v>1</v>
      </c>
      <c r="R29" s="47">
        <f>DATE(2022,11,26)+TIME(5,0,0)+gmt_delta</f>
        <v>44891.791666666672</v>
      </c>
      <c r="S29" s="88" t="str">
        <f t="shared" si="3"/>
        <v>France_win</v>
      </c>
      <c r="T29" s="88" t="str">
        <f t="shared" si="4"/>
        <v>Denmark_lose</v>
      </c>
      <c r="U29" s="48">
        <f t="shared" si="5"/>
        <v>0</v>
      </c>
      <c r="V29" s="47">
        <f t="shared" si="6"/>
        <v>0</v>
      </c>
      <c r="W29" s="47">
        <f t="shared" si="7"/>
        <v>0</v>
      </c>
      <c r="X29" s="47">
        <f t="shared" si="8"/>
        <v>0</v>
      </c>
      <c r="Y29" s="47">
        <f t="shared" si="9"/>
        <v>1</v>
      </c>
      <c r="AA29" s="47">
        <f>COUNTIF(AN26:AN29,CONCATENATE("&gt;=",AN29))</f>
        <v>3</v>
      </c>
      <c r="AB29" s="48" t="str">
        <f>VLOOKUP("Tunisia",T,lang,FALSE)</f>
        <v>Tunisia</v>
      </c>
      <c r="AC29" s="47">
        <f>COUNTIF($S$7:$T$54,"=" &amp; AB29 &amp; "_win")</f>
        <v>0</v>
      </c>
      <c r="AD29" s="47">
        <f>COUNTIF($S$7:$T$54,"=" &amp; AB29 &amp; "_draw")</f>
        <v>1</v>
      </c>
      <c r="AE29" s="47">
        <f>COUNTIF($S$7:$T$54,"=" &amp; AB29 &amp; "_lose")</f>
        <v>2</v>
      </c>
      <c r="AF29" s="47">
        <f>SUMIF($E$7:$E$54,$AB29,$F$7:$F$54) + SUMIF($H$7:$H$54,$AB29,$G$7:$G$54)</f>
        <v>1</v>
      </c>
      <c r="AG29" s="47">
        <f>SUMIF($E$7:$E$54,$AB29,$G$7:$G$54) + SUMIF($H$7:$H$54,$AB29,$F$7:$F$54)</f>
        <v>4</v>
      </c>
      <c r="AH29" s="47">
        <f>(AF29-AG29)*100+AK29*10000+AF29</f>
        <v>9701</v>
      </c>
      <c r="AI29" s="47">
        <f>AF29-AG29</f>
        <v>-3</v>
      </c>
      <c r="AJ29" s="47">
        <f>(AI29-AI31)/AI30</f>
        <v>0</v>
      </c>
      <c r="AK29" s="47">
        <f>AC29*3+AD29</f>
        <v>1</v>
      </c>
      <c r="AL29" s="47">
        <f>AP29/AP30*1000+AQ29/AQ30*100+AT29/AT30*10+AR29/AR30</f>
        <v>50</v>
      </c>
      <c r="AM29" s="47">
        <f>VLOOKUP(AB29,db_fifarank,2,FALSE)/2000000</f>
        <v>7.4989999999999996E-4</v>
      </c>
      <c r="AN29" s="48">
        <f>1000*AK29/AK30+100*AJ29+10*AF29/AF30+1*AL29/AL30+AM29</f>
        <v>113.75891983464054</v>
      </c>
      <c r="AP29" s="47">
        <f>SUMPRODUCT(($S$7:$S$54=AB29&amp;"_win")*($U$7:$U$54))+SUMPRODUCT(($T$7:$T$54=AB29&amp;"_win")*($U$7:$U$54))</f>
        <v>0</v>
      </c>
      <c r="AQ29" s="47">
        <f>SUMPRODUCT(($S$7:$S$54=AB29&amp;"_draw")*($U$7:$U$54))+SUMPRODUCT(($T$7:$T$54=AB29&amp;"_draw")*($U$7:$U$54))</f>
        <v>1</v>
      </c>
      <c r="AR29" s="47">
        <f>SUMPRODUCT(($E$7:$E$54=AB29)*($U$7:$U$54)*($F$7:$F$54))+SUMPRODUCT(($H$7:$H$54=AB29)*($U$7:$U$54)*($G$7:$G$54))</f>
        <v>0</v>
      </c>
      <c r="AS29" s="47">
        <f>SUMPRODUCT(($E$7:$E$54=AB29)*($U$7:$U$54)*($G$7:$G$54))+SUMPRODUCT(($H$7:$H$54=AB29)*($U$7:$U$54)*($F$7:$F$54))</f>
        <v>0</v>
      </c>
      <c r="AT29" s="47">
        <f>AR29-AS29</f>
        <v>0</v>
      </c>
      <c r="AY29" s="23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23"/>
      <c r="BA29" s="23"/>
      <c r="BB29" s="23"/>
      <c r="BC29" s="32"/>
      <c r="BD29" s="33"/>
      <c r="BE29" s="34"/>
      <c r="BF29" s="125"/>
      <c r="BG29" s="28" t="str">
        <f>T61</f>
        <v>France</v>
      </c>
      <c r="BH29" s="85">
        <v>2</v>
      </c>
      <c r="BI29" s="87"/>
      <c r="BJ29" s="30"/>
      <c r="BK29" s="31"/>
      <c r="BL29" s="23"/>
      <c r="BM29" s="23"/>
      <c r="BN29" s="23"/>
      <c r="BO29" s="23"/>
      <c r="BP29" s="23"/>
      <c r="BQ29" s="23"/>
      <c r="BR29" s="33"/>
      <c r="BS29" s="23"/>
      <c r="BT29" s="23"/>
      <c r="BU29" s="23"/>
      <c r="BV29" s="23"/>
      <c r="BW29" s="23"/>
      <c r="BX29" s="23"/>
    </row>
    <row r="30" spans="1:76" ht="15" customHeight="1" x14ac:dyDescent="0.25">
      <c r="A30" s="17">
        <v>24</v>
      </c>
      <c r="B30" s="18" t="str">
        <f t="shared" si="0"/>
        <v>Sat</v>
      </c>
      <c r="C30" s="19" t="str">
        <f t="shared" si="1"/>
        <v>Nov 26, 2022</v>
      </c>
      <c r="D30" s="20">
        <f t="shared" si="2"/>
        <v>0.91666666666666663</v>
      </c>
      <c r="E30" s="93" t="str">
        <f>AB20</f>
        <v>Argentina</v>
      </c>
      <c r="F30" s="21">
        <v>2</v>
      </c>
      <c r="G30" s="22">
        <v>0</v>
      </c>
      <c r="H30" s="90" t="str">
        <f>AB22</f>
        <v>Mexico</v>
      </c>
      <c r="J30" s="55" t="str">
        <f>VLOOKUP(4,AA26:AK29,2,FALSE)</f>
        <v>Australia</v>
      </c>
      <c r="K30" s="56">
        <f>L30+M30+N30</f>
        <v>3</v>
      </c>
      <c r="L30" s="56">
        <f>VLOOKUP(4,AA26:AK29,3,FALSE)</f>
        <v>0</v>
      </c>
      <c r="M30" s="56">
        <f>VLOOKUP(4,AA26:AK29,4,FALSE)</f>
        <v>1</v>
      </c>
      <c r="N30" s="56">
        <f>VLOOKUP(4,AA26:AK29,5,FALSE)</f>
        <v>2</v>
      </c>
      <c r="O30" s="56" t="str">
        <f>VLOOKUP(4,AA26:AK29,6,FALSE) &amp; " - " &amp; VLOOKUP(4,AA26:AK29,7,FALSE)</f>
        <v>1 - 4</v>
      </c>
      <c r="P30" s="57">
        <f>L30*3+M30</f>
        <v>1</v>
      </c>
      <c r="R30" s="47">
        <f>DATE(2022,11,26)+TIME(8,0,0)+gmt_delta</f>
        <v>44891.916666666672</v>
      </c>
      <c r="S30" s="88" t="str">
        <f t="shared" si="3"/>
        <v>Argentina_win</v>
      </c>
      <c r="T30" s="88" t="str">
        <f t="shared" si="4"/>
        <v>Mexico_lose</v>
      </c>
      <c r="U30" s="48">
        <f t="shared" si="5"/>
        <v>0</v>
      </c>
      <c r="V30" s="47">
        <f t="shared" si="6"/>
        <v>0</v>
      </c>
      <c r="W30" s="47">
        <f t="shared" si="7"/>
        <v>0</v>
      </c>
      <c r="X30" s="47">
        <f t="shared" si="8"/>
        <v>1</v>
      </c>
      <c r="Y30" s="47">
        <f t="shared" si="9"/>
        <v>1</v>
      </c>
      <c r="AC30" s="47">
        <f t="shared" ref="AC30:AL30" si="13">MAX(AC26:AC29)-MIN(AC26:AC29)+1</f>
        <v>4</v>
      </c>
      <c r="AD30" s="47">
        <f t="shared" si="13"/>
        <v>2</v>
      </c>
      <c r="AE30" s="47">
        <f t="shared" si="13"/>
        <v>3</v>
      </c>
      <c r="AF30" s="47">
        <f t="shared" si="13"/>
        <v>6</v>
      </c>
      <c r="AG30" s="47">
        <f t="shared" si="13"/>
        <v>4</v>
      </c>
      <c r="AH30" s="47">
        <f>MAX(AH26:AH29)-AH31+1</f>
        <v>80806</v>
      </c>
      <c r="AI30" s="47">
        <f>MAX(AI26:AI29)-AI31+1</f>
        <v>9</v>
      </c>
      <c r="AK30" s="47">
        <f t="shared" si="13"/>
        <v>9</v>
      </c>
      <c r="AL30" s="47">
        <f t="shared" si="13"/>
        <v>51</v>
      </c>
      <c r="AP30" s="47">
        <f>MAX(AP26:AP29)-MIN(AP26:AP29)+1</f>
        <v>1</v>
      </c>
      <c r="AQ30" s="47">
        <f>MAX(AQ26:AQ29)-MIN(AQ26:AQ29)+1</f>
        <v>2</v>
      </c>
      <c r="AR30" s="47">
        <f>MAX(AR26:AR29)-MIN(AR26:AR29)+1</f>
        <v>1</v>
      </c>
      <c r="AS30" s="47">
        <f>MAX(AS26:AS29)-MIN(AS26:AS29)+1</f>
        <v>1</v>
      </c>
      <c r="AT30" s="47">
        <f>MAX(AT26:AT29)-MIN(AT26:AT29)+1</f>
        <v>1</v>
      </c>
      <c r="AY30" s="124">
        <v>52</v>
      </c>
      <c r="AZ30" s="26" t="str">
        <f>AO26</f>
        <v>France</v>
      </c>
      <c r="BA30" s="84">
        <v>2</v>
      </c>
      <c r="BB30" s="86"/>
      <c r="BC30" s="27"/>
      <c r="BD30" s="35"/>
      <c r="BE30" s="23"/>
      <c r="BF30" s="23"/>
      <c r="BG30" s="23"/>
      <c r="BH30" s="23"/>
      <c r="BI30" s="23"/>
      <c r="BJ30" s="23"/>
      <c r="BK30" s="33"/>
      <c r="BL30" s="23"/>
      <c r="BM30" s="23"/>
      <c r="BN30" s="23"/>
      <c r="BO30" s="23"/>
      <c r="BP30" s="23"/>
      <c r="BQ30" s="23"/>
      <c r="BR30" s="33"/>
      <c r="BS30" s="23"/>
      <c r="BT30" s="23"/>
      <c r="BU30" s="23"/>
      <c r="BV30" s="23"/>
      <c r="BW30" s="23"/>
      <c r="BX30" s="23"/>
    </row>
    <row r="31" spans="1:76" ht="15" customHeight="1" x14ac:dyDescent="0.25">
      <c r="A31" s="17">
        <v>25</v>
      </c>
      <c r="B31" s="18" t="str">
        <f t="shared" si="0"/>
        <v>Sun</v>
      </c>
      <c r="C31" s="19" t="str">
        <f t="shared" si="1"/>
        <v>Nov 27, 2022</v>
      </c>
      <c r="D31" s="20">
        <f t="shared" si="2"/>
        <v>0.54166666666666663</v>
      </c>
      <c r="E31" s="93" t="str">
        <f>AB35</f>
        <v>Japan</v>
      </c>
      <c r="F31" s="21">
        <v>1</v>
      </c>
      <c r="G31" s="22">
        <v>0</v>
      </c>
      <c r="H31" s="90" t="str">
        <f>AB33</f>
        <v>Costa Rica</v>
      </c>
      <c r="R31" s="47">
        <f>DATE(2022,11,26)+TIME(23,0,0)+gmt_delta</f>
        <v>44892.541666666672</v>
      </c>
      <c r="S31" s="88" t="str">
        <f t="shared" si="3"/>
        <v>Japan_win</v>
      </c>
      <c r="T31" s="88" t="str">
        <f t="shared" si="4"/>
        <v>Costa Rica_lose</v>
      </c>
      <c r="U31" s="48">
        <f t="shared" si="5"/>
        <v>0</v>
      </c>
      <c r="V31" s="47">
        <f t="shared" si="6"/>
        <v>0</v>
      </c>
      <c r="W31" s="47">
        <f t="shared" si="7"/>
        <v>0</v>
      </c>
      <c r="X31" s="47">
        <f t="shared" si="8"/>
        <v>0</v>
      </c>
      <c r="Y31" s="47">
        <f t="shared" si="9"/>
        <v>1</v>
      </c>
      <c r="AH31" s="47">
        <f>MIN(AH26:AH29)</f>
        <v>9701</v>
      </c>
      <c r="AI31" s="47">
        <f>MIN(AI26:AI29)</f>
        <v>-3</v>
      </c>
      <c r="AY31" s="125"/>
      <c r="AZ31" s="28" t="str">
        <f>AO21</f>
        <v>Poland</v>
      </c>
      <c r="BA31" s="85">
        <v>0</v>
      </c>
      <c r="BB31" s="87"/>
      <c r="BC31" s="30"/>
      <c r="BD31" s="23"/>
      <c r="BE31" s="23"/>
      <c r="BF31" s="23"/>
      <c r="BG31" s="23"/>
      <c r="BH31" s="23"/>
      <c r="BI31" s="23"/>
      <c r="BJ31" s="23"/>
      <c r="BK31" s="33"/>
      <c r="BL31" s="23"/>
      <c r="BM31" s="23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23"/>
      <c r="BO31" s="23"/>
      <c r="BP31" s="23"/>
      <c r="BQ31" s="32"/>
      <c r="BR31" s="33"/>
      <c r="BS31" s="23"/>
      <c r="BT31" s="126" t="str">
        <f>INDEX(T,7,lang)</f>
        <v>Third-Place Play-Off</v>
      </c>
      <c r="BU31" s="127"/>
      <c r="BV31" s="127"/>
      <c r="BW31" s="127"/>
      <c r="BX31" s="128"/>
    </row>
    <row r="32" spans="1:76" ht="15" customHeight="1" x14ac:dyDescent="0.25">
      <c r="A32" s="17">
        <v>26</v>
      </c>
      <c r="B32" s="18" t="str">
        <f t="shared" si="0"/>
        <v>Sun</v>
      </c>
      <c r="C32" s="19" t="str">
        <f t="shared" si="1"/>
        <v>Nov 27, 2022</v>
      </c>
      <c r="D32" s="20">
        <f t="shared" si="2"/>
        <v>0.66666666666666663</v>
      </c>
      <c r="E32" s="93" t="str">
        <f>AB38</f>
        <v>Belgium</v>
      </c>
      <c r="F32" s="21">
        <v>2</v>
      </c>
      <c r="G32" s="22">
        <v>0</v>
      </c>
      <c r="H32" s="90" t="str">
        <f>AB40</f>
        <v>Morocco</v>
      </c>
      <c r="J32" s="58" t="str">
        <f>INDEX(T,9,lang) &amp; " " &amp; "E"</f>
        <v>Group E</v>
      </c>
      <c r="K32" s="59" t="str">
        <f>INDEX(T,10,lang)</f>
        <v>PL</v>
      </c>
      <c r="L32" s="59" t="str">
        <f>INDEX(T,11,lang)</f>
        <v>W</v>
      </c>
      <c r="M32" s="59" t="str">
        <f>INDEX(T,12,lang)</f>
        <v>DRAW</v>
      </c>
      <c r="N32" s="59" t="str">
        <f>INDEX(T,13,lang)</f>
        <v>L</v>
      </c>
      <c r="O32" s="59" t="str">
        <f>INDEX(T,14,lang)</f>
        <v>GF - GA</v>
      </c>
      <c r="P32" s="60" t="str">
        <f>INDEX(T,15,lang)</f>
        <v>PNT</v>
      </c>
      <c r="R32" s="47">
        <f>DATE(2022,11,27)+TIME(2,0,0)+gmt_delta</f>
        <v>44892.666666666672</v>
      </c>
      <c r="S32" s="88" t="str">
        <f t="shared" si="3"/>
        <v>Belgium_win</v>
      </c>
      <c r="T32" s="88" t="str">
        <f t="shared" si="4"/>
        <v>Morocco_lose</v>
      </c>
      <c r="U32" s="48">
        <f t="shared" si="5"/>
        <v>0</v>
      </c>
      <c r="V32" s="47">
        <f t="shared" si="6"/>
        <v>0</v>
      </c>
      <c r="W32" s="47">
        <f t="shared" si="7"/>
        <v>0</v>
      </c>
      <c r="X32" s="47">
        <f t="shared" si="8"/>
        <v>0</v>
      </c>
      <c r="Y32" s="47">
        <f t="shared" si="9"/>
        <v>1</v>
      </c>
      <c r="AA32" s="47">
        <f>COUNTIF(AN32:AN35,CONCATENATE("&gt;=",AN32))</f>
        <v>2</v>
      </c>
      <c r="AB32" s="48" t="str">
        <f>VLOOKUP("Spain",T,lang,FALSE)</f>
        <v>Spain</v>
      </c>
      <c r="AC32" s="47">
        <f>COUNTIF($S$7:$T$54,"=" &amp; AB32 &amp; "_win")</f>
        <v>1</v>
      </c>
      <c r="AD32" s="47">
        <f>COUNTIF($S$7:$T$54,"=" &amp; AB32 &amp; "_draw")</f>
        <v>2</v>
      </c>
      <c r="AE32" s="47">
        <f>COUNTIF($S$7:$T$54,"=" &amp; AB32 &amp; "_lose")</f>
        <v>0</v>
      </c>
      <c r="AF32" s="47">
        <f>SUMIF($E$7:$E$54,$AB32,$F$7:$F$54) + SUMIF($H$7:$H$54,$AB32,$G$7:$G$54)</f>
        <v>3</v>
      </c>
      <c r="AG32" s="47">
        <f>SUMIF($E$7:$E$54,$AB32,$G$7:$G$54) + SUMIF($H$7:$H$54,$AB32,$F$7:$F$54)</f>
        <v>2</v>
      </c>
      <c r="AH32" s="47">
        <f>(AF32-AG32)*100+AK32*10000+AF32</f>
        <v>50103</v>
      </c>
      <c r="AI32" s="47">
        <f>AF32-AG32</f>
        <v>1</v>
      </c>
      <c r="AJ32" s="47">
        <f>(AI32-AI37)/AI36</f>
        <v>0.5714285714285714</v>
      </c>
      <c r="AK32" s="47">
        <f>AC32*3+AD32</f>
        <v>5</v>
      </c>
      <c r="AL32" s="47">
        <f>AP32/AP36*1000+AQ32/AQ36*100+AT32/AT36*10+AR32/AR36</f>
        <v>0</v>
      </c>
      <c r="AM32" s="47">
        <f>VLOOKUP(AB32,db_fifarank,2,FALSE)/2000000</f>
        <v>8.5450000000000001E-4</v>
      </c>
      <c r="AN32" s="48">
        <f>1000*AK32/AK36+100*AJ32+10*AF32/AF36+1*AL32/AL36+AM32</f>
        <v>688.14371164285706</v>
      </c>
      <c r="AO32" s="48" t="str">
        <f>IF(SUM(AC32:AE35)=12,J33,INDEX(T,78,lang))</f>
        <v>Germany</v>
      </c>
      <c r="AP32" s="47">
        <f>SUMPRODUCT(($S$7:$S$54=AB32&amp;"_win")*($U$7:$U$54))+SUMPRODUCT(($T$7:$T$54=AB32&amp;"_win")*($U$7:$U$54))</f>
        <v>0</v>
      </c>
      <c r="AQ32" s="47">
        <f>SUMPRODUCT(($S$7:$S$54=AB32&amp;"_draw")*($U$7:$U$54))+SUMPRODUCT(($T$7:$T$54=AB32&amp;"_draw")*($U$7:$U$54))</f>
        <v>0</v>
      </c>
      <c r="AR32" s="47">
        <f>SUMPRODUCT(($E$7:$E$54=AB32)*($U$7:$U$54)*($F$7:$F$54))+SUMPRODUCT(($H$7:$H$54=AB32)*($U$7:$U$54)*($G$7:$G$54))</f>
        <v>0</v>
      </c>
      <c r="AS32" s="47">
        <f>SUMPRODUCT(($E$7:$E$54=AB32)*($U$7:$U$54)*($G$7:$G$54))+SUMPRODUCT(($H$7:$H$54=AB32)*($U$7:$U$54)*($F$7:$F$54))</f>
        <v>0</v>
      </c>
      <c r="AT32" s="47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3"/>
      <c r="BL32" s="23"/>
      <c r="BM32" s="124">
        <v>62</v>
      </c>
      <c r="BN32" s="26" t="str">
        <f>T71</f>
        <v>France</v>
      </c>
      <c r="BO32" s="84">
        <v>2</v>
      </c>
      <c r="BP32" s="86"/>
      <c r="BQ32" s="27"/>
      <c r="BR32" s="35"/>
      <c r="BS32" s="23"/>
      <c r="BT32" s="129"/>
      <c r="BU32" s="130"/>
      <c r="BV32" s="130"/>
      <c r="BW32" s="130"/>
      <c r="BX32" s="131"/>
    </row>
    <row r="33" spans="1:76" ht="15" customHeight="1" x14ac:dyDescent="0.25">
      <c r="A33" s="17">
        <v>27</v>
      </c>
      <c r="B33" s="18" t="str">
        <f t="shared" si="0"/>
        <v>Sun</v>
      </c>
      <c r="C33" s="19" t="str">
        <f t="shared" si="1"/>
        <v>Nov 27, 2022</v>
      </c>
      <c r="D33" s="20">
        <f t="shared" si="2"/>
        <v>0.79166666666666663</v>
      </c>
      <c r="E33" s="93" t="str">
        <f>AB41</f>
        <v>Croatia</v>
      </c>
      <c r="F33" s="21">
        <v>2</v>
      </c>
      <c r="G33" s="22">
        <v>1</v>
      </c>
      <c r="H33" s="90" t="str">
        <f>AB39</f>
        <v>Canada</v>
      </c>
      <c r="J33" s="50" t="str">
        <f>VLOOKUP(1,AA32:AK35,2,FALSE)</f>
        <v>Germany</v>
      </c>
      <c r="K33" s="51">
        <f>L33+M33+N33</f>
        <v>3</v>
      </c>
      <c r="L33" s="51">
        <f>VLOOKUP(1,AA32:AK35,3,FALSE)</f>
        <v>2</v>
      </c>
      <c r="M33" s="51">
        <f>VLOOKUP(1,AA32:AK35,4,FALSE)</f>
        <v>1</v>
      </c>
      <c r="N33" s="51">
        <f>VLOOKUP(1,AA32:AK35,5,FALSE)</f>
        <v>0</v>
      </c>
      <c r="O33" s="51" t="str">
        <f>VLOOKUP(1,AA32:AK35,6,FALSE) &amp; " - " &amp; VLOOKUP(1,AA32:AK35,7,FALSE)</f>
        <v>5 - 2</v>
      </c>
      <c r="P33" s="52">
        <f>L33*3+M33</f>
        <v>7</v>
      </c>
      <c r="R33" s="47">
        <f>DATE(2022,11,27)+TIME(5,0,0)+gmt_delta</f>
        <v>44892.791666666672</v>
      </c>
      <c r="S33" s="88" t="str">
        <f t="shared" si="3"/>
        <v>Croatia_win</v>
      </c>
      <c r="T33" s="88" t="str">
        <f t="shared" si="4"/>
        <v>Canada_lose</v>
      </c>
      <c r="U33" s="48">
        <f t="shared" si="5"/>
        <v>0</v>
      </c>
      <c r="V33" s="47">
        <f t="shared" si="6"/>
        <v>0</v>
      </c>
      <c r="W33" s="47">
        <f t="shared" si="7"/>
        <v>0</v>
      </c>
      <c r="X33" s="47">
        <f t="shared" si="8"/>
        <v>0</v>
      </c>
      <c r="Y33" s="47">
        <f t="shared" si="9"/>
        <v>1</v>
      </c>
      <c r="AA33" s="47">
        <f>COUNTIF(AN32:AN35,CONCATENATE("&gt;=",AN33))</f>
        <v>4</v>
      </c>
      <c r="AB33" s="48" t="str">
        <f>VLOOKUP("Costa Rica",T,lang,FALSE)</f>
        <v>Costa Rica</v>
      </c>
      <c r="AC33" s="47">
        <f>COUNTIF($S$7:$T$54,"=" &amp; AB33 &amp; "_win")</f>
        <v>0</v>
      </c>
      <c r="AD33" s="47">
        <f>COUNTIF($S$7:$T$54,"=" &amp; AB33 &amp; "_draw")</f>
        <v>0</v>
      </c>
      <c r="AE33" s="47">
        <f>COUNTIF($S$7:$T$54,"=" &amp; AB33 &amp; "_lose")</f>
        <v>3</v>
      </c>
      <c r="AF33" s="47">
        <f>SUMIF($E$7:$E$54,$AB33,$F$7:$F$54) + SUMIF($H$7:$H$54,$AB33,$G$7:$G$54)</f>
        <v>1</v>
      </c>
      <c r="AG33" s="47">
        <f>SUMIF($E$7:$E$54,$AB33,$G$7:$G$54) + SUMIF($H$7:$H$54,$AB33,$F$7:$F$54)</f>
        <v>4</v>
      </c>
      <c r="AH33" s="47">
        <f>(AF33-AG33)*100+AK33*10000+AF33</f>
        <v>-299</v>
      </c>
      <c r="AI33" s="47">
        <f>AF33-AG33</f>
        <v>-3</v>
      </c>
      <c r="AJ33" s="47">
        <f>(AI33-AI37)/AI36</f>
        <v>0</v>
      </c>
      <c r="AK33" s="47">
        <f>AC33*3+AD33</f>
        <v>0</v>
      </c>
      <c r="AL33" s="47">
        <f>AP33/AP36*1000+AQ33/AQ36*100+AT33/AT36*10+AR33/AR36</f>
        <v>0</v>
      </c>
      <c r="AM33" s="47">
        <f>VLOOKUP(AB33,db_fifarank,2,FALSE)/2000000</f>
        <v>7.5002999999999995E-4</v>
      </c>
      <c r="AN33" s="48">
        <f>1000*AK33/AK36+100*AJ33+10*AF33/AF36+1*AL33/AL36+AM33</f>
        <v>2.0007500299999998</v>
      </c>
      <c r="AO33" s="48" t="str">
        <f>IF(SUM(AC32:AE35)=12,J34,INDEX(T,79,lang))</f>
        <v>Spain</v>
      </c>
      <c r="AP33" s="47">
        <f>SUMPRODUCT(($S$7:$S$54=AB33&amp;"_win")*($U$7:$U$54))+SUMPRODUCT(($T$7:$T$54=AB33&amp;"_win")*($U$7:$U$54))</f>
        <v>0</v>
      </c>
      <c r="AQ33" s="47">
        <f>SUMPRODUCT(($S$7:$S$54=AB33&amp;"_draw")*($U$7:$U$54))+SUMPRODUCT(($T$7:$T$54=AB33&amp;"_draw")*($U$7:$U$54))</f>
        <v>0</v>
      </c>
      <c r="AR33" s="47">
        <f>SUMPRODUCT(($E$7:$E$54=AB33)*($U$7:$U$54)*($F$7:$F$54))+SUMPRODUCT(($H$7:$H$54=AB33)*($U$7:$U$54)*($G$7:$G$54))</f>
        <v>0</v>
      </c>
      <c r="AS33" s="47">
        <f>SUMPRODUCT(($E$7:$E$54=AB33)*($U$7:$U$54)*($G$7:$G$54))+SUMPRODUCT(($H$7:$H$54=AB33)*($U$7:$U$54)*($F$7:$F$54))</f>
        <v>0</v>
      </c>
      <c r="AT33" s="47">
        <f>AR33-AS33</f>
        <v>0</v>
      </c>
      <c r="AY33" s="23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23"/>
      <c r="BA33" s="23"/>
      <c r="BB33" s="23"/>
      <c r="BC33" s="32"/>
      <c r="BD33" s="23"/>
      <c r="BE33" s="23"/>
      <c r="BF33" s="23"/>
      <c r="BG33" s="23"/>
      <c r="BH33" s="23"/>
      <c r="BI33" s="23"/>
      <c r="BJ33" s="23"/>
      <c r="BK33" s="33"/>
      <c r="BL33" s="34"/>
      <c r="BM33" s="125"/>
      <c r="BN33" s="28" t="str">
        <f>T72</f>
        <v>Belgium</v>
      </c>
      <c r="BO33" s="85">
        <v>3</v>
      </c>
      <c r="BP33" s="87"/>
      <c r="BQ33" s="30"/>
      <c r="BR33" s="23"/>
      <c r="BS33" s="23"/>
      <c r="BT33" s="23"/>
      <c r="BU33" s="23"/>
      <c r="BV33" s="23"/>
      <c r="BW33" s="23"/>
      <c r="BX33" s="23"/>
    </row>
    <row r="34" spans="1:76" ht="15" customHeight="1" x14ac:dyDescent="0.25">
      <c r="A34" s="17">
        <v>28</v>
      </c>
      <c r="B34" s="18" t="str">
        <f t="shared" si="0"/>
        <v>Sun</v>
      </c>
      <c r="C34" s="19" t="str">
        <f t="shared" si="1"/>
        <v>Nov 27, 2022</v>
      </c>
      <c r="D34" s="20">
        <f t="shared" si="2"/>
        <v>0.91666666666666663</v>
      </c>
      <c r="E34" s="93" t="str">
        <f>AB32</f>
        <v>Spain</v>
      </c>
      <c r="F34" s="21">
        <v>1</v>
      </c>
      <c r="G34" s="22">
        <v>1</v>
      </c>
      <c r="H34" s="90" t="str">
        <f>AB34</f>
        <v>Germany</v>
      </c>
      <c r="J34" s="53" t="str">
        <f>VLOOKUP(2,AA32:AK35,2,FALSE)</f>
        <v>Spain</v>
      </c>
      <c r="K34" s="25">
        <f>L34+M34+N34</f>
        <v>3</v>
      </c>
      <c r="L34" s="25">
        <f>VLOOKUP(2,AA32:AK35,3,FALSE)</f>
        <v>1</v>
      </c>
      <c r="M34" s="25">
        <f>VLOOKUP(2,AA32:AK35,4,FALSE)</f>
        <v>2</v>
      </c>
      <c r="N34" s="25">
        <f>VLOOKUP(2,AA32:AK35,5,FALSE)</f>
        <v>0</v>
      </c>
      <c r="O34" s="25" t="str">
        <f>VLOOKUP(2,AA32:AK35,6,FALSE) &amp; " - " &amp; VLOOKUP(2,AA32:AK35,7,FALSE)</f>
        <v>3 - 2</v>
      </c>
      <c r="P34" s="54">
        <f>L34*3+M34</f>
        <v>5</v>
      </c>
      <c r="R34" s="47">
        <f>DATE(2022,11,27)+TIME(8,0,0)+gmt_delta</f>
        <v>44892.916666666672</v>
      </c>
      <c r="S34" s="88" t="str">
        <f t="shared" si="3"/>
        <v>Spain_draw</v>
      </c>
      <c r="T34" s="88" t="str">
        <f t="shared" si="4"/>
        <v>Germany_draw</v>
      </c>
      <c r="U34" s="48">
        <f t="shared" si="5"/>
        <v>0</v>
      </c>
      <c r="V34" s="47">
        <f t="shared" si="6"/>
        <v>0</v>
      </c>
      <c r="W34" s="47">
        <f t="shared" si="7"/>
        <v>0</v>
      </c>
      <c r="X34" s="47">
        <f t="shared" si="8"/>
        <v>0</v>
      </c>
      <c r="Y34" s="47">
        <f t="shared" si="9"/>
        <v>0</v>
      </c>
      <c r="AA34" s="47">
        <f>COUNTIF(AN32:AN35,CONCATENATE("&gt;=",AN34))</f>
        <v>1</v>
      </c>
      <c r="AB34" s="48" t="str">
        <f>VLOOKUP("Germany",T,lang,FALSE)</f>
        <v>Germany</v>
      </c>
      <c r="AC34" s="47">
        <f>COUNTIF($S$7:$T$54,"=" &amp; AB34 &amp; "_win")</f>
        <v>2</v>
      </c>
      <c r="AD34" s="47">
        <f>COUNTIF($S$7:$T$54,"=" &amp; AB34 &amp; "_draw")</f>
        <v>1</v>
      </c>
      <c r="AE34" s="47">
        <f>COUNTIF($S$7:$T$54,"=" &amp; AB34 &amp; "_lose")</f>
        <v>0</v>
      </c>
      <c r="AF34" s="47">
        <f>SUMIF($E$7:$E$54,$AB34,$F$7:$F$54) + SUMIF($H$7:$H$54,$AB34,$G$7:$G$54)</f>
        <v>5</v>
      </c>
      <c r="AG34" s="47">
        <f>SUMIF($E$7:$E$54,$AB34,$G$7:$G$54) + SUMIF($H$7:$H$54,$AB34,$F$7:$F$54)</f>
        <v>2</v>
      </c>
      <c r="AH34" s="47">
        <f>(AF34-AG34)*100+AK34*10000+AF34</f>
        <v>70305</v>
      </c>
      <c r="AI34" s="47">
        <f>AF34-AG34</f>
        <v>3</v>
      </c>
      <c r="AJ34" s="47">
        <f>(AI34-AI37)/AI36</f>
        <v>0.8571428571428571</v>
      </c>
      <c r="AK34" s="47">
        <f>AC34*3+AD34</f>
        <v>7</v>
      </c>
      <c r="AL34" s="47">
        <f>AP34/AP36*1000+AQ34/AQ36*100+AT34/AT36*10+AR34/AR36</f>
        <v>0</v>
      </c>
      <c r="AM34" s="47">
        <f>VLOOKUP(AB34,db_fifarank,2,FALSE)/2000000</f>
        <v>8.2526499999999994E-4</v>
      </c>
      <c r="AN34" s="48">
        <f>1000*AK34/AK36+100*AJ34+10*AF34/AF36+1*AL34/AL36+AM34</f>
        <v>970.71511097928567</v>
      </c>
      <c r="AP34" s="47">
        <f>SUMPRODUCT(($S$7:$S$54=AB34&amp;"_win")*($U$7:$U$54))+SUMPRODUCT(($T$7:$T$54=AB34&amp;"_win")*($U$7:$U$54))</f>
        <v>0</v>
      </c>
      <c r="AQ34" s="47">
        <f>SUMPRODUCT(($S$7:$S$54=AB34&amp;"_draw")*($U$7:$U$54))+SUMPRODUCT(($T$7:$T$54=AB34&amp;"_draw")*($U$7:$U$54))</f>
        <v>0</v>
      </c>
      <c r="AR34" s="47">
        <f>SUMPRODUCT(($E$7:$E$54=AB34)*($U$7:$U$54)*($F$7:$F$54))+SUMPRODUCT(($H$7:$H$54=AB34)*($U$7:$U$54)*($G$7:$G$54))</f>
        <v>0</v>
      </c>
      <c r="AS34" s="47">
        <f>SUMPRODUCT(($E$7:$E$54=AB34)*($U$7:$U$54)*($G$7:$G$54))+SUMPRODUCT(($H$7:$H$54=AB34)*($U$7:$U$54)*($F$7:$F$54))</f>
        <v>0</v>
      </c>
      <c r="AT34" s="47">
        <f>AR34-AS34</f>
        <v>0</v>
      </c>
      <c r="AY34" s="124">
        <v>55</v>
      </c>
      <c r="AZ34" s="26" t="str">
        <f>AO38</f>
        <v>Belgium</v>
      </c>
      <c r="BA34" s="84">
        <v>2</v>
      </c>
      <c r="BB34" s="86"/>
      <c r="BC34" s="27"/>
      <c r="BD34" s="23"/>
      <c r="BE34" s="23"/>
      <c r="BF34" s="23"/>
      <c r="BG34" s="23"/>
      <c r="BH34" s="23"/>
      <c r="BI34" s="23"/>
      <c r="BJ34" s="23"/>
      <c r="BK34" s="33"/>
      <c r="BL34" s="23"/>
      <c r="BM34" s="23"/>
      <c r="BN34" s="23"/>
      <c r="BO34" s="23"/>
      <c r="BP34" s="23"/>
      <c r="BQ34" s="23"/>
      <c r="BR34" s="23"/>
      <c r="BS34" s="23"/>
      <c r="BT34" s="23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23"/>
      <c r="BV34" s="23"/>
      <c r="BW34" s="23"/>
      <c r="BX34" s="32"/>
    </row>
    <row r="35" spans="1:76" ht="15" customHeight="1" x14ac:dyDescent="0.25">
      <c r="A35" s="17">
        <v>29</v>
      </c>
      <c r="B35" s="18" t="str">
        <f t="shared" si="0"/>
        <v>Mon</v>
      </c>
      <c r="C35" s="19" t="str">
        <f t="shared" si="1"/>
        <v>Nov 28, 2022</v>
      </c>
      <c r="D35" s="20">
        <f t="shared" si="2"/>
        <v>0.54166666666666663</v>
      </c>
      <c r="E35" s="93" t="str">
        <f>AB47</f>
        <v>Cameroon</v>
      </c>
      <c r="F35" s="21">
        <v>0</v>
      </c>
      <c r="G35" s="22">
        <v>1</v>
      </c>
      <c r="H35" s="90" t="str">
        <f>AB45</f>
        <v>Serbia</v>
      </c>
      <c r="J35" s="53" t="str">
        <f>VLOOKUP(3,AA32:AK35,2,FALSE)</f>
        <v>Japan</v>
      </c>
      <c r="K35" s="25">
        <f>L35+M35+N35</f>
        <v>3</v>
      </c>
      <c r="L35" s="25">
        <f>VLOOKUP(3,AA32:AK35,3,FALSE)</f>
        <v>1</v>
      </c>
      <c r="M35" s="25">
        <f>VLOOKUP(3,AA32:AK35,4,FALSE)</f>
        <v>1</v>
      </c>
      <c r="N35" s="25">
        <f>VLOOKUP(3,AA32:AK35,5,FALSE)</f>
        <v>1</v>
      </c>
      <c r="O35" s="25" t="str">
        <f>VLOOKUP(3,AA32:AK35,6,FALSE) &amp; " - " &amp; VLOOKUP(3,AA32:AK35,7,FALSE)</f>
        <v>2 - 3</v>
      </c>
      <c r="P35" s="54">
        <f>L35*3+M35</f>
        <v>4</v>
      </c>
      <c r="R35" s="47">
        <f>DATE(2022,11,27)+TIME(23,0,0)+gmt_delta</f>
        <v>44893.541666666672</v>
      </c>
      <c r="S35" s="88" t="str">
        <f t="shared" si="3"/>
        <v>Cameroon_lose</v>
      </c>
      <c r="T35" s="88" t="str">
        <f t="shared" si="4"/>
        <v>Serbia_win</v>
      </c>
      <c r="U35" s="48">
        <f t="shared" si="5"/>
        <v>0</v>
      </c>
      <c r="V35" s="47">
        <f t="shared" si="6"/>
        <v>0</v>
      </c>
      <c r="W35" s="47">
        <f t="shared" si="7"/>
        <v>0</v>
      </c>
      <c r="X35" s="47">
        <f t="shared" si="8"/>
        <v>0</v>
      </c>
      <c r="Y35" s="47">
        <f t="shared" si="9"/>
        <v>-1</v>
      </c>
      <c r="AA35" s="47">
        <f>COUNTIF(AN32:AN35,CONCATENATE("&gt;=",AN35))</f>
        <v>3</v>
      </c>
      <c r="AB35" s="48" t="str">
        <f>VLOOKUP("Japan",T,lang,FALSE)</f>
        <v>Japan</v>
      </c>
      <c r="AC35" s="47">
        <f>COUNTIF($S$7:$T$54,"=" &amp; AB35 &amp; "_win")</f>
        <v>1</v>
      </c>
      <c r="AD35" s="47">
        <f>COUNTIF($S$7:$T$54,"=" &amp; AB35 &amp; "_draw")</f>
        <v>1</v>
      </c>
      <c r="AE35" s="47">
        <f>COUNTIF($S$7:$T$54,"=" &amp; AB35 &amp; "_lose")</f>
        <v>1</v>
      </c>
      <c r="AF35" s="47">
        <f>SUMIF($E$7:$E$54,$AB35,$F$7:$F$54) + SUMIF($H$7:$H$54,$AB35,$G$7:$G$54)</f>
        <v>2</v>
      </c>
      <c r="AG35" s="47">
        <f>SUMIF($E$7:$E$54,$AB35,$G$7:$G$54) + SUMIF($H$7:$H$54,$AB35,$F$7:$F$54)</f>
        <v>3</v>
      </c>
      <c r="AH35" s="47">
        <f>(AF35-AG35)*100+AK35*10000+AF35</f>
        <v>39902</v>
      </c>
      <c r="AI35" s="47">
        <f>AF35-AG35</f>
        <v>-1</v>
      </c>
      <c r="AJ35" s="47">
        <f>(AI35-AI37)/AI36</f>
        <v>0.2857142857142857</v>
      </c>
      <c r="AK35" s="47">
        <f>AC35*3+AD35</f>
        <v>4</v>
      </c>
      <c r="AL35" s="47">
        <f>AP35/AP36*1000+AQ35/AQ36*100+AT35/AT36*10+AR35/AR36</f>
        <v>0</v>
      </c>
      <c r="AM35" s="47">
        <f>VLOOKUP(AB35,db_fifarank,2,FALSE)/2000000</f>
        <v>7.7672000000000006E-4</v>
      </c>
      <c r="AN35" s="48">
        <f>1000*AK35/AK36+100*AJ35+10*AF35/AF36+1*AL35/AL36+AM35</f>
        <v>532.57220529142853</v>
      </c>
      <c r="AP35" s="47">
        <f>SUMPRODUCT(($S$7:$S$54=AB35&amp;"_win")*($U$7:$U$54))+SUMPRODUCT(($T$7:$T$54=AB35&amp;"_win")*($U$7:$U$54))</f>
        <v>0</v>
      </c>
      <c r="AQ35" s="47">
        <f>SUMPRODUCT(($S$7:$S$54=AB35&amp;"_draw")*($U$7:$U$54))+SUMPRODUCT(($T$7:$T$54=AB35&amp;"_draw")*($U$7:$U$54))</f>
        <v>0</v>
      </c>
      <c r="AR35" s="47">
        <f>SUMPRODUCT(($E$7:$E$54=AB35)*($U$7:$U$54)*($F$7:$F$54))+SUMPRODUCT(($H$7:$H$54=AB35)*($U$7:$U$54)*($G$7:$G$54))</f>
        <v>0</v>
      </c>
      <c r="AS35" s="47">
        <f>SUMPRODUCT(($E$7:$E$54=AB35)*($U$7:$U$54)*($G$7:$G$54))+SUMPRODUCT(($H$7:$H$54=AB35)*($U$7:$U$54)*($F$7:$F$54))</f>
        <v>0</v>
      </c>
      <c r="AT35" s="47">
        <f>AR35-AS35</f>
        <v>0</v>
      </c>
      <c r="AY35" s="125"/>
      <c r="AZ35" s="28" t="str">
        <f>AO33</f>
        <v>Spain</v>
      </c>
      <c r="BA35" s="85">
        <v>1</v>
      </c>
      <c r="BB35" s="87"/>
      <c r="BC35" s="30"/>
      <c r="BD35" s="31"/>
      <c r="BE35" s="23"/>
      <c r="BF35" s="23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23"/>
      <c r="BH35" s="23"/>
      <c r="BI35" s="23"/>
      <c r="BJ35" s="32"/>
      <c r="BK35" s="33"/>
      <c r="BL35" s="23"/>
      <c r="BM35" s="23"/>
      <c r="BN35" s="23"/>
      <c r="BO35" s="23"/>
      <c r="BP35" s="23"/>
      <c r="BQ35" s="23"/>
      <c r="BR35" s="23"/>
      <c r="BS35" s="23"/>
      <c r="BT35" s="124">
        <v>63</v>
      </c>
      <c r="BU35" s="26" t="str">
        <f>Z76</f>
        <v>Brazil</v>
      </c>
      <c r="BV35" s="84">
        <v>1</v>
      </c>
      <c r="BW35" s="86"/>
      <c r="BX35" s="27"/>
    </row>
    <row r="36" spans="1:76" ht="15" customHeight="1" x14ac:dyDescent="0.25">
      <c r="A36" s="17">
        <v>30</v>
      </c>
      <c r="B36" s="18" t="str">
        <f t="shared" si="0"/>
        <v>Mon</v>
      </c>
      <c r="C36" s="19" t="str">
        <f t="shared" si="1"/>
        <v>Nov 28, 2022</v>
      </c>
      <c r="D36" s="20">
        <f t="shared" si="2"/>
        <v>0.66666666666666663</v>
      </c>
      <c r="E36" s="93" t="str">
        <f>AB53</f>
        <v>Korea Republic</v>
      </c>
      <c r="F36" s="21">
        <v>1</v>
      </c>
      <c r="G36" s="22">
        <v>0</v>
      </c>
      <c r="H36" s="90" t="str">
        <f>AB51</f>
        <v>Ghana</v>
      </c>
      <c r="J36" s="55" t="str">
        <f>VLOOKUP(4,AA32:AK35,2,FALSE)</f>
        <v>Costa Rica</v>
      </c>
      <c r="K36" s="56">
        <f>L36+M36+N36</f>
        <v>3</v>
      </c>
      <c r="L36" s="56">
        <f>VLOOKUP(4,AA32:AK35,3,FALSE)</f>
        <v>0</v>
      </c>
      <c r="M36" s="56">
        <f>VLOOKUP(4,AA32:AK35,4,FALSE)</f>
        <v>0</v>
      </c>
      <c r="N36" s="56">
        <f>VLOOKUP(4,AA32:AK35,5,FALSE)</f>
        <v>3</v>
      </c>
      <c r="O36" s="56" t="str">
        <f>VLOOKUP(4,AA32:AK35,6,FALSE) &amp; " - " &amp; VLOOKUP(4,AA32:AK35,7,FALSE)</f>
        <v>1 - 4</v>
      </c>
      <c r="P36" s="57">
        <f>L36*3+M36</f>
        <v>0</v>
      </c>
      <c r="R36" s="47">
        <f>DATE(2022,11,28)+TIME(2,0,0)+gmt_delta</f>
        <v>44893.666666666672</v>
      </c>
      <c r="S36" s="88" t="str">
        <f t="shared" si="3"/>
        <v>Korea Republic_win</v>
      </c>
      <c r="T36" s="88" t="str">
        <f t="shared" si="4"/>
        <v>Ghana_lose</v>
      </c>
      <c r="U36" s="48">
        <f t="shared" si="5"/>
        <v>0</v>
      </c>
      <c r="V36" s="47">
        <f t="shared" si="6"/>
        <v>0</v>
      </c>
      <c r="W36" s="47">
        <f t="shared" si="7"/>
        <v>0</v>
      </c>
      <c r="X36" s="47">
        <f t="shared" si="8"/>
        <v>0</v>
      </c>
      <c r="Y36" s="47">
        <f t="shared" si="9"/>
        <v>1</v>
      </c>
      <c r="AC36" s="47">
        <f t="shared" ref="AC36:AL36" si="14">MAX(AC32:AC35)-MIN(AC32:AC35)+1</f>
        <v>3</v>
      </c>
      <c r="AD36" s="47">
        <f t="shared" si="14"/>
        <v>3</v>
      </c>
      <c r="AE36" s="47">
        <f t="shared" si="14"/>
        <v>4</v>
      </c>
      <c r="AF36" s="47">
        <f t="shared" si="14"/>
        <v>5</v>
      </c>
      <c r="AG36" s="47">
        <f t="shared" si="14"/>
        <v>3</v>
      </c>
      <c r="AH36" s="47">
        <f>MAX(AH32:AH35)-AH37+1</f>
        <v>70605</v>
      </c>
      <c r="AI36" s="47">
        <f>MAX(AI32:AI35)-AI37+1</f>
        <v>7</v>
      </c>
      <c r="AK36" s="47">
        <f t="shared" si="14"/>
        <v>8</v>
      </c>
      <c r="AL36" s="47">
        <f t="shared" si="14"/>
        <v>1</v>
      </c>
      <c r="AP36" s="47">
        <f>MAX(AP32:AP35)-MIN(AP32:AP35)+1</f>
        <v>1</v>
      </c>
      <c r="AQ36" s="47">
        <f>MAX(AQ32:AQ35)-MIN(AQ32:AQ35)+1</f>
        <v>1</v>
      </c>
      <c r="AR36" s="47">
        <f>MAX(AR32:AR35)-MIN(AR32:AR35)+1</f>
        <v>1</v>
      </c>
      <c r="AS36" s="47">
        <f>MAX(AS32:AS35)-MIN(AS32:AS35)+1</f>
        <v>1</v>
      </c>
      <c r="AT36" s="47">
        <f>MAX(AT32:AT35)-MIN(AT32:AT35)+1</f>
        <v>1</v>
      </c>
      <c r="AY36" s="23"/>
      <c r="AZ36" s="23"/>
      <c r="BA36" s="23"/>
      <c r="BB36" s="23"/>
      <c r="BC36" s="23"/>
      <c r="BD36" s="33"/>
      <c r="BE36" s="23"/>
      <c r="BF36" s="124">
        <v>60</v>
      </c>
      <c r="BG36" s="26" t="str">
        <f>T64</f>
        <v>Belgium</v>
      </c>
      <c r="BH36" s="84">
        <v>2</v>
      </c>
      <c r="BI36" s="86"/>
      <c r="BJ36" s="27"/>
      <c r="BK36" s="35"/>
      <c r="BL36" s="23"/>
      <c r="BM36" s="23"/>
      <c r="BN36" s="23"/>
      <c r="BO36" s="23"/>
      <c r="BP36" s="23"/>
      <c r="BQ36" s="23"/>
      <c r="BR36" s="23"/>
      <c r="BS36" s="23"/>
      <c r="BT36" s="125"/>
      <c r="BU36" s="28" t="str">
        <f>Z77</f>
        <v>France</v>
      </c>
      <c r="BV36" s="85">
        <v>0</v>
      </c>
      <c r="BW36" s="87"/>
      <c r="BX36" s="30"/>
    </row>
    <row r="37" spans="1:76" ht="15" customHeight="1" x14ac:dyDescent="0.25">
      <c r="A37" s="17">
        <v>31</v>
      </c>
      <c r="B37" s="18" t="str">
        <f t="shared" si="0"/>
        <v>Mon</v>
      </c>
      <c r="C37" s="19" t="str">
        <f t="shared" si="1"/>
        <v>Nov 28, 2022</v>
      </c>
      <c r="D37" s="20">
        <f t="shared" si="2"/>
        <v>0.79166666666666663</v>
      </c>
      <c r="E37" s="93" t="str">
        <f>AB44</f>
        <v>Brazil</v>
      </c>
      <c r="F37" s="21">
        <v>2</v>
      </c>
      <c r="G37" s="22">
        <v>1</v>
      </c>
      <c r="H37" s="90" t="str">
        <f>AB46</f>
        <v>Switzerland</v>
      </c>
      <c r="R37" s="47">
        <f>DATE(2022,11,28)+TIME(5,0,0)+gmt_delta</f>
        <v>44893.791666666672</v>
      </c>
      <c r="S37" s="88" t="str">
        <f t="shared" si="3"/>
        <v>Brazil_win</v>
      </c>
      <c r="T37" s="88" t="str">
        <f t="shared" si="4"/>
        <v>Switzerland_lose</v>
      </c>
      <c r="U37" s="48">
        <f t="shared" si="5"/>
        <v>0</v>
      </c>
      <c r="V37" s="47">
        <f t="shared" si="6"/>
        <v>0</v>
      </c>
      <c r="W37" s="47">
        <f t="shared" si="7"/>
        <v>0</v>
      </c>
      <c r="X37" s="47">
        <f t="shared" si="8"/>
        <v>0</v>
      </c>
      <c r="Y37" s="47">
        <f t="shared" si="9"/>
        <v>1</v>
      </c>
      <c r="AH37" s="47">
        <f>MIN(AH32:AH35)</f>
        <v>-299</v>
      </c>
      <c r="AI37" s="47">
        <f>MIN(AI32:AI35)</f>
        <v>-3</v>
      </c>
      <c r="AY37" s="23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23"/>
      <c r="BA37" s="23"/>
      <c r="BB37" s="23"/>
      <c r="BC37" s="32"/>
      <c r="BD37" s="33"/>
      <c r="BE37" s="34"/>
      <c r="BF37" s="125"/>
      <c r="BG37" s="28" t="str">
        <f>T65</f>
        <v>Portugal</v>
      </c>
      <c r="BH37" s="85">
        <v>1</v>
      </c>
      <c r="BI37" s="87"/>
      <c r="BJ37" s="30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ht="15" customHeight="1" x14ac:dyDescent="0.25">
      <c r="A38" s="17">
        <v>32</v>
      </c>
      <c r="B38" s="18" t="str">
        <f t="shared" si="0"/>
        <v>Mon</v>
      </c>
      <c r="C38" s="19" t="str">
        <f t="shared" si="1"/>
        <v>Nov 28, 2022</v>
      </c>
      <c r="D38" s="20">
        <f t="shared" si="2"/>
        <v>0.91666666666666663</v>
      </c>
      <c r="E38" s="93" t="str">
        <f>AB50</f>
        <v>Portugal</v>
      </c>
      <c r="F38" s="21">
        <v>2</v>
      </c>
      <c r="G38" s="22">
        <v>1</v>
      </c>
      <c r="H38" s="90" t="str">
        <f>AB52</f>
        <v>Uruguay</v>
      </c>
      <c r="J38" s="58" t="str">
        <f>INDEX(T,9,lang) &amp; " " &amp; "F"</f>
        <v>Group F</v>
      </c>
      <c r="K38" s="59" t="str">
        <f>INDEX(T,10,lang)</f>
        <v>PL</v>
      </c>
      <c r="L38" s="59" t="str">
        <f>INDEX(T,11,lang)</f>
        <v>W</v>
      </c>
      <c r="M38" s="59" t="str">
        <f>INDEX(T,12,lang)</f>
        <v>DRAW</v>
      </c>
      <c r="N38" s="59" t="str">
        <f>INDEX(T,13,lang)</f>
        <v>L</v>
      </c>
      <c r="O38" s="59" t="str">
        <f>INDEX(T,14,lang)</f>
        <v>GF - GA</v>
      </c>
      <c r="P38" s="60" t="str">
        <f>INDEX(T,15,lang)</f>
        <v>PNT</v>
      </c>
      <c r="R38" s="47">
        <f>DATE(2022,11,28)+TIME(8,0,0)+gmt_delta</f>
        <v>44893.916666666672</v>
      </c>
      <c r="S38" s="88" t="str">
        <f t="shared" si="3"/>
        <v>Portugal_win</v>
      </c>
      <c r="T38" s="88" t="str">
        <f t="shared" si="4"/>
        <v>Uruguay_lose</v>
      </c>
      <c r="U38" s="48">
        <f t="shared" si="5"/>
        <v>0</v>
      </c>
      <c r="V38" s="47">
        <f t="shared" si="6"/>
        <v>0</v>
      </c>
      <c r="W38" s="47">
        <f t="shared" si="7"/>
        <v>0</v>
      </c>
      <c r="X38" s="47">
        <f t="shared" si="8"/>
        <v>0</v>
      </c>
      <c r="Y38" s="47">
        <f t="shared" si="9"/>
        <v>1</v>
      </c>
      <c r="AA38" s="47">
        <f>COUNTIF(AN38:AN41,CONCATENATE("&gt;=",AN38))</f>
        <v>1</v>
      </c>
      <c r="AB38" s="48" t="str">
        <f>VLOOKUP("Belgium",T,lang,FALSE)</f>
        <v>Belgium</v>
      </c>
      <c r="AC38" s="47">
        <f>COUNTIF($S$7:$T$54,"=" &amp; AB38 &amp; "_win")</f>
        <v>2</v>
      </c>
      <c r="AD38" s="47">
        <f>COUNTIF($S$7:$T$54,"=" &amp; AB38 &amp; "_draw")</f>
        <v>1</v>
      </c>
      <c r="AE38" s="47">
        <f>COUNTIF($S$7:$T$54,"=" &amp; AB38 &amp; "_lose")</f>
        <v>0</v>
      </c>
      <c r="AF38" s="47">
        <f>SUMIF($E$7:$E$54,$AB38,$F$7:$F$54) + SUMIF($H$7:$H$54,$AB38,$G$7:$G$54)</f>
        <v>6</v>
      </c>
      <c r="AG38" s="47">
        <f>SUMIF($E$7:$E$54,$AB38,$G$7:$G$54) + SUMIF($H$7:$H$54,$AB38,$F$7:$F$54)</f>
        <v>2</v>
      </c>
      <c r="AH38" s="47">
        <f>(AF38-AG38)*100+AK38*10000+AF38</f>
        <v>70406</v>
      </c>
      <c r="AI38" s="47">
        <f>AF38-AG38</f>
        <v>4</v>
      </c>
      <c r="AJ38" s="47">
        <f>(AI38-AI43)/AI42</f>
        <v>0.88888888888888884</v>
      </c>
      <c r="AK38" s="47">
        <f>AC38*3+AD38</f>
        <v>7</v>
      </c>
      <c r="AL38" s="47">
        <f>AP38/AP42*1000+AQ38/AQ42*100+AT38/AT42*10+AR38/AR42</f>
        <v>0</v>
      </c>
      <c r="AM38" s="47">
        <f>VLOOKUP(AB38,db_fifarank,2,FALSE)/2000000</f>
        <v>9.1350000000000003E-4</v>
      </c>
      <c r="AN38" s="48">
        <f>1000*AK38/AK42+100*AJ38+10*AF38/AF42+1*AL38/AL42+AM38</f>
        <v>975.88980238888894</v>
      </c>
      <c r="AO38" s="48" t="str">
        <f>IF(SUM(AC38:AE41)=12,J39,INDEX(T,80,lang))</f>
        <v>Belgium</v>
      </c>
      <c r="AP38" s="47">
        <f>SUMPRODUCT(($S$7:$S$54=AB38&amp;"_win")*($U$7:$U$54))+SUMPRODUCT(($T$7:$T$54=AB38&amp;"_win")*($U$7:$U$54))</f>
        <v>0</v>
      </c>
      <c r="AQ38" s="47">
        <f>SUMPRODUCT(($S$7:$S$54=AB38&amp;"_draw")*($U$7:$U$54))+SUMPRODUCT(($T$7:$T$54=AB38&amp;"_draw")*($U$7:$U$54))</f>
        <v>0</v>
      </c>
      <c r="AR38" s="47">
        <f>SUMPRODUCT(($E$7:$E$54=AB38)*($U$7:$U$54)*($F$7:$F$54))+SUMPRODUCT(($H$7:$H$54=AB38)*($U$7:$U$54)*($G$7:$G$54))</f>
        <v>0</v>
      </c>
      <c r="AS38" s="47">
        <f>SUMPRODUCT(($E$7:$E$54=AB38)*($U$7:$U$54)*($G$7:$G$54))+SUMPRODUCT(($H$7:$H$54=AB38)*($U$7:$U$54)*($F$7:$F$54))</f>
        <v>0</v>
      </c>
      <c r="AT38" s="47">
        <f>AR38-AS38</f>
        <v>0</v>
      </c>
      <c r="AY38" s="124">
        <v>56</v>
      </c>
      <c r="AZ38" s="26" t="str">
        <f>AO50</f>
        <v>Portugal</v>
      </c>
      <c r="BA38" s="84">
        <v>2</v>
      </c>
      <c r="BB38" s="86"/>
      <c r="BC38" s="27"/>
      <c r="BD38" s="35"/>
      <c r="BE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ht="15" customHeight="1" x14ac:dyDescent="0.25">
      <c r="A39" s="17">
        <v>33</v>
      </c>
      <c r="B39" s="18" t="str">
        <f t="shared" si="0"/>
        <v>Tue</v>
      </c>
      <c r="C39" s="19" t="str">
        <f t="shared" si="1"/>
        <v>Nov 29, 2022</v>
      </c>
      <c r="D39" s="20">
        <f t="shared" si="2"/>
        <v>0.75</v>
      </c>
      <c r="E39" s="93" t="str">
        <f>AB10</f>
        <v>Ecuador</v>
      </c>
      <c r="F39" s="21">
        <v>0</v>
      </c>
      <c r="G39" s="22">
        <v>2</v>
      </c>
      <c r="H39" s="90" t="str">
        <f>AB8</f>
        <v>Senegal</v>
      </c>
      <c r="J39" s="50" t="str">
        <f>VLOOKUP(1,AA38:AK41,2,FALSE)</f>
        <v>Belgium</v>
      </c>
      <c r="K39" s="51">
        <f>L39+M39+N39</f>
        <v>3</v>
      </c>
      <c r="L39" s="51">
        <f>VLOOKUP(1,AA38:AK41,3,FALSE)</f>
        <v>2</v>
      </c>
      <c r="M39" s="51">
        <f>VLOOKUP(1,AA38:AK41,4,FALSE)</f>
        <v>1</v>
      </c>
      <c r="N39" s="51">
        <f>VLOOKUP(1,AA38:AK41,5,FALSE)</f>
        <v>0</v>
      </c>
      <c r="O39" s="51" t="str">
        <f>VLOOKUP(1,AA38:AK41,6,FALSE) &amp; " - " &amp; VLOOKUP(1,AA38:AK41,7,FALSE)</f>
        <v>6 - 2</v>
      </c>
      <c r="P39" s="52">
        <f>L39*3+M39</f>
        <v>7</v>
      </c>
      <c r="R39" s="47">
        <f>DATE(2022,11,29)+TIME(4,0,0)+gmt_delta</f>
        <v>44894.75</v>
      </c>
      <c r="S39" s="88" t="str">
        <f t="shared" si="3"/>
        <v>Ecuador_lose</v>
      </c>
      <c r="T39" s="88" t="str">
        <f t="shared" si="4"/>
        <v>Senegal_win</v>
      </c>
      <c r="U39" s="48">
        <f t="shared" si="5"/>
        <v>0</v>
      </c>
      <c r="V39" s="47">
        <f t="shared" si="6"/>
        <v>0</v>
      </c>
      <c r="W39" s="47">
        <f t="shared" si="7"/>
        <v>0</v>
      </c>
      <c r="X39" s="47">
        <f t="shared" si="8"/>
        <v>0</v>
      </c>
      <c r="Y39" s="47">
        <f t="shared" si="9"/>
        <v>-1</v>
      </c>
      <c r="AA39" s="47">
        <f>COUNTIF(AN38:AN41,CONCATENATE("&gt;=",AN39))</f>
        <v>4</v>
      </c>
      <c r="AB39" s="48" t="str">
        <f>VLOOKUP("Canada",T,lang,FALSE)</f>
        <v>Canada</v>
      </c>
      <c r="AC39" s="47">
        <f>COUNTIF($S$7:$T$54,"=" &amp; AB39 &amp; "_win")</f>
        <v>0</v>
      </c>
      <c r="AD39" s="47">
        <f>COUNTIF($S$7:$T$54,"=" &amp; AB39 &amp; "_draw")</f>
        <v>0</v>
      </c>
      <c r="AE39" s="47">
        <f>COUNTIF($S$7:$T$54,"=" &amp; AB39 &amp; "_lose")</f>
        <v>3</v>
      </c>
      <c r="AF39" s="47">
        <f>SUMIF($E$7:$E$54,$AB39,$F$7:$F$54) + SUMIF($H$7:$H$54,$AB39,$G$7:$G$54)</f>
        <v>2</v>
      </c>
      <c r="AG39" s="47">
        <f>SUMIF($E$7:$E$54,$AB39,$G$7:$G$54) + SUMIF($H$7:$H$54,$AB39,$F$7:$F$54)</f>
        <v>6</v>
      </c>
      <c r="AH39" s="47">
        <f>(AF39-AG39)*100+AK39*10000+AF39</f>
        <v>-398</v>
      </c>
      <c r="AI39" s="47">
        <f>AF39-AG39</f>
        <v>-4</v>
      </c>
      <c r="AJ39" s="47">
        <f>(AI39-AI43)/AI42</f>
        <v>0</v>
      </c>
      <c r="AK39" s="47">
        <f>AC39*3+AD39</f>
        <v>0</v>
      </c>
      <c r="AL39" s="47">
        <f>AP39/AP42*1000+AQ39/AQ42*100+AT39/AT42*10+AR39/AR42</f>
        <v>0</v>
      </c>
      <c r="AM39" s="47">
        <f>VLOOKUP(AB39,db_fifarank,2,FALSE)/2000000</f>
        <v>7.3950000000000003E-4</v>
      </c>
      <c r="AN39" s="48">
        <f>1000*AK39/AK42+100*AJ39+10*AF39/AF42+1*AL39/AL42+AM39</f>
        <v>4.0007394999999999</v>
      </c>
      <c r="AO39" s="48" t="str">
        <f>IF(SUM(AC38:AE41)=12,J40,INDEX(T,81,lang))</f>
        <v>Croatia</v>
      </c>
      <c r="AP39" s="47">
        <f>SUMPRODUCT(($S$7:$S$54=AB39&amp;"_win")*($U$7:$U$54))+SUMPRODUCT(($T$7:$T$54=AB39&amp;"_win")*($U$7:$U$54))</f>
        <v>0</v>
      </c>
      <c r="AQ39" s="47">
        <f>SUMPRODUCT(($S$7:$S$54=AB39&amp;"_draw")*($U$7:$U$54))+SUMPRODUCT(($T$7:$T$54=AB39&amp;"_draw")*($U$7:$U$54))</f>
        <v>0</v>
      </c>
      <c r="AR39" s="47">
        <f>SUMPRODUCT(($E$7:$E$54=AB39)*($U$7:$U$54)*($F$7:$F$54))+SUMPRODUCT(($H$7:$H$54=AB39)*($U$7:$U$54)*($G$7:$G$54))</f>
        <v>0</v>
      </c>
      <c r="AS39" s="47">
        <f>SUMPRODUCT(($E$7:$E$54=AB39)*($U$7:$U$54)*($G$7:$G$54))+SUMPRODUCT(($H$7:$H$54=AB39)*($U$7:$U$54)*($F$7:$F$54))</f>
        <v>0</v>
      </c>
      <c r="AT39" s="47">
        <f>AR39-AS39</f>
        <v>0</v>
      </c>
      <c r="AY39" s="125"/>
      <c r="AZ39" s="28" t="str">
        <f>AO45</f>
        <v>Serbia</v>
      </c>
      <c r="BA39" s="85">
        <v>1</v>
      </c>
      <c r="BB39" s="87"/>
      <c r="BC39" s="30"/>
      <c r="BD39" s="23"/>
      <c r="BE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5" customHeight="1" thickBot="1" x14ac:dyDescent="0.3">
      <c r="A40" s="17">
        <v>34</v>
      </c>
      <c r="B40" s="18" t="str">
        <f t="shared" si="0"/>
        <v>Tue</v>
      </c>
      <c r="C40" s="19" t="str">
        <f t="shared" si="1"/>
        <v>Nov 29, 2022</v>
      </c>
      <c r="D40" s="20">
        <f t="shared" si="2"/>
        <v>0.75</v>
      </c>
      <c r="E40" s="93" t="str">
        <f>AB11</f>
        <v>Netherlands</v>
      </c>
      <c r="F40" s="21">
        <v>2</v>
      </c>
      <c r="G40" s="22">
        <v>0</v>
      </c>
      <c r="H40" s="90" t="str">
        <f>AB9</f>
        <v>Qatar</v>
      </c>
      <c r="J40" s="53" t="str">
        <f>VLOOKUP(2,AA38:AK41,2,FALSE)</f>
        <v>Croatia</v>
      </c>
      <c r="K40" s="25">
        <f>L40+M40+N40</f>
        <v>3</v>
      </c>
      <c r="L40" s="25">
        <f>VLOOKUP(2,AA38:AK41,3,FALSE)</f>
        <v>2</v>
      </c>
      <c r="M40" s="25">
        <f>VLOOKUP(2,AA38:AK41,4,FALSE)</f>
        <v>1</v>
      </c>
      <c r="N40" s="25">
        <f>VLOOKUP(2,AA38:AK41,5,FALSE)</f>
        <v>0</v>
      </c>
      <c r="O40" s="25" t="str">
        <f>VLOOKUP(2,AA38:AK41,6,FALSE) &amp; " - " &amp; VLOOKUP(2,AA38:AK41,7,FALSE)</f>
        <v>6 - 4</v>
      </c>
      <c r="P40" s="54">
        <f>L40*3+M40</f>
        <v>7</v>
      </c>
      <c r="R40" s="47">
        <f>DATE(2022,11,29)+TIME(4,0,0)+gmt_delta</f>
        <v>44894.75</v>
      </c>
      <c r="S40" s="88" t="str">
        <f t="shared" si="3"/>
        <v>Netherlands_win</v>
      </c>
      <c r="T40" s="88" t="str">
        <f t="shared" si="4"/>
        <v>Qatar_lose</v>
      </c>
      <c r="U40" s="48">
        <f t="shared" si="5"/>
        <v>0</v>
      </c>
      <c r="V40" s="47">
        <f t="shared" si="6"/>
        <v>0</v>
      </c>
      <c r="W40" s="47">
        <f t="shared" si="7"/>
        <v>0</v>
      </c>
      <c r="X40" s="47">
        <f t="shared" si="8"/>
        <v>0</v>
      </c>
      <c r="Y40" s="47">
        <f t="shared" si="9"/>
        <v>1</v>
      </c>
      <c r="AA40" s="47">
        <f>COUNTIF(AN38:AN41,CONCATENATE("&gt;=",AN40))</f>
        <v>3</v>
      </c>
      <c r="AB40" s="48" t="str">
        <f>VLOOKUP("Morocco",T,lang,FALSE)</f>
        <v>Morocco</v>
      </c>
      <c r="AC40" s="47">
        <f>COUNTIF($S$7:$T$54,"=" &amp; AB40 &amp; "_win")</f>
        <v>1</v>
      </c>
      <c r="AD40" s="47">
        <f>COUNTIF($S$7:$T$54,"=" &amp; AB40 &amp; "_draw")</f>
        <v>0</v>
      </c>
      <c r="AE40" s="47">
        <f>COUNTIF($S$7:$T$54,"=" &amp; AB40 &amp; "_lose")</f>
        <v>2</v>
      </c>
      <c r="AF40" s="47">
        <f>SUMIF($E$7:$E$54,$AB40,$F$7:$F$54) + SUMIF($H$7:$H$54,$AB40,$G$7:$G$54)</f>
        <v>3</v>
      </c>
      <c r="AG40" s="47">
        <f>SUMIF($E$7:$E$54,$AB40,$G$7:$G$54) + SUMIF($H$7:$H$54,$AB40,$F$7:$F$54)</f>
        <v>5</v>
      </c>
      <c r="AH40" s="47">
        <f>(AF40-AG40)*100+AK40*10000+AF40</f>
        <v>29803</v>
      </c>
      <c r="AI40" s="47">
        <f>AF40-AG40</f>
        <v>-2</v>
      </c>
      <c r="AJ40" s="47">
        <f>(AI40-AI43)/AI42</f>
        <v>0.22222222222222221</v>
      </c>
      <c r="AK40" s="47">
        <f>AC40*3+AD40</f>
        <v>3</v>
      </c>
      <c r="AL40" s="47">
        <f>AP40/AP42*1000+AQ40/AQ42*100+AT40/AT42*10+AR40/AR42</f>
        <v>0</v>
      </c>
      <c r="AM40" s="47">
        <f>VLOOKUP(AB40,db_fifarank,2,FALSE)/2000000</f>
        <v>7.7594000000000003E-4</v>
      </c>
      <c r="AN40" s="48">
        <f>1000*AK40/AK42+100*AJ40+10*AF40/AF42+1*AL40/AL42+AM40</f>
        <v>403.22299816222221</v>
      </c>
      <c r="AP40" s="47">
        <f>SUMPRODUCT(($S$7:$S$54=AB40&amp;"_win")*($U$7:$U$54))+SUMPRODUCT(($T$7:$T$54=AB40&amp;"_win")*($U$7:$U$54))</f>
        <v>0</v>
      </c>
      <c r="AQ40" s="47">
        <f>SUMPRODUCT(($S$7:$S$54=AB40&amp;"_draw")*($U$7:$U$54))+SUMPRODUCT(($T$7:$T$54=AB40&amp;"_draw")*($U$7:$U$54))</f>
        <v>0</v>
      </c>
      <c r="AR40" s="47">
        <f>SUMPRODUCT(($E$7:$E$54=AB40)*($U$7:$U$54)*($F$7:$F$54))+SUMPRODUCT(($H$7:$H$54=AB40)*($U$7:$U$54)*($G$7:$G$54))</f>
        <v>0</v>
      </c>
      <c r="AS40" s="47">
        <f>SUMPRODUCT(($E$7:$E$54=AB40)*($U$7:$U$54)*($G$7:$G$54))+SUMPRODUCT(($H$7:$H$54=AB40)*($U$7:$U$54)*($F$7:$F$54))</f>
        <v>0</v>
      </c>
      <c r="AT40" s="47">
        <f>AR40-AS40</f>
        <v>0</v>
      </c>
    </row>
    <row r="41" spans="1:76" ht="15" customHeight="1" x14ac:dyDescent="0.25">
      <c r="A41" s="17">
        <v>35</v>
      </c>
      <c r="B41" s="18" t="str">
        <f t="shared" si="0"/>
        <v>Tue</v>
      </c>
      <c r="C41" s="19" t="str">
        <f t="shared" si="1"/>
        <v>Nov 29, 2022</v>
      </c>
      <c r="D41" s="20">
        <f t="shared" si="2"/>
        <v>0.91666666666666663</v>
      </c>
      <c r="E41" s="93" t="str">
        <f>AB17</f>
        <v>Wales</v>
      </c>
      <c r="F41" s="21">
        <v>1</v>
      </c>
      <c r="G41" s="22">
        <v>3</v>
      </c>
      <c r="H41" s="90" t="str">
        <f>AB14</f>
        <v>England</v>
      </c>
      <c r="J41" s="53" t="str">
        <f>VLOOKUP(3,AA38:AK41,2,FALSE)</f>
        <v>Morocco</v>
      </c>
      <c r="K41" s="25">
        <f>L41+M41+N41</f>
        <v>3</v>
      </c>
      <c r="L41" s="25">
        <f>VLOOKUP(3,AA38:AK41,3,FALSE)</f>
        <v>1</v>
      </c>
      <c r="M41" s="25">
        <f>VLOOKUP(3,AA38:AK41,4,FALSE)</f>
        <v>0</v>
      </c>
      <c r="N41" s="25">
        <f>VLOOKUP(3,AA38:AK41,5,FALSE)</f>
        <v>2</v>
      </c>
      <c r="O41" s="25" t="str">
        <f>VLOOKUP(3,AA38:AK41,6,FALSE) &amp; " - " &amp; VLOOKUP(3,AA38:AK41,7,FALSE)</f>
        <v>3 - 5</v>
      </c>
      <c r="P41" s="54">
        <f>L41*3+M41</f>
        <v>3</v>
      </c>
      <c r="R41" s="47">
        <f>DATE(2022,11,29)+TIME(8,0,0)+gmt_delta</f>
        <v>44894.916666666672</v>
      </c>
      <c r="S41" s="88" t="str">
        <f t="shared" si="3"/>
        <v>Wales_lose</v>
      </c>
      <c r="T41" s="88" t="str">
        <f t="shared" si="4"/>
        <v>England_win</v>
      </c>
      <c r="U41" s="48">
        <f t="shared" si="5"/>
        <v>0</v>
      </c>
      <c r="V41" s="47">
        <f t="shared" si="6"/>
        <v>0</v>
      </c>
      <c r="W41" s="47">
        <f t="shared" si="7"/>
        <v>0</v>
      </c>
      <c r="X41" s="47">
        <f t="shared" si="8"/>
        <v>0</v>
      </c>
      <c r="Y41" s="47">
        <f t="shared" si="9"/>
        <v>-1</v>
      </c>
      <c r="AA41" s="47">
        <f>COUNTIF(AN38:AN41,CONCATENATE("&gt;=",AN41))</f>
        <v>2</v>
      </c>
      <c r="AB41" s="48" t="str">
        <f>VLOOKUP("Croatia",T,lang,FALSE)</f>
        <v>Croatia</v>
      </c>
      <c r="AC41" s="47">
        <f>COUNTIF($S$7:$T$54,"=" &amp; AB41 &amp; "_win")</f>
        <v>2</v>
      </c>
      <c r="AD41" s="47">
        <f>COUNTIF($S$7:$T$54,"=" &amp; AB41 &amp; "_draw")</f>
        <v>1</v>
      </c>
      <c r="AE41" s="47">
        <f>COUNTIF($S$7:$T$54,"=" &amp; AB41 &amp; "_lose")</f>
        <v>0</v>
      </c>
      <c r="AF41" s="47">
        <f>SUMIF($E$7:$E$54,$AB41,$F$7:$F$54) + SUMIF($H$7:$H$54,$AB41,$G$7:$G$54)</f>
        <v>6</v>
      </c>
      <c r="AG41" s="47">
        <f>SUMIF($E$7:$E$54,$AB41,$G$7:$G$54) + SUMIF($H$7:$H$54,$AB41,$F$7:$F$54)</f>
        <v>4</v>
      </c>
      <c r="AH41" s="47">
        <f>(AF41-AG41)*100+AK41*10000+AF41</f>
        <v>70206</v>
      </c>
      <c r="AI41" s="47">
        <f>AF41-AG41</f>
        <v>2</v>
      </c>
      <c r="AJ41" s="47">
        <f>(AI41-AI43)/AI42</f>
        <v>0.66666666666666663</v>
      </c>
      <c r="AK41" s="47">
        <f>AC41*3+AD41</f>
        <v>7</v>
      </c>
      <c r="AL41" s="47">
        <f>AP41/AP42*1000+AQ41/AQ42*100+AT41/AT42*10+AR41/AR42</f>
        <v>0</v>
      </c>
      <c r="AM41" s="47">
        <f>VLOOKUP(AB41,db_fifarank,2,FALSE)/2000000</f>
        <v>8.1055499999999991E-4</v>
      </c>
      <c r="AN41" s="48">
        <f>1000*AK41/AK42+100*AJ41+10*AF41/AF42+1*AL41/AL42+AM41</f>
        <v>953.66747722166667</v>
      </c>
      <c r="AP41" s="47">
        <f>SUMPRODUCT(($S$7:$S$54=AB41&amp;"_win")*($U$7:$U$54))+SUMPRODUCT(($T$7:$T$54=AB41&amp;"_win")*($U$7:$U$54))</f>
        <v>0</v>
      </c>
      <c r="AQ41" s="47">
        <f>SUMPRODUCT(($S$7:$S$54=AB41&amp;"_draw")*($U$7:$U$54))+SUMPRODUCT(($T$7:$T$54=AB41&amp;"_draw")*($U$7:$U$54))</f>
        <v>0</v>
      </c>
      <c r="AR41" s="47">
        <f>SUMPRODUCT(($E$7:$E$54=AB41)*($U$7:$U$54)*($F$7:$F$54))+SUMPRODUCT(($H$7:$H$54=AB41)*($U$7:$U$54)*($G$7:$G$54))</f>
        <v>0</v>
      </c>
      <c r="AS41" s="47">
        <f>SUMPRODUCT(($E$7:$E$54=AB41)*($U$7:$U$54)*($G$7:$G$54))+SUMPRODUCT(($H$7:$H$54=AB41)*($U$7:$U$54)*($F$7:$F$54))</f>
        <v>0</v>
      </c>
      <c r="AT41" s="47">
        <f>AR41-AS41</f>
        <v>0</v>
      </c>
      <c r="AY41" s="132" t="s">
        <v>2515</v>
      </c>
      <c r="AZ41" s="133"/>
      <c r="BA41" s="133"/>
      <c r="BB41" s="133"/>
      <c r="BC41" s="134"/>
      <c r="BL41" s="141" t="str">
        <f>INDEX(T,102,lang)</f>
        <v>World Champion 2022</v>
      </c>
      <c r="BM41" s="141"/>
      <c r="BN41" s="141"/>
      <c r="BO41" s="141"/>
      <c r="BP41" s="141"/>
      <c r="BQ41" s="141"/>
      <c r="BR41" s="143" t="str">
        <f>S85</f>
        <v>Netherlands</v>
      </c>
      <c r="BS41" s="143"/>
      <c r="BT41" s="143"/>
      <c r="BU41" s="143"/>
      <c r="BV41" s="143"/>
      <c r="BW41" s="143"/>
      <c r="BX41" s="143"/>
    </row>
    <row r="42" spans="1:76" ht="15" customHeight="1" x14ac:dyDescent="0.25">
      <c r="A42" s="17">
        <v>36</v>
      </c>
      <c r="B42" s="18" t="str">
        <f t="shared" si="0"/>
        <v>Tue</v>
      </c>
      <c r="C42" s="19" t="str">
        <f t="shared" si="1"/>
        <v>Nov 29, 2022</v>
      </c>
      <c r="D42" s="20">
        <f t="shared" si="2"/>
        <v>0.91666666666666663</v>
      </c>
      <c r="E42" s="93" t="str">
        <f>AB15</f>
        <v>Iran</v>
      </c>
      <c r="F42" s="21">
        <v>1</v>
      </c>
      <c r="G42" s="22">
        <v>2</v>
      </c>
      <c r="H42" s="90" t="str">
        <f>AB16</f>
        <v>United States</v>
      </c>
      <c r="J42" s="55" t="str">
        <f>VLOOKUP(4,AA38:AK41,2,FALSE)</f>
        <v>Canada</v>
      </c>
      <c r="K42" s="56">
        <f>L42+M42+N42</f>
        <v>3</v>
      </c>
      <c r="L42" s="56">
        <f>VLOOKUP(4,AA38:AK41,3,FALSE)</f>
        <v>0</v>
      </c>
      <c r="M42" s="56">
        <f>VLOOKUP(4,AA38:AK41,4,FALSE)</f>
        <v>0</v>
      </c>
      <c r="N42" s="56">
        <f>VLOOKUP(4,AA38:AK41,5,FALSE)</f>
        <v>3</v>
      </c>
      <c r="O42" s="56" t="str">
        <f>VLOOKUP(4,AA38:AK41,6,FALSE) &amp; " - " &amp; VLOOKUP(4,AA38:AK41,7,FALSE)</f>
        <v>2 - 6</v>
      </c>
      <c r="P42" s="57">
        <f>L42*3+M42</f>
        <v>0</v>
      </c>
      <c r="R42" s="47">
        <f>DATE(2022,11,29)+TIME(8,0,0)+gmt_delta</f>
        <v>44894.916666666672</v>
      </c>
      <c r="S42" s="88" t="str">
        <f t="shared" si="3"/>
        <v>Iran_lose</v>
      </c>
      <c r="T42" s="88" t="str">
        <f t="shared" si="4"/>
        <v>United States_win</v>
      </c>
      <c r="U42" s="48">
        <f t="shared" si="5"/>
        <v>0</v>
      </c>
      <c r="V42" s="47">
        <f t="shared" si="6"/>
        <v>0</v>
      </c>
      <c r="W42" s="47">
        <f t="shared" si="7"/>
        <v>0</v>
      </c>
      <c r="X42" s="47">
        <f t="shared" si="8"/>
        <v>0</v>
      </c>
      <c r="Y42" s="47">
        <f t="shared" si="9"/>
        <v>-1</v>
      </c>
      <c r="AC42" s="47">
        <f t="shared" ref="AC42:AL42" si="15">MAX(AC38:AC41)-MIN(AC38:AC41)+1</f>
        <v>3</v>
      </c>
      <c r="AD42" s="47">
        <f t="shared" si="15"/>
        <v>2</v>
      </c>
      <c r="AE42" s="47">
        <f t="shared" si="15"/>
        <v>4</v>
      </c>
      <c r="AF42" s="47">
        <f t="shared" si="15"/>
        <v>5</v>
      </c>
      <c r="AG42" s="47">
        <f t="shared" si="15"/>
        <v>5</v>
      </c>
      <c r="AH42" s="47">
        <f>MAX(AH38:AH41)-AH43+1</f>
        <v>70805</v>
      </c>
      <c r="AI42" s="47">
        <f>MAX(AI38:AI41)-AI43+1</f>
        <v>9</v>
      </c>
      <c r="AK42" s="47">
        <f t="shared" si="15"/>
        <v>8</v>
      </c>
      <c r="AL42" s="47">
        <f t="shared" si="15"/>
        <v>1</v>
      </c>
      <c r="AP42" s="47">
        <f>MAX(AP38:AP41)-MIN(AP38:AP41)+1</f>
        <v>1</v>
      </c>
      <c r="AQ42" s="47">
        <f>MAX(AQ38:AQ41)-MIN(AQ38:AQ41)+1</f>
        <v>1</v>
      </c>
      <c r="AR42" s="47">
        <f>MAX(AR38:AR41)-MIN(AR38:AR41)+1</f>
        <v>1</v>
      </c>
      <c r="AS42" s="47">
        <f>MAX(AS38:AS41)-MIN(AS38:AS41)+1</f>
        <v>1</v>
      </c>
      <c r="AT42" s="47">
        <f>MAX(AT38:AT41)-MIN(AT38:AT41)+1</f>
        <v>1</v>
      </c>
      <c r="AY42" s="135"/>
      <c r="AZ42" s="136"/>
      <c r="BA42" s="136"/>
      <c r="BB42" s="136"/>
      <c r="BC42" s="137"/>
      <c r="BL42" s="142"/>
      <c r="BM42" s="142"/>
      <c r="BN42" s="142"/>
      <c r="BO42" s="142"/>
      <c r="BP42" s="142"/>
      <c r="BQ42" s="142"/>
      <c r="BR42" s="144"/>
      <c r="BS42" s="144"/>
      <c r="BT42" s="144"/>
      <c r="BU42" s="144"/>
      <c r="BV42" s="144"/>
      <c r="BW42" s="144"/>
      <c r="BX42" s="144"/>
    </row>
    <row r="43" spans="1:76" ht="15" customHeight="1" x14ac:dyDescent="0.25">
      <c r="A43" s="17">
        <v>37</v>
      </c>
      <c r="B43" s="18" t="str">
        <f t="shared" si="0"/>
        <v>Wed</v>
      </c>
      <c r="C43" s="19" t="str">
        <f t="shared" si="1"/>
        <v>Nov 30, 2022</v>
      </c>
      <c r="D43" s="20">
        <f t="shared" si="2"/>
        <v>0.75</v>
      </c>
      <c r="E43" s="93" t="str">
        <f>AB27</f>
        <v>Australia</v>
      </c>
      <c r="F43" s="21">
        <v>1</v>
      </c>
      <c r="G43" s="22">
        <v>2</v>
      </c>
      <c r="H43" s="90" t="str">
        <f>AB28</f>
        <v>Denmark</v>
      </c>
      <c r="R43" s="47">
        <f>DATE(2022,11,30)+TIME(4,0,0)+gmt_delta</f>
        <v>44895.75</v>
      </c>
      <c r="S43" s="88" t="str">
        <f t="shared" si="3"/>
        <v>Australia_lose</v>
      </c>
      <c r="T43" s="88" t="str">
        <f t="shared" si="4"/>
        <v>Denmark_win</v>
      </c>
      <c r="U43" s="48">
        <f t="shared" si="5"/>
        <v>0</v>
      </c>
      <c r="V43" s="47">
        <f t="shared" si="6"/>
        <v>0</v>
      </c>
      <c r="W43" s="47">
        <f t="shared" si="7"/>
        <v>0</v>
      </c>
      <c r="X43" s="47">
        <f t="shared" si="8"/>
        <v>0</v>
      </c>
      <c r="Y43" s="47">
        <f t="shared" si="9"/>
        <v>-1</v>
      </c>
      <c r="AH43" s="47">
        <f>MIN(AH38:AH41)</f>
        <v>-398</v>
      </c>
      <c r="AI43" s="47">
        <f>MIN(AI38:AI41)</f>
        <v>-4</v>
      </c>
      <c r="AY43" s="135"/>
      <c r="AZ43" s="136"/>
      <c r="BA43" s="136"/>
      <c r="BB43" s="136"/>
      <c r="BC43" s="137"/>
    </row>
    <row r="44" spans="1:76" ht="15" customHeight="1" x14ac:dyDescent="0.25">
      <c r="A44" s="17">
        <v>38</v>
      </c>
      <c r="B44" s="18" t="str">
        <f t="shared" si="0"/>
        <v>Wed</v>
      </c>
      <c r="C44" s="19" t="str">
        <f t="shared" si="1"/>
        <v>Nov 30, 2022</v>
      </c>
      <c r="D44" s="20">
        <f t="shared" si="2"/>
        <v>0.75</v>
      </c>
      <c r="E44" s="93" t="str">
        <f>AB29</f>
        <v>Tunisia</v>
      </c>
      <c r="F44" s="21">
        <v>0</v>
      </c>
      <c r="G44" s="22">
        <v>2</v>
      </c>
      <c r="H44" s="90" t="str">
        <f>AB26</f>
        <v>France</v>
      </c>
      <c r="J44" s="58" t="str">
        <f>INDEX(T,9,lang) &amp; " " &amp; "G"</f>
        <v>Group G</v>
      </c>
      <c r="K44" s="59" t="str">
        <f>INDEX(T,10,lang)</f>
        <v>PL</v>
      </c>
      <c r="L44" s="59" t="str">
        <f>INDEX(T,11,lang)</f>
        <v>W</v>
      </c>
      <c r="M44" s="59" t="str">
        <f>INDEX(T,12,lang)</f>
        <v>DRAW</v>
      </c>
      <c r="N44" s="59" t="str">
        <f>INDEX(T,13,lang)</f>
        <v>L</v>
      </c>
      <c r="O44" s="59" t="str">
        <f>INDEX(T,14,lang)</f>
        <v>GF - GA</v>
      </c>
      <c r="P44" s="60" t="str">
        <f>INDEX(T,15,lang)</f>
        <v>PNT</v>
      </c>
      <c r="R44" s="47">
        <f>DATE(2022,11,30)+TIME(4,0,0)+gmt_delta</f>
        <v>44895.75</v>
      </c>
      <c r="S44" s="88" t="str">
        <f t="shared" si="3"/>
        <v>Tunisia_lose</v>
      </c>
      <c r="T44" s="88" t="str">
        <f t="shared" si="4"/>
        <v>France_win</v>
      </c>
      <c r="U44" s="48">
        <f t="shared" si="5"/>
        <v>0</v>
      </c>
      <c r="V44" s="47">
        <f t="shared" si="6"/>
        <v>0</v>
      </c>
      <c r="W44" s="47">
        <f t="shared" si="7"/>
        <v>0</v>
      </c>
      <c r="X44" s="47">
        <f t="shared" si="8"/>
        <v>0</v>
      </c>
      <c r="Y44" s="47">
        <f t="shared" si="9"/>
        <v>-1</v>
      </c>
      <c r="AA44" s="47">
        <f>COUNTIF(AN44:AN47,CONCATENATE("&gt;=",AN44))</f>
        <v>1</v>
      </c>
      <c r="AB44" s="48" t="str">
        <f>VLOOKUP("Brazil",T,lang,FALSE)</f>
        <v>Brazil</v>
      </c>
      <c r="AC44" s="47">
        <f>COUNTIF($S$7:$T$54,"=" &amp; AB44 &amp; "_win")</f>
        <v>3</v>
      </c>
      <c r="AD44" s="47">
        <f>COUNTIF($S$7:$T$54,"=" &amp; AB44 &amp; "_draw")</f>
        <v>0</v>
      </c>
      <c r="AE44" s="47">
        <f>COUNTIF($S$7:$T$54,"=" &amp; AB44 &amp; "_lose")</f>
        <v>0</v>
      </c>
      <c r="AF44" s="47">
        <f>SUMIF($E$7:$E$54,$AB44,$F$7:$F$54) + SUMIF($H$7:$H$54,$AB44,$G$7:$G$54)</f>
        <v>6</v>
      </c>
      <c r="AG44" s="47">
        <f>SUMIF($E$7:$E$54,$AB44,$G$7:$G$54) + SUMIF($H$7:$H$54,$AB44,$F$7:$F$54)</f>
        <v>1</v>
      </c>
      <c r="AH44" s="47">
        <f>(AF44-AG44)*100+AK44*10000+AF44</f>
        <v>90506</v>
      </c>
      <c r="AI44" s="47">
        <f>AF44-AG44</f>
        <v>5</v>
      </c>
      <c r="AJ44" s="47">
        <f>(AI44-AI49)/AI48</f>
        <v>0.875</v>
      </c>
      <c r="AK44" s="47">
        <f>AC44*3+AD44</f>
        <v>9</v>
      </c>
      <c r="AL44" s="47">
        <f>AP44/AP48*1000+AQ44/AQ48*100+AT44/AT48*10+AR44/AR48</f>
        <v>0</v>
      </c>
      <c r="AM44" s="47">
        <f>VLOOKUP(AB44,db_fifarank,2,FALSE)/2000000</f>
        <v>9.1634500000000005E-4</v>
      </c>
      <c r="AN44" s="48">
        <f>1000*AK44/AK48+100*AJ44+10*AF44/AF48+1*AL44/AL48+AM44</f>
        <v>1099.500916345</v>
      </c>
      <c r="AO44" s="48" t="str">
        <f>IF(SUM(AC44:AE47)=12,J45,INDEX(T,82,lang))</f>
        <v>Brazil</v>
      </c>
      <c r="AP44" s="47">
        <f>SUMPRODUCT(($S$7:$S$54=AB44&amp;"_win")*($U$7:$U$54))+SUMPRODUCT(($T$7:$T$54=AB44&amp;"_win")*($U$7:$U$54))</f>
        <v>0</v>
      </c>
      <c r="AQ44" s="47">
        <f>SUMPRODUCT(($S$7:$S$54=AB44&amp;"_draw")*($U$7:$U$54))+SUMPRODUCT(($T$7:$T$54=AB44&amp;"_draw")*($U$7:$U$54))</f>
        <v>0</v>
      </c>
      <c r="AR44" s="47">
        <f>SUMPRODUCT(($E$7:$E$54=AB44)*($U$7:$U$54)*($F$7:$F$54))+SUMPRODUCT(($H$7:$H$54=AB44)*($U$7:$U$54)*($G$7:$G$54))</f>
        <v>0</v>
      </c>
      <c r="AS44" s="47">
        <f>SUMPRODUCT(($E$7:$E$54=AB44)*($U$7:$U$54)*($G$7:$G$54))+SUMPRODUCT(($H$7:$H$54=AB44)*($U$7:$U$54)*($F$7:$F$54))</f>
        <v>0</v>
      </c>
      <c r="AT44" s="47">
        <f>AR44-AS44</f>
        <v>0</v>
      </c>
      <c r="AY44" s="135"/>
      <c r="AZ44" s="136"/>
      <c r="BA44" s="136"/>
      <c r="BB44" s="136"/>
      <c r="BC44" s="137"/>
    </row>
    <row r="45" spans="1:76" ht="15" customHeight="1" x14ac:dyDescent="0.25">
      <c r="A45" s="17">
        <v>39</v>
      </c>
      <c r="B45" s="18" t="str">
        <f t="shared" si="0"/>
        <v>Wed</v>
      </c>
      <c r="C45" s="19" t="str">
        <f t="shared" si="1"/>
        <v>Nov 30, 2022</v>
      </c>
      <c r="D45" s="20">
        <f t="shared" si="2"/>
        <v>0.91666666666666663</v>
      </c>
      <c r="E45" s="93" t="str">
        <f>AB23</f>
        <v>Poland</v>
      </c>
      <c r="F45" s="21">
        <v>1</v>
      </c>
      <c r="G45" s="22">
        <v>2</v>
      </c>
      <c r="H45" s="90" t="str">
        <f>AB20</f>
        <v>Argentina</v>
      </c>
      <c r="J45" s="50" t="str">
        <f>VLOOKUP(1,AA44:AK47,2,FALSE)</f>
        <v>Brazil</v>
      </c>
      <c r="K45" s="51">
        <f>L45+M45+N45</f>
        <v>3</v>
      </c>
      <c r="L45" s="51">
        <f>VLOOKUP(1,AA44:AK47,3,FALSE)</f>
        <v>3</v>
      </c>
      <c r="M45" s="51">
        <f>VLOOKUP(1,AA44:AK47,4,FALSE)</f>
        <v>0</v>
      </c>
      <c r="N45" s="51">
        <f>VLOOKUP(1,AA44:AK47,5,FALSE)</f>
        <v>0</v>
      </c>
      <c r="O45" s="51" t="str">
        <f>VLOOKUP(1,AA44:AK47,6,FALSE) &amp; " - " &amp; VLOOKUP(1,AA44:AK47,7,FALSE)</f>
        <v>6 - 1</v>
      </c>
      <c r="P45" s="52">
        <f>L45*3+M45</f>
        <v>9</v>
      </c>
      <c r="R45" s="47">
        <f>DATE(2022,11,30)+TIME(8,0,0)+gmt_delta</f>
        <v>44895.916666666672</v>
      </c>
      <c r="S45" s="88" t="str">
        <f t="shared" si="3"/>
        <v>Poland_lose</v>
      </c>
      <c r="T45" s="88" t="str">
        <f t="shared" si="4"/>
        <v>Argentina_win</v>
      </c>
      <c r="U45" s="48">
        <f t="shared" si="5"/>
        <v>0</v>
      </c>
      <c r="V45" s="47">
        <f t="shared" si="6"/>
        <v>0</v>
      </c>
      <c r="W45" s="47">
        <f t="shared" si="7"/>
        <v>0</v>
      </c>
      <c r="X45" s="47">
        <f t="shared" si="8"/>
        <v>1</v>
      </c>
      <c r="Y45" s="47">
        <f t="shared" si="9"/>
        <v>-1</v>
      </c>
      <c r="AA45" s="47">
        <f>COUNTIF(AN44:AN47,CONCATENATE("&gt;=",AN45))</f>
        <v>2</v>
      </c>
      <c r="AB45" s="48" t="str">
        <f>VLOOKUP("Serbia",T,lang,FALSE)</f>
        <v>Serbia</v>
      </c>
      <c r="AC45" s="47">
        <f>COUNTIF($S$7:$T$54,"=" &amp; AB45 &amp; "_win")</f>
        <v>1</v>
      </c>
      <c r="AD45" s="47">
        <f>COUNTIF($S$7:$T$54,"=" &amp; AB45 &amp; "_draw")</f>
        <v>1</v>
      </c>
      <c r="AE45" s="47">
        <f>COUNTIF($S$7:$T$54,"=" &amp; AB45 &amp; "_lose")</f>
        <v>1</v>
      </c>
      <c r="AF45" s="47">
        <f>SUMIF($E$7:$E$54,$AB45,$F$7:$F$54) + SUMIF($H$7:$H$54,$AB45,$G$7:$G$54)</f>
        <v>2</v>
      </c>
      <c r="AG45" s="47">
        <f>SUMIF($E$7:$E$54,$AB45,$G$7:$G$54) + SUMIF($H$7:$H$54,$AB45,$F$7:$F$54)</f>
        <v>3</v>
      </c>
      <c r="AH45" s="47">
        <f>(AF45-AG45)*100+AK45*10000+AF45</f>
        <v>39902</v>
      </c>
      <c r="AI45" s="47">
        <f>AF45-AG45</f>
        <v>-1</v>
      </c>
      <c r="AJ45" s="47">
        <f>(AI45-AI49)/AI48</f>
        <v>0.125</v>
      </c>
      <c r="AK45" s="47">
        <f>AC45*3+AD45</f>
        <v>4</v>
      </c>
      <c r="AL45" s="47">
        <f>AP45/AP48*1000+AQ45/AQ48*100+AT45/AT48*10+AR45/AR48</f>
        <v>0</v>
      </c>
      <c r="AM45" s="47">
        <f>VLOOKUP(AB45,db_fifarank,2,FALSE)/2000000</f>
        <v>7.7376499999999993E-4</v>
      </c>
      <c r="AN45" s="48">
        <f>1000*AK45/AK48+100*AJ45+10*AF45/AF48+1*AL45/AL48+AM45</f>
        <v>460.94521820944448</v>
      </c>
      <c r="AO45" s="48" t="str">
        <f>IF(SUM(AC44:AE47)=12,J46,INDEX(T,83,lang))</f>
        <v>Serbia</v>
      </c>
      <c r="AP45" s="47">
        <f>SUMPRODUCT(($S$7:$S$54=AB45&amp;"_win")*($U$7:$U$54))+SUMPRODUCT(($T$7:$T$54=AB45&amp;"_win")*($U$7:$U$54))</f>
        <v>0</v>
      </c>
      <c r="AQ45" s="47">
        <f>SUMPRODUCT(($S$7:$S$54=AB45&amp;"_draw")*($U$7:$U$54))+SUMPRODUCT(($T$7:$T$54=AB45&amp;"_draw")*($U$7:$U$54))</f>
        <v>0</v>
      </c>
      <c r="AR45" s="47">
        <f>SUMPRODUCT(($E$7:$E$54=AB45)*($U$7:$U$54)*($F$7:$F$54))+SUMPRODUCT(($H$7:$H$54=AB45)*($U$7:$U$54)*($G$7:$G$54))</f>
        <v>0</v>
      </c>
      <c r="AS45" s="47">
        <f>SUMPRODUCT(($E$7:$E$54=AB45)*($U$7:$U$54)*($G$7:$G$54))+SUMPRODUCT(($H$7:$H$54=AB45)*($U$7:$U$54)*($F$7:$F$54))</f>
        <v>0</v>
      </c>
      <c r="AT45" s="47">
        <f>AR45-AS45</f>
        <v>0</v>
      </c>
      <c r="AY45" s="135"/>
      <c r="AZ45" s="136"/>
      <c r="BA45" s="136"/>
      <c r="BB45" s="136"/>
      <c r="BC45" s="137"/>
    </row>
    <row r="46" spans="1:76" ht="15" customHeight="1" x14ac:dyDescent="0.25">
      <c r="A46" s="17">
        <v>40</v>
      </c>
      <c r="B46" s="18" t="str">
        <f t="shared" si="0"/>
        <v>Wed</v>
      </c>
      <c r="C46" s="19" t="str">
        <f t="shared" si="1"/>
        <v>Nov 30, 2022</v>
      </c>
      <c r="D46" s="20">
        <f t="shared" si="2"/>
        <v>0.91666666666666663</v>
      </c>
      <c r="E46" s="93" t="str">
        <f>AB21</f>
        <v>Saudi Arabia</v>
      </c>
      <c r="F46" s="21">
        <v>0</v>
      </c>
      <c r="G46" s="22">
        <v>1</v>
      </c>
      <c r="H46" s="90" t="str">
        <f>AB22</f>
        <v>Mexico</v>
      </c>
      <c r="J46" s="53" t="str">
        <f>VLOOKUP(2,AA44:AK47,2,FALSE)</f>
        <v>Serbia</v>
      </c>
      <c r="K46" s="25">
        <f>L46+M46+N46</f>
        <v>3</v>
      </c>
      <c r="L46" s="25">
        <f>VLOOKUP(2,AA44:AK47,3,FALSE)</f>
        <v>1</v>
      </c>
      <c r="M46" s="25">
        <f>VLOOKUP(2,AA44:AK47,4,FALSE)</f>
        <v>1</v>
      </c>
      <c r="N46" s="25">
        <f>VLOOKUP(2,AA44:AK47,5,FALSE)</f>
        <v>1</v>
      </c>
      <c r="O46" s="25" t="str">
        <f>VLOOKUP(2,AA44:AK47,6,FALSE) &amp; " - " &amp; VLOOKUP(2,AA44:AK47,7,FALSE)</f>
        <v>2 - 3</v>
      </c>
      <c r="P46" s="54">
        <f>L46*3+M46</f>
        <v>4</v>
      </c>
      <c r="R46" s="47">
        <f>DATE(2022,11,30)+TIME(8,0,0)+gmt_delta</f>
        <v>44895.916666666672</v>
      </c>
      <c r="S46" s="88" t="str">
        <f t="shared" si="3"/>
        <v>Saudi Arabia_lose</v>
      </c>
      <c r="T46" s="88" t="str">
        <f t="shared" si="4"/>
        <v>Mexico_win</v>
      </c>
      <c r="U46" s="48">
        <f t="shared" si="5"/>
        <v>0</v>
      </c>
      <c r="V46" s="47">
        <f t="shared" si="6"/>
        <v>0</v>
      </c>
      <c r="W46" s="47">
        <f t="shared" si="7"/>
        <v>0</v>
      </c>
      <c r="X46" s="47">
        <f t="shared" si="8"/>
        <v>0</v>
      </c>
      <c r="Y46" s="47">
        <f t="shared" si="9"/>
        <v>-1</v>
      </c>
      <c r="AA46" s="47">
        <f>COUNTIF(AN44:AN47,CONCATENATE("&gt;=",AN46))</f>
        <v>4</v>
      </c>
      <c r="AB46" s="48" t="str">
        <f>VLOOKUP("Switzerland",T,lang,FALSE)</f>
        <v>Switzerland</v>
      </c>
      <c r="AC46" s="47">
        <f>COUNTIF($S$7:$T$54,"=" &amp; AB46 &amp; "_win")</f>
        <v>0</v>
      </c>
      <c r="AD46" s="47">
        <f>COUNTIF($S$7:$T$54,"=" &amp; AB46 &amp; "_draw")</f>
        <v>1</v>
      </c>
      <c r="AE46" s="47">
        <f>COUNTIF($S$7:$T$54,"=" &amp; AB46 &amp; "_lose")</f>
        <v>2</v>
      </c>
      <c r="AF46" s="47">
        <f>SUMIF($E$7:$E$54,$AB46,$F$7:$F$54) + SUMIF($H$7:$H$54,$AB46,$G$7:$G$54)</f>
        <v>3</v>
      </c>
      <c r="AG46" s="47">
        <f>SUMIF($E$7:$E$54,$AB46,$G$7:$G$54) + SUMIF($H$7:$H$54,$AB46,$F$7:$F$54)</f>
        <v>5</v>
      </c>
      <c r="AH46" s="47">
        <f>(AF46-AG46)*100+AK46*10000+AF46</f>
        <v>9803</v>
      </c>
      <c r="AI46" s="47">
        <f>AF46-AG46</f>
        <v>-2</v>
      </c>
      <c r="AJ46" s="47">
        <f>(AI46-AI49)/AI48</f>
        <v>0</v>
      </c>
      <c r="AK46" s="47">
        <f>AC46*3+AD46</f>
        <v>1</v>
      </c>
      <c r="AL46" s="47">
        <f>AP46/AP48*1000+AQ46/AQ48*100+AT46/AT48*10+AR46/AR48</f>
        <v>0</v>
      </c>
      <c r="AM46" s="47">
        <f>VLOOKUP(AB46,db_fifarank,2,FALSE)/2000000</f>
        <v>8.1766E-4</v>
      </c>
      <c r="AN46" s="48">
        <f>1000*AK46/AK48+100*AJ46+10*AF46/AF48+1*AL46/AL48+AM46</f>
        <v>117.11192877111111</v>
      </c>
      <c r="AP46" s="47">
        <f>SUMPRODUCT(($S$7:$S$54=AB46&amp;"_win")*($U$7:$U$54))+SUMPRODUCT(($T$7:$T$54=AB46&amp;"_win")*($U$7:$U$54))</f>
        <v>0</v>
      </c>
      <c r="AQ46" s="47">
        <f>SUMPRODUCT(($S$7:$S$54=AB46&amp;"_draw")*($U$7:$U$54))+SUMPRODUCT(($T$7:$T$54=AB46&amp;"_draw")*($U$7:$U$54))</f>
        <v>0</v>
      </c>
      <c r="AR46" s="47">
        <f>SUMPRODUCT(($E$7:$E$54=AB46)*($U$7:$U$54)*($F$7:$F$54))+SUMPRODUCT(($H$7:$H$54=AB46)*($U$7:$U$54)*($G$7:$G$54))</f>
        <v>0</v>
      </c>
      <c r="AS46" s="47">
        <f>SUMPRODUCT(($E$7:$E$54=AB46)*($U$7:$U$54)*($G$7:$G$54))+SUMPRODUCT(($H$7:$H$54=AB46)*($U$7:$U$54)*($F$7:$F$54))</f>
        <v>0</v>
      </c>
      <c r="AT46" s="47">
        <f>AR46-AS46</f>
        <v>0</v>
      </c>
      <c r="AY46" s="138"/>
      <c r="AZ46" s="139"/>
      <c r="BA46" s="139"/>
      <c r="BB46" s="139"/>
      <c r="BC46" s="140"/>
    </row>
    <row r="47" spans="1:76" ht="15" customHeight="1" x14ac:dyDescent="0.25">
      <c r="A47" s="17">
        <v>41</v>
      </c>
      <c r="B47" s="18" t="str">
        <f t="shared" si="0"/>
        <v>Thu</v>
      </c>
      <c r="C47" s="19" t="str">
        <f t="shared" si="1"/>
        <v>Dec 1, 2022</v>
      </c>
      <c r="D47" s="20">
        <f t="shared" si="2"/>
        <v>0.75</v>
      </c>
      <c r="E47" s="93" t="str">
        <f>AB41</f>
        <v>Croatia</v>
      </c>
      <c r="F47" s="21">
        <v>2</v>
      </c>
      <c r="G47" s="22">
        <v>2</v>
      </c>
      <c r="H47" s="90" t="str">
        <f>AB38</f>
        <v>Belgium</v>
      </c>
      <c r="J47" s="53" t="str">
        <f>VLOOKUP(3,AA44:AK47,2,FALSE)</f>
        <v>Cameroon</v>
      </c>
      <c r="K47" s="25">
        <f>L47+M47+N47</f>
        <v>3</v>
      </c>
      <c r="L47" s="25">
        <f>VLOOKUP(3,AA44:AK47,3,FALSE)</f>
        <v>1</v>
      </c>
      <c r="M47" s="25">
        <f>VLOOKUP(3,AA44:AK47,4,FALSE)</f>
        <v>0</v>
      </c>
      <c r="N47" s="25">
        <f>VLOOKUP(3,AA44:AK47,5,FALSE)</f>
        <v>2</v>
      </c>
      <c r="O47" s="25" t="str">
        <f>VLOOKUP(3,AA44:AK47,6,FALSE) &amp; " - " &amp; VLOOKUP(3,AA44:AK47,7,FALSE)</f>
        <v>2 - 4</v>
      </c>
      <c r="P47" s="54">
        <f>L47*3+M47</f>
        <v>3</v>
      </c>
      <c r="R47" s="47">
        <f>DATE(2022,12,1)+TIME(4,0,0)+gmt_delta</f>
        <v>44896.75</v>
      </c>
      <c r="S47" s="88" t="str">
        <f t="shared" si="3"/>
        <v>Croatia_draw</v>
      </c>
      <c r="T47" s="88" t="str">
        <f t="shared" si="4"/>
        <v>Belgium_draw</v>
      </c>
      <c r="U47" s="48">
        <f t="shared" si="5"/>
        <v>0</v>
      </c>
      <c r="V47" s="47">
        <f t="shared" si="6"/>
        <v>0</v>
      </c>
      <c r="W47" s="47">
        <f t="shared" si="7"/>
        <v>0</v>
      </c>
      <c r="X47" s="47">
        <f t="shared" si="8"/>
        <v>0</v>
      </c>
      <c r="Y47" s="47">
        <f t="shared" si="9"/>
        <v>0</v>
      </c>
      <c r="AA47" s="47">
        <f>COUNTIF(AN44:AN47,CONCATENATE("&gt;=",AN47))</f>
        <v>3</v>
      </c>
      <c r="AB47" s="48" t="str">
        <f>VLOOKUP("Cameroon",T,lang,FALSE)</f>
        <v>Cameroon</v>
      </c>
      <c r="AC47" s="47">
        <f>COUNTIF($S$7:$T$54,"=" &amp; AB47 &amp; "_win")</f>
        <v>1</v>
      </c>
      <c r="AD47" s="47">
        <f>COUNTIF($S$7:$T$54,"=" &amp; AB47 &amp; "_draw")</f>
        <v>0</v>
      </c>
      <c r="AE47" s="47">
        <f>COUNTIF($S$7:$T$54,"=" &amp; AB47 &amp; "_lose")</f>
        <v>2</v>
      </c>
      <c r="AF47" s="47">
        <f>SUMIF($E$7:$E$54,$AB47,$F$7:$F$54) + SUMIF($H$7:$H$54,$AB47,$G$7:$G$54)</f>
        <v>2</v>
      </c>
      <c r="AG47" s="47">
        <f>SUMIF($E$7:$E$54,$AB47,$G$7:$G$54) + SUMIF($H$7:$H$54,$AB47,$F$7:$F$54)</f>
        <v>4</v>
      </c>
      <c r="AH47" s="47">
        <f>(AF47-AG47)*100+AK47*10000+AF47</f>
        <v>29802</v>
      </c>
      <c r="AI47" s="47">
        <f>AF47-AG47</f>
        <v>-2</v>
      </c>
      <c r="AJ47" s="47">
        <f>(AI47-AI49)/AI48</f>
        <v>0</v>
      </c>
      <c r="AK47" s="47">
        <f>AC47*3+AD47</f>
        <v>3</v>
      </c>
      <c r="AL47" s="47">
        <f>AP47/AP48*1000+AQ47/AQ48*100+AT47/AT48*10+AR47/AR48</f>
        <v>0</v>
      </c>
      <c r="AM47" s="47">
        <f>VLOOKUP(AB47,db_fifarank,2,FALSE)/2000000</f>
        <v>7.4023999999999997E-4</v>
      </c>
      <c r="AN47" s="48">
        <f>1000*AK47/AK48+100*AJ47+10*AF47/AF48+1*AL47/AL48+AM47</f>
        <v>337.33407357333334</v>
      </c>
      <c r="AP47" s="47">
        <f>SUMPRODUCT(($S$7:$S$54=AB47&amp;"_win")*($U$7:$U$54))+SUMPRODUCT(($T$7:$T$54=AB47&amp;"_win")*($U$7:$U$54))</f>
        <v>0</v>
      </c>
      <c r="AQ47" s="47">
        <f>SUMPRODUCT(($S$7:$S$54=AB47&amp;"_draw")*($U$7:$U$54))+SUMPRODUCT(($T$7:$T$54=AB47&amp;"_draw")*($U$7:$U$54))</f>
        <v>0</v>
      </c>
      <c r="AR47" s="47">
        <f>SUMPRODUCT(($E$7:$E$54=AB47)*($U$7:$U$54)*($F$7:$F$54))+SUMPRODUCT(($H$7:$H$54=AB47)*($U$7:$U$54)*($G$7:$G$54))</f>
        <v>0</v>
      </c>
      <c r="AS47" s="47">
        <f>SUMPRODUCT(($E$7:$E$54=AB47)*($U$7:$U$54)*($G$7:$G$54))+SUMPRODUCT(($H$7:$H$54=AB47)*($U$7:$U$54)*($F$7:$F$54))</f>
        <v>0</v>
      </c>
      <c r="AT47" s="47">
        <f>AR47-AS47</f>
        <v>0</v>
      </c>
    </row>
    <row r="48" spans="1:76" ht="15" customHeight="1" x14ac:dyDescent="0.25">
      <c r="A48" s="17">
        <v>42</v>
      </c>
      <c r="B48" s="18" t="str">
        <f t="shared" si="0"/>
        <v>Thu</v>
      </c>
      <c r="C48" s="19" t="str">
        <f t="shared" si="1"/>
        <v>Dec 1, 2022</v>
      </c>
      <c r="D48" s="20">
        <f t="shared" si="2"/>
        <v>0.75</v>
      </c>
      <c r="E48" s="93" t="str">
        <f>AB39</f>
        <v>Canada</v>
      </c>
      <c r="F48" s="21">
        <v>1</v>
      </c>
      <c r="G48" s="22">
        <v>2</v>
      </c>
      <c r="H48" s="90" t="str">
        <f>AB40</f>
        <v>Morocco</v>
      </c>
      <c r="J48" s="55" t="str">
        <f>VLOOKUP(4,AA44:AK47,2,FALSE)</f>
        <v>Switzerland</v>
      </c>
      <c r="K48" s="56">
        <f>L48+M48+N48</f>
        <v>3</v>
      </c>
      <c r="L48" s="56">
        <f>VLOOKUP(4,AA44:AK47,3,FALSE)</f>
        <v>0</v>
      </c>
      <c r="M48" s="56">
        <f>VLOOKUP(4,AA44:AK47,4,FALSE)</f>
        <v>1</v>
      </c>
      <c r="N48" s="56">
        <f>VLOOKUP(4,AA44:AK47,5,FALSE)</f>
        <v>2</v>
      </c>
      <c r="O48" s="56" t="str">
        <f>VLOOKUP(4,AA44:AK47,6,FALSE) &amp; " - " &amp; VLOOKUP(4,AA44:AK47,7,FALSE)</f>
        <v>3 - 5</v>
      </c>
      <c r="P48" s="57">
        <f>L48*3+M48</f>
        <v>1</v>
      </c>
      <c r="R48" s="47">
        <f>DATE(2022,12,1)+TIME(4,0,0)+gmt_delta</f>
        <v>44896.75</v>
      </c>
      <c r="S48" s="88" t="str">
        <f t="shared" si="3"/>
        <v>Canada_lose</v>
      </c>
      <c r="T48" s="88" t="str">
        <f t="shared" si="4"/>
        <v>Morocco_win</v>
      </c>
      <c r="U48" s="48">
        <f t="shared" si="5"/>
        <v>0</v>
      </c>
      <c r="V48" s="47">
        <f t="shared" si="6"/>
        <v>0</v>
      </c>
      <c r="W48" s="47">
        <f t="shared" si="7"/>
        <v>0</v>
      </c>
      <c r="X48" s="47">
        <f t="shared" si="8"/>
        <v>0</v>
      </c>
      <c r="Y48" s="47">
        <f t="shared" si="9"/>
        <v>-1</v>
      </c>
      <c r="AC48" s="47">
        <f t="shared" ref="AC48:AL48" si="16">MAX(AC44:AC47)-MIN(AC44:AC47)+1</f>
        <v>4</v>
      </c>
      <c r="AD48" s="47">
        <f t="shared" si="16"/>
        <v>2</v>
      </c>
      <c r="AE48" s="47">
        <f t="shared" si="16"/>
        <v>3</v>
      </c>
      <c r="AF48" s="47">
        <f t="shared" si="16"/>
        <v>5</v>
      </c>
      <c r="AG48" s="47">
        <f t="shared" si="16"/>
        <v>5</v>
      </c>
      <c r="AH48" s="47">
        <f>MAX(AH44:AH47)-AH49+1</f>
        <v>80704</v>
      </c>
      <c r="AI48" s="47">
        <f>MAX(AI44:AI47)-AI49+1</f>
        <v>8</v>
      </c>
      <c r="AK48" s="47">
        <f t="shared" si="16"/>
        <v>9</v>
      </c>
      <c r="AL48" s="47">
        <f t="shared" si="16"/>
        <v>1</v>
      </c>
      <c r="AP48" s="47">
        <f>MAX(AP44:AP47)-MIN(AP44:AP47)+1</f>
        <v>1</v>
      </c>
      <c r="AQ48" s="47">
        <f>MAX(AQ44:AQ47)-MIN(AQ44:AQ47)+1</f>
        <v>1</v>
      </c>
      <c r="AR48" s="47">
        <f>MAX(AR44:AR47)-MIN(AR44:AR47)+1</f>
        <v>1</v>
      </c>
      <c r="AS48" s="47">
        <f>MAX(AS44:AS47)-MIN(AS44:AS47)+1</f>
        <v>1</v>
      </c>
      <c r="AT48" s="47">
        <f>MAX(AT44:AT47)-MIN(AT44:AT47)+1</f>
        <v>1</v>
      </c>
      <c r="AY48" s="132" t="s">
        <v>2516</v>
      </c>
      <c r="AZ48" s="133"/>
      <c r="BA48" s="133"/>
      <c r="BB48" s="133"/>
      <c r="BC48" s="134"/>
    </row>
    <row r="49" spans="1:55" ht="15" customHeight="1" x14ac:dyDescent="0.25">
      <c r="A49" s="17">
        <v>43</v>
      </c>
      <c r="B49" s="18" t="str">
        <f t="shared" si="0"/>
        <v>Thu</v>
      </c>
      <c r="C49" s="19" t="str">
        <f t="shared" si="1"/>
        <v>Dec 1, 2022</v>
      </c>
      <c r="D49" s="20">
        <f t="shared" si="2"/>
        <v>0.91666666666666663</v>
      </c>
      <c r="E49" s="93" t="str">
        <f>AB35</f>
        <v>Japan</v>
      </c>
      <c r="F49" s="21">
        <v>1</v>
      </c>
      <c r="G49" s="22">
        <v>1</v>
      </c>
      <c r="H49" s="90" t="str">
        <f>AB32</f>
        <v>Spain</v>
      </c>
      <c r="R49" s="47">
        <f>DATE(2022,12,1)+TIME(8,0,0)+gmt_delta</f>
        <v>44896.916666666672</v>
      </c>
      <c r="S49" s="88" t="str">
        <f t="shared" si="3"/>
        <v>Japan_draw</v>
      </c>
      <c r="T49" s="88" t="str">
        <f t="shared" si="4"/>
        <v>Spain_draw</v>
      </c>
      <c r="U49" s="48">
        <f t="shared" si="5"/>
        <v>0</v>
      </c>
      <c r="V49" s="47">
        <f t="shared" si="6"/>
        <v>0</v>
      </c>
      <c r="W49" s="47">
        <f t="shared" si="7"/>
        <v>0</v>
      </c>
      <c r="X49" s="47">
        <f t="shared" si="8"/>
        <v>0</v>
      </c>
      <c r="Y49" s="47">
        <f t="shared" si="9"/>
        <v>0</v>
      </c>
      <c r="AH49" s="47">
        <f>MIN(AH44:AH47)</f>
        <v>9803</v>
      </c>
      <c r="AI49" s="47">
        <f>MIN(AI44:AI47)</f>
        <v>-2</v>
      </c>
      <c r="AY49" s="135"/>
      <c r="AZ49" s="136"/>
      <c r="BA49" s="136"/>
      <c r="BB49" s="136"/>
      <c r="BC49" s="137"/>
    </row>
    <row r="50" spans="1:55" ht="15" customHeight="1" x14ac:dyDescent="0.25">
      <c r="A50" s="17">
        <v>44</v>
      </c>
      <c r="B50" s="18" t="str">
        <f t="shared" si="0"/>
        <v>Thu</v>
      </c>
      <c r="C50" s="19" t="str">
        <f t="shared" si="1"/>
        <v>Dec 1, 2022</v>
      </c>
      <c r="D50" s="20">
        <f t="shared" si="2"/>
        <v>0.91666666666666663</v>
      </c>
      <c r="E50" s="93" t="str">
        <f>AB33</f>
        <v>Costa Rica</v>
      </c>
      <c r="F50" s="21">
        <v>1</v>
      </c>
      <c r="G50" s="22">
        <v>2</v>
      </c>
      <c r="H50" s="90" t="str">
        <f>AB34</f>
        <v>Germany</v>
      </c>
      <c r="J50" s="58" t="str">
        <f>INDEX(T,9,lang) &amp; " " &amp; "H"</f>
        <v>Group H</v>
      </c>
      <c r="K50" s="59" t="str">
        <f>INDEX(T,10,lang)</f>
        <v>PL</v>
      </c>
      <c r="L50" s="59" t="str">
        <f>INDEX(T,11,lang)</f>
        <v>W</v>
      </c>
      <c r="M50" s="59" t="str">
        <f>INDEX(T,12,lang)</f>
        <v>DRAW</v>
      </c>
      <c r="N50" s="59" t="str">
        <f>INDEX(T,13,lang)</f>
        <v>L</v>
      </c>
      <c r="O50" s="59" t="str">
        <f>INDEX(T,14,lang)</f>
        <v>GF - GA</v>
      </c>
      <c r="P50" s="60" t="str">
        <f>INDEX(T,15,lang)</f>
        <v>PNT</v>
      </c>
      <c r="R50" s="47">
        <f>DATE(2022,12,1)+TIME(8,0,0)+gmt_delta</f>
        <v>44896.916666666672</v>
      </c>
      <c r="S50" s="88" t="str">
        <f t="shared" si="3"/>
        <v>Costa Rica_lose</v>
      </c>
      <c r="T50" s="88" t="str">
        <f t="shared" si="4"/>
        <v>Germany_win</v>
      </c>
      <c r="U50" s="48">
        <f t="shared" si="5"/>
        <v>0</v>
      </c>
      <c r="V50" s="47">
        <f t="shared" si="6"/>
        <v>0</v>
      </c>
      <c r="W50" s="47">
        <f t="shared" si="7"/>
        <v>0</v>
      </c>
      <c r="X50" s="47">
        <f t="shared" si="8"/>
        <v>0</v>
      </c>
      <c r="Y50" s="47">
        <f t="shared" si="9"/>
        <v>-1</v>
      </c>
      <c r="AA50" s="47">
        <f>COUNTIF(AN50:AN53,CONCATENATE("&gt;=",AN50))</f>
        <v>1</v>
      </c>
      <c r="AB50" s="48" t="str">
        <f>VLOOKUP("Portugal",T,lang,FALSE)</f>
        <v>Portugal</v>
      </c>
      <c r="AC50" s="47">
        <f>COUNTIF($S$7:$T$54,"=" &amp; AB50 &amp; "_win")</f>
        <v>3</v>
      </c>
      <c r="AD50" s="47">
        <f>COUNTIF($S$7:$T$54,"=" &amp; AB50 &amp; "_draw")</f>
        <v>0</v>
      </c>
      <c r="AE50" s="47">
        <f>COUNTIF($S$7:$T$54,"=" &amp; AB50 &amp; "_lose")</f>
        <v>0</v>
      </c>
      <c r="AF50" s="47">
        <f>SUMIF($E$7:$E$54,$AB50,$F$7:$F$54) + SUMIF($H$7:$H$54,$AB50,$G$7:$G$54)</f>
        <v>7</v>
      </c>
      <c r="AG50" s="47">
        <f>SUMIF($E$7:$E$54,$AB50,$G$7:$G$54) + SUMIF($H$7:$H$54,$AB50,$F$7:$F$54)</f>
        <v>2</v>
      </c>
      <c r="AH50" s="47">
        <f>(AF50-AG50)*100+AK50*10000+AF50</f>
        <v>90507</v>
      </c>
      <c r="AI50" s="47">
        <f>AF50-AG50</f>
        <v>5</v>
      </c>
      <c r="AJ50" s="47">
        <f>(AI50-AI55)/AI54</f>
        <v>0.9</v>
      </c>
      <c r="AK50" s="47">
        <f>AC50*3+AD50</f>
        <v>9</v>
      </c>
      <c r="AL50" s="47">
        <f>AP50/AP54*1000+AQ50/AQ54*100+AT50/AT54*10+AR50/AR54</f>
        <v>0</v>
      </c>
      <c r="AM50" s="47">
        <f>VLOOKUP(AB50,db_fifarank,2,FALSE)/2000000</f>
        <v>8.3739000000000003E-4</v>
      </c>
      <c r="AN50" s="48">
        <f>1000*AK50/AK54+100*AJ50+10*AF50/AF54+1*AL50/AL54+AM50</f>
        <v>998.75083739000002</v>
      </c>
      <c r="AO50" s="48" t="str">
        <f>IF(SUM(AC50:AE53)=12,J51,INDEX(T,84,lang))</f>
        <v>Portugal</v>
      </c>
      <c r="AP50" s="47">
        <f>SUMPRODUCT(($S$7:$S$54=AB50&amp;"_win")*($U$7:$U$54))+SUMPRODUCT(($T$7:$T$54=AB50&amp;"_win")*($U$7:$U$54))</f>
        <v>0</v>
      </c>
      <c r="AQ50" s="47">
        <f>SUMPRODUCT(($S$7:$S$54=AB50&amp;"_draw")*($U$7:$U$54))+SUMPRODUCT(($T$7:$T$54=AB50&amp;"_draw")*($U$7:$U$54))</f>
        <v>0</v>
      </c>
      <c r="AR50" s="47">
        <f>SUMPRODUCT(($E$7:$E$54=AB50)*($U$7:$U$54)*($F$7:$F$54))+SUMPRODUCT(($H$7:$H$54=AB50)*($U$7:$U$54)*($G$7:$G$54))</f>
        <v>0</v>
      </c>
      <c r="AS50" s="47">
        <f>SUMPRODUCT(($E$7:$E$54=AB50)*($U$7:$U$54)*($G$7:$G$54))+SUMPRODUCT(($H$7:$H$54=AB50)*($U$7:$U$54)*($F$7:$F$54))</f>
        <v>0</v>
      </c>
      <c r="AT50" s="47">
        <f>AR50-AS50</f>
        <v>0</v>
      </c>
      <c r="AY50" s="135"/>
      <c r="AZ50" s="136"/>
      <c r="BA50" s="136"/>
      <c r="BB50" s="136"/>
      <c r="BC50" s="137"/>
    </row>
    <row r="51" spans="1:55" ht="15" customHeight="1" x14ac:dyDescent="0.25">
      <c r="A51" s="17">
        <v>45</v>
      </c>
      <c r="B51" s="18" t="str">
        <f t="shared" si="0"/>
        <v>Fri</v>
      </c>
      <c r="C51" s="19" t="str">
        <f t="shared" si="1"/>
        <v>Dec 2, 2022</v>
      </c>
      <c r="D51" s="20">
        <f t="shared" si="2"/>
        <v>0.75</v>
      </c>
      <c r="E51" s="93" t="str">
        <f>AB51</f>
        <v>Ghana</v>
      </c>
      <c r="F51" s="21">
        <v>0</v>
      </c>
      <c r="G51" s="22">
        <v>1</v>
      </c>
      <c r="H51" s="90" t="str">
        <f>AB52</f>
        <v>Uruguay</v>
      </c>
      <c r="J51" s="50" t="str">
        <f>VLOOKUP(1,AA50:AK53,2,FALSE)</f>
        <v>Portugal</v>
      </c>
      <c r="K51" s="51">
        <f>L51+M51+N51</f>
        <v>3</v>
      </c>
      <c r="L51" s="51">
        <f>VLOOKUP(1,AA50:AK53,3,FALSE)</f>
        <v>3</v>
      </c>
      <c r="M51" s="51">
        <f>VLOOKUP(1,AA50:AK53,4,FALSE)</f>
        <v>0</v>
      </c>
      <c r="N51" s="51">
        <f>VLOOKUP(1,AA50:AK53,5,FALSE)</f>
        <v>0</v>
      </c>
      <c r="O51" s="51" t="str">
        <f>VLOOKUP(1,AA50:AK53,6,FALSE) &amp; " - " &amp; VLOOKUP(1,AA50:AK53,7,FALSE)</f>
        <v>7 - 2</v>
      </c>
      <c r="P51" s="52">
        <f>L51*3+M51</f>
        <v>9</v>
      </c>
      <c r="R51" s="47">
        <f>DATE(2022,12,2)+TIME(4,0,0)+gmt_delta</f>
        <v>44897.75</v>
      </c>
      <c r="S51" s="88" t="str">
        <f t="shared" si="3"/>
        <v>Ghana_lose</v>
      </c>
      <c r="T51" s="88" t="str">
        <f t="shared" si="4"/>
        <v>Uruguay_win</v>
      </c>
      <c r="U51" s="48">
        <f t="shared" si="5"/>
        <v>0</v>
      </c>
      <c r="V51" s="47">
        <f t="shared" si="6"/>
        <v>0</v>
      </c>
      <c r="W51" s="47">
        <f t="shared" si="7"/>
        <v>0</v>
      </c>
      <c r="X51" s="47">
        <f t="shared" si="8"/>
        <v>0</v>
      </c>
      <c r="Y51" s="47">
        <f t="shared" si="9"/>
        <v>-1</v>
      </c>
      <c r="AA51" s="47">
        <f>COUNTIF(AN50:AN53,CONCATENATE("&gt;=",AN51))</f>
        <v>4</v>
      </c>
      <c r="AB51" s="48" t="str">
        <f>VLOOKUP("Ghana",T,lang,FALSE)</f>
        <v>Ghana</v>
      </c>
      <c r="AC51" s="47">
        <f>COUNTIF($S$7:$T$54,"=" &amp; AB51 &amp; "_win")</f>
        <v>0</v>
      </c>
      <c r="AD51" s="47">
        <f>COUNTIF($S$7:$T$54,"=" &amp; AB51 &amp; "_draw")</f>
        <v>0</v>
      </c>
      <c r="AE51" s="47">
        <f>COUNTIF($S$7:$T$54,"=" &amp; AB51 &amp; "_lose")</f>
        <v>3</v>
      </c>
      <c r="AF51" s="47">
        <f>SUMIF($E$7:$E$54,$AB51,$F$7:$F$54) + SUMIF($H$7:$H$54,$AB51,$G$7:$G$54)</f>
        <v>0</v>
      </c>
      <c r="AG51" s="47">
        <f>SUMIF($E$7:$E$54,$AB51,$G$7:$G$54) + SUMIF($H$7:$H$54,$AB51,$F$7:$F$54)</f>
        <v>4</v>
      </c>
      <c r="AH51" s="47">
        <f>(AF51-AG51)*100+AK51*10000+AF51</f>
        <v>-400</v>
      </c>
      <c r="AI51" s="47">
        <f>AF51-AG51</f>
        <v>-4</v>
      </c>
      <c r="AJ51" s="47">
        <f>(AI51-AI55)/AI54</f>
        <v>0</v>
      </c>
      <c r="AK51" s="47">
        <f>AC51*3+AD51</f>
        <v>0</v>
      </c>
      <c r="AL51" s="47">
        <f>AP51/AP54*1000+AQ51/AQ54*100+AT51/AT54*10+AR51/AR54</f>
        <v>0</v>
      </c>
      <c r="AM51" s="47">
        <f>VLOOKUP(AB51,db_fifarank,2,FALSE)/2000000</f>
        <v>6.936799999999999E-4</v>
      </c>
      <c r="AN51" s="48">
        <f>1000*AK51/AK54+100*AJ51+10*AF51/AF54+1*AL51/AL54+AM51</f>
        <v>6.936799999999999E-4</v>
      </c>
      <c r="AO51" s="48" t="str">
        <f>IF(SUM(AC50:AE53)=12,J52,INDEX(T,85,lang))</f>
        <v>Uruguay</v>
      </c>
      <c r="AP51" s="47">
        <f>SUMPRODUCT(($S$7:$S$54=AB51&amp;"_win")*($U$7:$U$54))+SUMPRODUCT(($T$7:$T$54=AB51&amp;"_win")*($U$7:$U$54))</f>
        <v>0</v>
      </c>
      <c r="AQ51" s="47">
        <f>SUMPRODUCT(($S$7:$S$54=AB51&amp;"_draw")*($U$7:$U$54))+SUMPRODUCT(($T$7:$T$54=AB51&amp;"_draw")*($U$7:$U$54))</f>
        <v>0</v>
      </c>
      <c r="AR51" s="47">
        <f>SUMPRODUCT(($E$7:$E$54=AB51)*($U$7:$U$54)*($F$7:$F$54))+SUMPRODUCT(($H$7:$H$54=AB51)*($U$7:$U$54)*($G$7:$G$54))</f>
        <v>0</v>
      </c>
      <c r="AS51" s="47">
        <f>SUMPRODUCT(($E$7:$E$54=AB51)*($U$7:$U$54)*($G$7:$G$54))+SUMPRODUCT(($H$7:$H$54=AB51)*($U$7:$U$54)*($F$7:$F$54))</f>
        <v>0</v>
      </c>
      <c r="AT51" s="47">
        <f>AR51-AS51</f>
        <v>0</v>
      </c>
      <c r="AY51" s="135"/>
      <c r="AZ51" s="136"/>
      <c r="BA51" s="136"/>
      <c r="BB51" s="136"/>
      <c r="BC51" s="137"/>
    </row>
    <row r="52" spans="1:55" ht="15" customHeight="1" x14ac:dyDescent="0.25">
      <c r="A52" s="17">
        <v>46</v>
      </c>
      <c r="B52" s="18" t="str">
        <f t="shared" si="0"/>
        <v>Fri</v>
      </c>
      <c r="C52" s="19" t="str">
        <f t="shared" si="1"/>
        <v>Dec 2, 2022</v>
      </c>
      <c r="D52" s="20">
        <f t="shared" si="2"/>
        <v>0.75</v>
      </c>
      <c r="E52" s="93" t="str">
        <f>AB53</f>
        <v>Korea Republic</v>
      </c>
      <c r="F52" s="21">
        <v>1</v>
      </c>
      <c r="G52" s="22">
        <v>3</v>
      </c>
      <c r="H52" s="90" t="str">
        <f>AB50</f>
        <v>Portugal</v>
      </c>
      <c r="J52" s="53" t="str">
        <f>VLOOKUP(2,AA50:AK53,2,FALSE)</f>
        <v>Uruguay</v>
      </c>
      <c r="K52" s="25">
        <f>L52+M52+N52</f>
        <v>3</v>
      </c>
      <c r="L52" s="25">
        <f>VLOOKUP(2,AA50:AK53,3,FALSE)</f>
        <v>1</v>
      </c>
      <c r="M52" s="25">
        <f>VLOOKUP(2,AA50:AK53,4,FALSE)</f>
        <v>1</v>
      </c>
      <c r="N52" s="25">
        <f>VLOOKUP(2,AA50:AK53,5,FALSE)</f>
        <v>1</v>
      </c>
      <c r="O52" s="25" t="str">
        <f>VLOOKUP(2,AA50:AK53,6,FALSE) &amp; " - " &amp; VLOOKUP(2,AA50:AK53,7,FALSE)</f>
        <v>3 - 3</v>
      </c>
      <c r="P52" s="54">
        <f>L52*3+M52</f>
        <v>4</v>
      </c>
      <c r="R52" s="47">
        <f>DATE(2022,12,2)+TIME(4,0,0)+gmt_delta</f>
        <v>44897.75</v>
      </c>
      <c r="S52" s="88" t="str">
        <f t="shared" si="3"/>
        <v>Korea Republic_lose</v>
      </c>
      <c r="T52" s="88" t="str">
        <f t="shared" si="4"/>
        <v>Portugal_win</v>
      </c>
      <c r="U52" s="48">
        <f t="shared" si="5"/>
        <v>0</v>
      </c>
      <c r="V52" s="47">
        <f t="shared" si="6"/>
        <v>0</v>
      </c>
      <c r="W52" s="47">
        <f t="shared" si="7"/>
        <v>0</v>
      </c>
      <c r="X52" s="47">
        <f t="shared" si="8"/>
        <v>0</v>
      </c>
      <c r="Y52" s="47">
        <f t="shared" si="9"/>
        <v>-1</v>
      </c>
      <c r="AA52" s="47">
        <f>COUNTIF(AN50:AN53,CONCATENATE("&gt;=",AN52))</f>
        <v>2</v>
      </c>
      <c r="AB52" s="48" t="str">
        <f>VLOOKUP("Uruguay",T,lang,FALSE)</f>
        <v>Uruguay</v>
      </c>
      <c r="AC52" s="47">
        <f>COUNTIF($S$7:$T$54,"=" &amp; AB52 &amp; "_win")</f>
        <v>1</v>
      </c>
      <c r="AD52" s="47">
        <f>COUNTIF($S$7:$T$54,"=" &amp; AB52 &amp; "_draw")</f>
        <v>1</v>
      </c>
      <c r="AE52" s="47">
        <f>COUNTIF($S$7:$T$54,"=" &amp; AB52 &amp; "_lose")</f>
        <v>1</v>
      </c>
      <c r="AF52" s="47">
        <f>SUMIF($E$7:$E$54,$AB52,$F$7:$F$54) + SUMIF($H$7:$H$54,$AB52,$G$7:$G$54)</f>
        <v>3</v>
      </c>
      <c r="AG52" s="47">
        <f>SUMIF($E$7:$E$54,$AB52,$G$7:$G$54) + SUMIF($H$7:$H$54,$AB52,$F$7:$F$54)</f>
        <v>3</v>
      </c>
      <c r="AH52" s="47">
        <f>(AF52-AG52)*100+AK52*10000+AF52</f>
        <v>40003</v>
      </c>
      <c r="AI52" s="47">
        <f>AF52-AG52</f>
        <v>0</v>
      </c>
      <c r="AJ52" s="47">
        <f>(AI52-AI55)/AI54</f>
        <v>0.4</v>
      </c>
      <c r="AK52" s="47">
        <f>AC52*3+AD52</f>
        <v>4</v>
      </c>
      <c r="AL52" s="47">
        <f>AP52/AP54*1000+AQ52/AQ54*100+AT52/AT54*10+AR52/AR54</f>
        <v>0</v>
      </c>
      <c r="AM52" s="47">
        <f>VLOOKUP(AB52,db_fifarank,2,FALSE)/2000000</f>
        <v>8.1786499999999998E-4</v>
      </c>
      <c r="AN52" s="48">
        <f>1000*AK52/AK54+100*AJ52+10*AF52/AF54+1*AL52/AL54+AM52</f>
        <v>443.75081786499999</v>
      </c>
      <c r="AP52" s="47">
        <f>SUMPRODUCT(($S$7:$S$54=AB52&amp;"_win")*($U$7:$U$54))+SUMPRODUCT(($T$7:$T$54=AB52&amp;"_win")*($U$7:$U$54))</f>
        <v>0</v>
      </c>
      <c r="AQ52" s="47">
        <f>SUMPRODUCT(($S$7:$S$54=AB52&amp;"_draw")*($U$7:$U$54))+SUMPRODUCT(($T$7:$T$54=AB52&amp;"_draw")*($U$7:$U$54))</f>
        <v>0</v>
      </c>
      <c r="AR52" s="47">
        <f>SUMPRODUCT(($E$7:$E$54=AB52)*($U$7:$U$54)*($F$7:$F$54))+SUMPRODUCT(($H$7:$H$54=AB52)*($U$7:$U$54)*($G$7:$G$54))</f>
        <v>0</v>
      </c>
      <c r="AS52" s="47">
        <f>SUMPRODUCT(($E$7:$E$54=AB52)*($U$7:$U$54)*($G$7:$G$54))+SUMPRODUCT(($H$7:$H$54=AB52)*($U$7:$U$54)*($F$7:$F$54))</f>
        <v>0</v>
      </c>
      <c r="AT52" s="47">
        <f>AR52-AS52</f>
        <v>0</v>
      </c>
      <c r="AY52" s="135"/>
      <c r="AZ52" s="136"/>
      <c r="BA52" s="136"/>
      <c r="BB52" s="136"/>
      <c r="BC52" s="137"/>
    </row>
    <row r="53" spans="1:55" ht="15" customHeight="1" x14ac:dyDescent="0.25">
      <c r="A53" s="17">
        <v>47</v>
      </c>
      <c r="B53" s="18" t="str">
        <f t="shared" si="0"/>
        <v>Fri</v>
      </c>
      <c r="C53" s="19" t="str">
        <f t="shared" si="1"/>
        <v>Dec 2, 2022</v>
      </c>
      <c r="D53" s="20">
        <f t="shared" si="2"/>
        <v>0.91666666666666663</v>
      </c>
      <c r="E53" s="93" t="str">
        <f>AB45</f>
        <v>Serbia</v>
      </c>
      <c r="F53" s="21">
        <v>1</v>
      </c>
      <c r="G53" s="22">
        <v>1</v>
      </c>
      <c r="H53" s="90" t="str">
        <f>AB46</f>
        <v>Switzerland</v>
      </c>
      <c r="J53" s="53" t="str">
        <f>VLOOKUP(3,AA50:AK53,2,FALSE)</f>
        <v>Korea Republic</v>
      </c>
      <c r="K53" s="25">
        <f>L53+M53+N53</f>
        <v>3</v>
      </c>
      <c r="L53" s="25">
        <f>VLOOKUP(3,AA50:AK53,3,FALSE)</f>
        <v>1</v>
      </c>
      <c r="M53" s="25">
        <f>VLOOKUP(3,AA50:AK53,4,FALSE)</f>
        <v>1</v>
      </c>
      <c r="N53" s="25">
        <f>VLOOKUP(3,AA50:AK53,5,FALSE)</f>
        <v>1</v>
      </c>
      <c r="O53" s="25" t="str">
        <f>VLOOKUP(3,AA50:AK53,6,FALSE) &amp; " - " &amp; VLOOKUP(3,AA50:AK53,7,FALSE)</f>
        <v>3 - 4</v>
      </c>
      <c r="P53" s="54">
        <f>L53*3+M53</f>
        <v>4</v>
      </c>
      <c r="R53" s="47">
        <f>DATE(2022,12,2)+TIME(8,0,0)+gmt_delta</f>
        <v>44897.916666666672</v>
      </c>
      <c r="S53" s="88" t="str">
        <f t="shared" si="3"/>
        <v>Serbia_draw</v>
      </c>
      <c r="T53" s="88" t="str">
        <f t="shared" si="4"/>
        <v>Switzerland_draw</v>
      </c>
      <c r="U53" s="48">
        <f t="shared" si="5"/>
        <v>0</v>
      </c>
      <c r="V53" s="47">
        <f t="shared" si="6"/>
        <v>0</v>
      </c>
      <c r="W53" s="47">
        <f t="shared" si="7"/>
        <v>0</v>
      </c>
      <c r="X53" s="47">
        <f t="shared" si="8"/>
        <v>0</v>
      </c>
      <c r="Y53" s="47">
        <f t="shared" si="9"/>
        <v>0</v>
      </c>
      <c r="AA53" s="47">
        <f>COUNTIF(AN50:AN53,CONCATENATE("&gt;=",AN53))</f>
        <v>3</v>
      </c>
      <c r="AB53" s="48" t="str">
        <f>VLOOKUP("Korea Republic",T,lang,FALSE)</f>
        <v>Korea Republic</v>
      </c>
      <c r="AC53" s="47">
        <f>COUNTIF($S$7:$T$54,"=" &amp; AB53 &amp; "_win")</f>
        <v>1</v>
      </c>
      <c r="AD53" s="47">
        <f>COUNTIF($S$7:$T$54,"=" &amp; AB53 &amp; "_draw")</f>
        <v>1</v>
      </c>
      <c r="AE53" s="47">
        <f>COUNTIF($S$7:$T$54,"=" &amp; AB53 &amp; "_lose")</f>
        <v>1</v>
      </c>
      <c r="AF53" s="47">
        <f>SUMIF($E$7:$E$54,$AB53,$F$7:$F$54) + SUMIF($H$7:$H$54,$AB53,$G$7:$G$54)</f>
        <v>3</v>
      </c>
      <c r="AG53" s="47">
        <f>SUMIF($E$7:$E$54,$AB53,$G$7:$G$54) + SUMIF($H$7:$H$54,$AB53,$F$7:$F$54)</f>
        <v>4</v>
      </c>
      <c r="AH53" s="47">
        <f>(AF53-AG53)*100+AK53*10000+AF53</f>
        <v>39903</v>
      </c>
      <c r="AI53" s="47">
        <f>AF53-AG53</f>
        <v>-1</v>
      </c>
      <c r="AJ53" s="47">
        <f>(AI53-AI55)/AI54</f>
        <v>0.3</v>
      </c>
      <c r="AK53" s="47">
        <f>AC53*3+AD53</f>
        <v>4</v>
      </c>
      <c r="AL53" s="47">
        <f>AP53/AP54*1000+AQ53/AQ54*100+AT53/AT54*10+AR53/AR54</f>
        <v>0</v>
      </c>
      <c r="AM53" s="47">
        <f>VLOOKUP(AB53,db_fifarank,2,FALSE)/2000000</f>
        <v>7.5977E-4</v>
      </c>
      <c r="AN53" s="48">
        <f>1000*AK53/AK54+100*AJ53+10*AF53/AF54+1*AL53/AL54+AM53</f>
        <v>433.75075977</v>
      </c>
      <c r="AP53" s="47">
        <f>SUMPRODUCT(($S$7:$S$54=AB53&amp;"_win")*($U$7:$U$54))+SUMPRODUCT(($T$7:$T$54=AB53&amp;"_win")*($U$7:$U$54))</f>
        <v>0</v>
      </c>
      <c r="AQ53" s="47">
        <f>SUMPRODUCT(($S$7:$S$54=AB53&amp;"_draw")*($U$7:$U$54))+SUMPRODUCT(($T$7:$T$54=AB53&amp;"_draw")*($U$7:$U$54))</f>
        <v>0</v>
      </c>
      <c r="AR53" s="47">
        <f>SUMPRODUCT(($E$7:$E$54=AB53)*($U$7:$U$54)*($F$7:$F$54))+SUMPRODUCT(($H$7:$H$54=AB53)*($U$7:$U$54)*($G$7:$G$54))</f>
        <v>0</v>
      </c>
      <c r="AS53" s="47">
        <f>SUMPRODUCT(($E$7:$E$54=AB53)*($U$7:$U$54)*($G$7:$G$54))+SUMPRODUCT(($H$7:$H$54=AB53)*($U$7:$U$54)*($F$7:$F$54))</f>
        <v>0</v>
      </c>
      <c r="AT53" s="47">
        <f>AR53-AS53</f>
        <v>0</v>
      </c>
      <c r="AY53" s="135"/>
      <c r="AZ53" s="136"/>
      <c r="BA53" s="136"/>
      <c r="BB53" s="136"/>
      <c r="BC53" s="137"/>
    </row>
    <row r="54" spans="1:55" ht="15" customHeight="1" x14ac:dyDescent="0.25">
      <c r="A54" s="38">
        <v>48</v>
      </c>
      <c r="B54" s="39" t="str">
        <f t="shared" si="0"/>
        <v>Fri</v>
      </c>
      <c r="C54" s="40" t="str">
        <f t="shared" si="1"/>
        <v>Dec 2, 2022</v>
      </c>
      <c r="D54" s="41">
        <f t="shared" si="2"/>
        <v>0.91666666666666663</v>
      </c>
      <c r="E54" s="94" t="str">
        <f>AB47</f>
        <v>Cameroon</v>
      </c>
      <c r="F54" s="29">
        <v>0</v>
      </c>
      <c r="G54" s="30">
        <v>2</v>
      </c>
      <c r="H54" s="91" t="str">
        <f>AB44</f>
        <v>Brazil</v>
      </c>
      <c r="J54" s="55" t="str">
        <f>VLOOKUP(4,AA50:AK53,2,FALSE)</f>
        <v>Ghana</v>
      </c>
      <c r="K54" s="56">
        <f>L54+M54+N54</f>
        <v>3</v>
      </c>
      <c r="L54" s="56">
        <f>VLOOKUP(4,AA50:AK53,3,FALSE)</f>
        <v>0</v>
      </c>
      <c r="M54" s="56">
        <f>VLOOKUP(4,AA50:AK53,4,FALSE)</f>
        <v>0</v>
      </c>
      <c r="N54" s="56">
        <f>VLOOKUP(4,AA50:AK53,5,FALSE)</f>
        <v>3</v>
      </c>
      <c r="O54" s="56" t="str">
        <f>VLOOKUP(4,AA50:AK53,6,FALSE) &amp; " - " &amp; VLOOKUP(4,AA50:AK53,7,FALSE)</f>
        <v>0 - 4</v>
      </c>
      <c r="P54" s="57">
        <f>L54*3+M54</f>
        <v>0</v>
      </c>
      <c r="R54" s="47">
        <f>DATE(2022,12,2)+TIME(8,0,0)+gmt_delta</f>
        <v>44897.916666666672</v>
      </c>
      <c r="S54" s="88" t="str">
        <f t="shared" si="3"/>
        <v>Cameroon_lose</v>
      </c>
      <c r="T54" s="88" t="str">
        <f t="shared" si="4"/>
        <v>Brazil_win</v>
      </c>
      <c r="U54" s="48">
        <f t="shared" si="5"/>
        <v>0</v>
      </c>
      <c r="V54" s="47">
        <f t="shared" si="6"/>
        <v>0</v>
      </c>
      <c r="W54" s="47">
        <f t="shared" si="7"/>
        <v>0</v>
      </c>
      <c r="X54" s="47">
        <f t="shared" si="8"/>
        <v>0</v>
      </c>
      <c r="Y54" s="47">
        <f t="shared" si="9"/>
        <v>-1</v>
      </c>
      <c r="AC54" s="47">
        <f t="shared" ref="AC54:AL54" si="17">MAX(AC50:AC53)-MIN(AC50:AC53)+1</f>
        <v>4</v>
      </c>
      <c r="AD54" s="47">
        <f t="shared" si="17"/>
        <v>2</v>
      </c>
      <c r="AE54" s="47">
        <f t="shared" si="17"/>
        <v>4</v>
      </c>
      <c r="AF54" s="47">
        <f t="shared" si="17"/>
        <v>8</v>
      </c>
      <c r="AG54" s="47">
        <f t="shared" si="17"/>
        <v>3</v>
      </c>
      <c r="AH54" s="47">
        <f>MAX(AH50:AH53)-AH55+1</f>
        <v>90908</v>
      </c>
      <c r="AI54" s="47">
        <f>MAX(AI50:AI53)-AI55+1</f>
        <v>10</v>
      </c>
      <c r="AK54" s="47">
        <f t="shared" si="17"/>
        <v>10</v>
      </c>
      <c r="AL54" s="47">
        <f t="shared" si="17"/>
        <v>1</v>
      </c>
      <c r="AP54" s="47">
        <f>MAX(AP50:AP53)-MIN(AP50:AP53)+1</f>
        <v>1</v>
      </c>
      <c r="AQ54" s="47">
        <f>MAX(AQ50:AQ53)-MIN(AQ50:AQ53)+1</f>
        <v>1</v>
      </c>
      <c r="AR54" s="47">
        <f>MAX(AR50:AR53)-MIN(AR50:AR53)+1</f>
        <v>1</v>
      </c>
      <c r="AS54" s="47">
        <f>MAX(AS50:AS53)-MIN(AS50:AS53)+1</f>
        <v>1</v>
      </c>
      <c r="AT54" s="47">
        <f>MAX(AT50:AT53)-MIN(AT50:AT53)+1</f>
        <v>1</v>
      </c>
      <c r="AY54" s="138"/>
      <c r="AZ54" s="139"/>
      <c r="BA54" s="139"/>
      <c r="BB54" s="139"/>
      <c r="BC54" s="140"/>
    </row>
    <row r="55" spans="1:55" x14ac:dyDescent="0.25">
      <c r="A55" s="9"/>
      <c r="B55" s="42"/>
      <c r="C55" s="9"/>
      <c r="D55" s="43"/>
      <c r="E55" s="44"/>
      <c r="F55" s="45"/>
      <c r="G55" s="45"/>
      <c r="H55" s="46"/>
      <c r="AH55" s="47">
        <f>MIN(AH50:AH53)</f>
        <v>-400</v>
      </c>
      <c r="AI55" s="47">
        <f>MIN(AI50:AI53)</f>
        <v>-4</v>
      </c>
    </row>
    <row r="56" spans="1:55" ht="12.75" customHeight="1" x14ac:dyDescent="0.25"/>
    <row r="57" spans="1:55" ht="12.75" customHeight="1" x14ac:dyDescent="0.25"/>
    <row r="58" spans="1:55" x14ac:dyDescent="0.25">
      <c r="R58" s="47">
        <f>DATE(2022,12,3)+TIME(4,0,0)+gmt_delta</f>
        <v>44898.75</v>
      </c>
      <c r="S58" s="88" t="str">
        <f>IF(OR(BA10="",BA11=""),"",IF(BA10&gt;BA11,AZ10,IF(BA10&lt;BA11,AZ11,IF(OR(BB10="",BB11=""),"draw",IF(BB10&gt;BB11,AZ10,IF(BB10&lt;BB11,AZ11,IF(OR(BC10="",BC11=""),"draw",IF(BC10&gt;BC11,AZ10,IF(BC10&lt;BC11,AZ11,"draw")))))))))</f>
        <v>Netherlands</v>
      </c>
      <c r="T58" s="88" t="str">
        <f>IF(OR(S58="",S58="draw"),INDEX(T,86,lang),S58)</f>
        <v>Netherlands</v>
      </c>
    </row>
    <row r="59" spans="1:55" ht="12.75" customHeight="1" x14ac:dyDescent="0.25">
      <c r="R59" s="47">
        <f>DATE(2022,12,3)+TIME(8,0,0)+gmt_delta</f>
        <v>44898.916666666672</v>
      </c>
      <c r="S59" s="88" t="str">
        <f>IF(OR(BA14="",BA15=""),"",IF(BA14&gt;BA15,AZ14,IF(BA14&lt;BA15,AZ15,IF(OR(BB14="",BB15=""),"draw",IF(BB14&gt;BB15,AZ14,IF(BB14&lt;BB15,AZ15,IF(OR(BC14="",BC15=""),"draw",IF(BC14&gt;BC15,AZ14,IF(BC14&lt;BC15,AZ15,"draw")))))))))</f>
        <v>Argentina</v>
      </c>
      <c r="T59" s="88" t="str">
        <f>IF(OR(S59="",S59="draw"),INDEX(T,87,lang),S59)</f>
        <v>Argentina</v>
      </c>
    </row>
    <row r="60" spans="1:55" ht="12.75" customHeight="1" x14ac:dyDescent="0.25">
      <c r="R60" s="47">
        <f>DATE(2022,12,4)+TIME(8,0,0)+gmt_delta</f>
        <v>44899.916666666672</v>
      </c>
      <c r="S60" s="88" t="str">
        <f>IF(OR(BA26="",BA27=""),"",IF(BA26&gt;BA27,AZ26,IF(BA26&lt;BA27,AZ27,IF(OR(BB26="",BB27=""),"draw",IF(BB26&gt;BB27,AZ26,IF(BB26&lt;BB27,AZ27,IF(OR(BC26="",BC27=""),"draw",IF(BC26&gt;BC27,AZ26,IF(BC26&lt;BC27,AZ27,"draw")))))))))</f>
        <v>England</v>
      </c>
      <c r="T60" s="88" t="str">
        <f>IF(OR(S60="",S60="draw"),INDEX(T,88,lang),S60)</f>
        <v>England</v>
      </c>
    </row>
    <row r="61" spans="1:55" ht="12.75" customHeight="1" x14ac:dyDescent="0.25">
      <c r="R61" s="47">
        <f>DATE(2022,12,4)+TIME(4,0,0)+gmt_delta</f>
        <v>44899.75</v>
      </c>
      <c r="S61" s="88" t="str">
        <f>IF(OR(BA30="",BA31=""),"",IF(BA30&gt;BA31,AZ30,IF(BA30&lt;BA31,AZ31,IF(OR(BB30="",BB31=""),"draw",IF(BB30&gt;BB31,AZ30,IF(BB30&lt;BB31,AZ31,IF(OR(BC30="",BC31=""),"draw",IF(BC30&gt;BC31,AZ30,IF(BC30&lt;BC31,AZ31,"draw")))))))))</f>
        <v>France</v>
      </c>
      <c r="T61" s="88" t="str">
        <f>IF(OR(S61="",S61="draw"),INDEX(T,89,lang),S61)</f>
        <v>France</v>
      </c>
    </row>
    <row r="62" spans="1:55" ht="12.75" customHeight="1" x14ac:dyDescent="0.25">
      <c r="R62" s="47">
        <f>DATE(2022,12,5)+TIME(4,0,0)+gmt_delta</f>
        <v>44900.75</v>
      </c>
      <c r="S62" s="88" t="str">
        <f>IF(OR(BA18="",BA19=""),"",IF(BA18&gt;BA19,AZ18,IF(BA18&lt;BA19,AZ19,IF(OR(BB18="",BB19=""),"draw",IF(BB18&gt;BB19,AZ18,IF(BB18&lt;BB19,AZ19,IF(OR(BC18="",BC19=""),"draw",IF(BC18&gt;BC19,AZ18,IF(BC18&lt;BC19,AZ19,"draw")))))))))</f>
        <v>Germany</v>
      </c>
      <c r="T62" s="88" t="str">
        <f>IF(OR(S62="",S62="draw"),INDEX(T,90,lang),S62)</f>
        <v>Germany</v>
      </c>
    </row>
    <row r="63" spans="1:55" ht="12.75" customHeight="1" x14ac:dyDescent="0.25">
      <c r="R63" s="47">
        <f>DATE(2022,12,5)+TIME(8,0,0)+gmt_delta</f>
        <v>44900.916666666672</v>
      </c>
      <c r="S63" s="88" t="str">
        <f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88" t="str">
        <f>IF(OR(S63="",S63="draw"),INDEX(T,91,lang),S63)</f>
        <v>Brazil</v>
      </c>
    </row>
    <row r="64" spans="1:55" ht="12.75" customHeight="1" x14ac:dyDescent="0.25">
      <c r="R64" s="47">
        <f>DATE(2022,12,6)+TIME(4,0,0)+gmt_delta</f>
        <v>44901.75</v>
      </c>
      <c r="S64" s="88" t="str">
        <f>IF(OR(BA34="",BA35=""),"",IF(BA34&gt;BA35,AZ34,IF(BA34&lt;BA35,AZ35,IF(OR(BB34="",BB35=""),"draw",IF(BB34&gt;BB35,AZ34,IF(BB34&lt;BB35,AZ35,IF(OR(BC34="",BC35=""),"draw",IF(BC34&gt;BC35,AZ34,IF(BC34&lt;BC35,AZ35,"draw")))))))))</f>
        <v>Belgium</v>
      </c>
      <c r="T64" s="88" t="str">
        <f>IF(OR(S64="",S64="draw"),INDEX(T,92,lang),S64)</f>
        <v>Belgium</v>
      </c>
    </row>
    <row r="65" spans="18:26" ht="12.75" customHeight="1" x14ac:dyDescent="0.25">
      <c r="R65" s="47">
        <f>DATE(2022,12,6)+TIME(8,0,0)+gmt_delta</f>
        <v>44901.916666666672</v>
      </c>
      <c r="S65" s="88" t="str">
        <f>IF(OR(BA38="",BA39=""),"",IF(BA38&gt;BA39,AZ38,IF(BA38&lt;BA39,AZ39,IF(OR(BB38="",BB39=""),"draw",IF(BB38&gt;BB39,AZ38,IF(BB38&lt;BB39,AZ39,IF(OR(BC38="",BC39=""),"draw",IF(BC38&gt;BC39,AZ38,IF(BC38&lt;BC39,AZ39,"draw")))))))))</f>
        <v>Portugal</v>
      </c>
      <c r="T65" s="88" t="str">
        <f>IF(OR(S65="",S65="draw"),INDEX(T,93,lang),S65)</f>
        <v>Portugal</v>
      </c>
    </row>
    <row r="66" spans="18:26" ht="12.75" customHeight="1" x14ac:dyDescent="0.25"/>
    <row r="67" spans="18:26" ht="12.75" customHeight="1" x14ac:dyDescent="0.25"/>
    <row r="68" spans="18:26" ht="12.75" customHeight="1" x14ac:dyDescent="0.25"/>
    <row r="69" spans="18:26" ht="12.75" customHeight="1" x14ac:dyDescent="0.25">
      <c r="R69" s="47">
        <f>DATE(2022,12,9)+TIME(8,0,0)+gmt_delta</f>
        <v>44904.916666666672</v>
      </c>
      <c r="S69" s="88" t="str">
        <f>IF(OR(BH12="",BH13=""),"",IF(BH12&gt;BH13,BG12,IF(BH12&lt;BH13,BG13,IF(OR(BI12="",BI13=""),"draw",IF(BI12&gt;BI13,BG12,IF(BI12&lt;BI13,BG13,IF(OR(BJ12="",BJ13=""),"draw",IF(BJ12&gt;BJ13,BG12,IF(BJ12&lt;BJ13,BG13,"draw")))))))))</f>
        <v>Netherlands</v>
      </c>
      <c r="T69" s="88" t="str">
        <f>IF(OR(S69="",S69="draw"),INDEX(T,94,lang),S69)</f>
        <v>Netherlands</v>
      </c>
    </row>
    <row r="70" spans="18:26" ht="12.75" customHeight="1" x14ac:dyDescent="0.25">
      <c r="R70" s="47">
        <f>DATE(2022,12,9)+TIME(4,0,0)+gmt_delta</f>
        <v>44904.75</v>
      </c>
      <c r="S70" s="88" t="str">
        <f>IF(OR(BH20="",BH21=""),"",IF(BH20&gt;BH21,BG20,IF(BH20&lt;BH21,BG21,IF(OR(BI20="",BI21=""),"draw",IF(BI20&gt;BI21,BG20,IF(BI20&lt;BI21,BG21,IF(OR(BJ20="",BJ21=""),"draw",IF(BJ20&gt;BJ21,BG20,IF(BJ20&lt;BJ21,BG21,"draw")))))))))</f>
        <v>Brazil</v>
      </c>
      <c r="T70" s="88" t="str">
        <f>IF(OR(S70="",S70="draw"),INDEX(T,95,lang),S70)</f>
        <v>Brazil</v>
      </c>
    </row>
    <row r="71" spans="18:26" ht="12.75" customHeight="1" x14ac:dyDescent="0.25">
      <c r="R71" s="47">
        <f>DATE(2022,12,10)+TIME(8,0,0)+gmt_delta</f>
        <v>44905.916666666672</v>
      </c>
      <c r="S71" s="88" t="str">
        <f>IF(OR(BH28="",BH29=""),"",IF(BH28&gt;BH29,BG28,IF(BH28&lt;BH29,BG29,IF(OR(BI28="",BI29=""),"draw",IF(BI28&gt;BI29,BG28,IF(BI28&lt;BI29,BG29,IF(OR(BJ28="",BJ29=""),"draw",IF(BJ28&gt;BJ29,BG28,IF(BJ28&lt;BJ29,BG29,"draw")))))))))</f>
        <v>France</v>
      </c>
      <c r="T71" s="88" t="str">
        <f>IF(OR(S71="",S71="draw"),INDEX(T,96,lang),S71)</f>
        <v>France</v>
      </c>
    </row>
    <row r="72" spans="18:26" ht="12.75" customHeight="1" x14ac:dyDescent="0.25">
      <c r="R72" s="47">
        <f>DATE(2022,12,10)+TIME(4,0,0)+gmt_delta</f>
        <v>44905.75</v>
      </c>
      <c r="S72" s="88" t="str">
        <f>IF(OR(BH36="",BH37=""),"",IF(BH36&gt;BH37,BG36,IF(BH36&lt;BH37,BG37,IF(OR(BI36="",BI37=""),"draw",IF(BI36&gt;BI37,BG36,IF(BI36&lt;BI37,BG37,IF(OR(BJ36="",BJ37=""),"draw",IF(BJ36&gt;BJ37,BG36,IF(BJ36&lt;BJ37,BG37,"draw")))))))))</f>
        <v>Belgium</v>
      </c>
      <c r="T72" s="88" t="str">
        <f>IF(OR(S72="",S72="draw"),INDEX(T,97,lang),S72)</f>
        <v>Belgium</v>
      </c>
    </row>
    <row r="73" spans="18:26" ht="12.75" customHeight="1" x14ac:dyDescent="0.25"/>
    <row r="74" spans="18:26" ht="12.75" customHeight="1" x14ac:dyDescent="0.25"/>
    <row r="75" spans="18:26" ht="12.75" customHeight="1" x14ac:dyDescent="0.25"/>
    <row r="76" spans="18:26" ht="12.75" customHeight="1" x14ac:dyDescent="0.25">
      <c r="R76" s="47">
        <f>DATE(2022,12,13)+TIME(8,0,0)+gmt_delta</f>
        <v>44908.916666666672</v>
      </c>
      <c r="S76" s="88" t="str">
        <f>IF(OR(BO16="",BO17=""),"",IF(BO16&gt;BO17,BN16,IF(BO16&lt;BO17,BN17,IF(OR(BP16="",BP17=""),"draw",IF(BP16&gt;BP17,BN16,IF(BP16&lt;BP17,BN17,IF(OR(BQ16="",BQ17=""),"draw",IF(BQ16&gt;BQ17,BN16,IF(BQ16&lt;BQ17,BN17,"draw")))))))))</f>
        <v>Netherlands</v>
      </c>
      <c r="T76" s="88" t="str">
        <f>IF(OR(S76="",S76="draw"),INDEX(T,98,lang),S76)</f>
        <v>Netherlands</v>
      </c>
      <c r="U76" s="88" t="str">
        <f>IF(OR(BO16="",BO17=""),"",IF(BO16&lt;BO17,BN16,IF(BO16&gt;BO17,BN17,IF(OR(BP16="",BP17=""),"draw",IF(BP16&lt;BP17,BN16,IF(BP16&gt;BP17,BN17,IF(OR(BQ16="",BQ17=""),"draw",IF(BQ16&lt;BQ17,BN16,IF(BQ16&gt;BQ17,BN17,"draw")))))))))</f>
        <v>Brazil</v>
      </c>
      <c r="Z76" s="88" t="str">
        <f>IF(OR(U76="",U76="draw"),INDEX(T,100,lang),U76)</f>
        <v>Brazil</v>
      </c>
    </row>
    <row r="77" spans="18:26" ht="12.75" customHeight="1" x14ac:dyDescent="0.25">
      <c r="R77" s="47">
        <f>DATE(2022,12,14)+TIME(8,0,0)+gmt_delta</f>
        <v>44909.916666666672</v>
      </c>
      <c r="S77" s="88" t="str">
        <f>IF(OR(BO32="",BO33=""),"",IF(BO32&gt;BO33,BN32,IF(BO32&lt;BO33,BN33,IF(OR(BP32="",BP33=""),"draw",IF(BP32&gt;BP33,BN32,IF(BP32&lt;BP33,BN33,IF(OR(BQ32="",BQ33=""),"draw",IF(BQ32&gt;BQ33,BN32,IF(BQ32&lt;BQ33,BN33,"draw")))))))))</f>
        <v>Belgium</v>
      </c>
      <c r="T77" s="88" t="str">
        <f>IF(OR(S77="",S77="draw"),INDEX(T,99,lang),S77)</f>
        <v>Belgium</v>
      </c>
      <c r="U77" s="88" t="str">
        <f>IF(OR(BO32="",BO33=""),"",IF(BO32&lt;BO33,BN32,IF(BO32&gt;BO33,BN33,IF(OR(BP32="",BP33=""),"draw",IF(BP32&lt;BP33,BN32,IF(BP32&gt;BP33,BN33,IF(OR(BQ32="",BQ33=""),"draw",IF(BQ32&lt;BQ33,BN32,IF(BQ32&gt;BQ33,BN33,"draw")))))))))</f>
        <v>France</v>
      </c>
      <c r="Z77" s="88" t="str">
        <f>IF(OR(U77="",U77="draw"),INDEX(T,101,lang),U77)</f>
        <v>France</v>
      </c>
    </row>
    <row r="79" spans="18:26" ht="12.75" customHeight="1" x14ac:dyDescent="0.25"/>
    <row r="80" spans="18:26" ht="12.75" customHeight="1" x14ac:dyDescent="0.25"/>
    <row r="81" spans="18:20" x14ac:dyDescent="0.25">
      <c r="R81" s="47">
        <f>DATE(2022,12,17)+TIME(8,0,0)+gmt_delta</f>
        <v>44912.916666666672</v>
      </c>
      <c r="T81" s="88" t="str">
        <f>IF(OR(BV35="",BV36=""),"",IF(BV35&gt;BV36,BU35,IF(BV35&lt;BV36,BU36,IF(OR(BW35="",BW36=""),"",IF(BW35&gt;BW36,BU35,IF(BW35&lt;BW36,BU36,IF(OR(BX35="",BX36=""),"",IF(BX35&gt;BX36,BU35,IF(BX35&lt;BX36,BU36,"")))))))))</f>
        <v>Brazil</v>
      </c>
    </row>
    <row r="83" spans="18:20" ht="12.75" customHeight="1" x14ac:dyDescent="0.25"/>
    <row r="84" spans="18:20" ht="12.75" customHeight="1" x14ac:dyDescent="0.25"/>
    <row r="85" spans="18:20" x14ac:dyDescent="0.25">
      <c r="R85" s="47">
        <f>DATE(2022,12,18)+TIME(8,0,0)+gmt_delta</f>
        <v>44913.916666666672</v>
      </c>
      <c r="S85" s="88" t="str">
        <f>IF(OR(BV23="",BV24=""),"",IF(BV23&gt;BV24,BU23,IF(BV23&lt;BV24,BU24,IF(OR(BW23="",BW24=""),"",IF(BW23&gt;BW24,BU23,IF(BW23&lt;BW24,BU24,IF(OR(BX23="",BX24=""),"",IF(BX23&gt;BX24,BU23,IF(BX23&lt;BX24,BU24,"")))))))))</f>
        <v>Netherlands</v>
      </c>
      <c r="T85" s="88" t="str">
        <f>S85</f>
        <v>Netherlands</v>
      </c>
    </row>
    <row r="87" spans="18:20" ht="12.75" customHeight="1" x14ac:dyDescent="0.25"/>
    <row r="88" spans="18:20" ht="12.75" customHeight="1" x14ac:dyDescent="0.25"/>
    <row r="96" spans="18:20" ht="12.75" customHeight="1" x14ac:dyDescent="0.25"/>
    <row r="97" ht="12.75" customHeight="1" x14ac:dyDescent="0.25"/>
  </sheetData>
  <sheetProtection algorithmName="SHA-512" hashValue="i6N2aEljvDmCGD15qKe/w1hA5suOZajThV4SlVvea//gKL1p7zpmp335Pl3Uz5H+5cK0AVd/Ii5FQ5conq7SaQ==" saltValue="Z9IWig/pWOV0kp6z823E/Q==" spinCount="100000" sheet="1" objects="1" scenarios="1"/>
  <mergeCells count="29">
    <mergeCell ref="AY48:BC54"/>
    <mergeCell ref="AY38:AY39"/>
    <mergeCell ref="BL41:BQ42"/>
    <mergeCell ref="AY34:AY35"/>
    <mergeCell ref="BT35:BT36"/>
    <mergeCell ref="BF36:BF37"/>
    <mergeCell ref="BR41:BX42"/>
    <mergeCell ref="AY41:BC46"/>
    <mergeCell ref="AY30:AY31"/>
    <mergeCell ref="BT31:BX32"/>
    <mergeCell ref="BM32:BM33"/>
    <mergeCell ref="AY26:AY27"/>
    <mergeCell ref="BF28:BF29"/>
    <mergeCell ref="AY22:AY23"/>
    <mergeCell ref="BT23:BT24"/>
    <mergeCell ref="AY18:AY19"/>
    <mergeCell ref="BF20:BF21"/>
    <mergeCell ref="AY14:AY15"/>
    <mergeCell ref="BM16:BM17"/>
    <mergeCell ref="AY10:AY11"/>
    <mergeCell ref="BF12:BF13"/>
    <mergeCell ref="AY6:BC7"/>
    <mergeCell ref="BF6:BJ7"/>
    <mergeCell ref="BM6:BQ7"/>
    <mergeCell ref="BT6:BX7"/>
    <mergeCell ref="A1:P1"/>
    <mergeCell ref="O3:P3"/>
    <mergeCell ref="A5:H6"/>
    <mergeCell ref="J5:P6"/>
  </mergeCells>
  <conditionalFormatting sqref="F7:F55">
    <cfRule type="expression" dxfId="179" priority="116" stopIfTrue="1">
      <formula>IF(AND($F7&gt;$G7,ISNUMBER($F7),ISNUMBER($G7)),1,0)</formula>
    </cfRule>
  </conditionalFormatting>
  <conditionalFormatting sqref="G7:G55">
    <cfRule type="expression" dxfId="178" priority="117" stopIfTrue="1">
      <formula>IF(AND($F7&lt;$G7,ISNUMBER($F7),ISNUMBER($G7)),1,0)</formula>
    </cfRule>
  </conditionalFormatting>
  <conditionalFormatting sqref="J15:P15 J9:P9 J45:P45 J21:P21 J27:P27 J33:P33 J39:P39 J51:P51">
    <cfRule type="expression" dxfId="177" priority="118" stopIfTrue="1">
      <formula>IF(SUM($K9:$K12)=12,1,0)</formula>
    </cfRule>
  </conditionalFormatting>
  <conditionalFormatting sqref="J16:P16 J10:P10 J46:P46 J22:P22 J28:P28 J34:P34 J40:P40 J52:P52">
    <cfRule type="expression" dxfId="176" priority="119" stopIfTrue="1">
      <formula>IF(SUM($K9:$K12)=12,1,0)</formula>
    </cfRule>
  </conditionalFormatting>
  <conditionalFormatting sqref="J18:P18 J12:P12 J48:P48 J24:P24 J30:P30 J36:P36 J42:P42 J54:P55">
    <cfRule type="expression" dxfId="175" priority="120" stopIfTrue="1">
      <formula>IF(SUM($K9:$K12)=12,1,0)</formula>
    </cfRule>
  </conditionalFormatting>
  <conditionalFormatting sqref="J11:P11 J17:P17 J23:P23 J29:P29 J35:P35 J41:P41 J47:P47 J53:P53">
    <cfRule type="expression" dxfId="174" priority="121" stopIfTrue="1">
      <formula>IF(SUM($K9:$K12)=12,1,0)</formula>
    </cfRule>
  </conditionalFormatting>
  <conditionalFormatting sqref="BA10">
    <cfRule type="expression" dxfId="173" priority="128" stopIfTrue="1">
      <formula>IF(AND($BA10&gt;$BA11,ISNUMBER($BA10),ISNUMBER($BA11)),1,0)</formula>
    </cfRule>
  </conditionalFormatting>
  <conditionalFormatting sqref="BA11">
    <cfRule type="expression" dxfId="172" priority="129" stopIfTrue="1">
      <formula>IF(AND($BA10&lt;$BA11,ISNUMBER($BA10),ISNUMBER($BA11)),1,0)</formula>
    </cfRule>
  </conditionalFormatting>
  <conditionalFormatting sqref="BC10">
    <cfRule type="expression" dxfId="171" priority="130" stopIfTrue="1">
      <formula>IF(AND($BC10&gt;$BC11,ISNUMBER($BC10),ISNUMBER($BC11)),1,0)</formula>
    </cfRule>
  </conditionalFormatting>
  <conditionalFormatting sqref="BC11">
    <cfRule type="expression" dxfId="170" priority="131" stopIfTrue="1">
      <formula>IF(AND($BC10&lt;$BC11,ISNUMBER($BC10),ISNUMBER($BC11)),1,0)</formula>
    </cfRule>
  </conditionalFormatting>
  <conditionalFormatting sqref="AZ10">
    <cfRule type="expression" dxfId="169" priority="144" stopIfTrue="1">
      <formula>IF($AZ10=$T58,1,0)</formula>
    </cfRule>
    <cfRule type="expression" dxfId="168" priority="145" stopIfTrue="1">
      <formula>IF($AZ11=$T58,1,0)</formula>
    </cfRule>
  </conditionalFormatting>
  <conditionalFormatting sqref="AZ11">
    <cfRule type="expression" dxfId="167" priority="146" stopIfTrue="1">
      <formula>IF($AZ11=$T58,1,0)</formula>
    </cfRule>
    <cfRule type="expression" dxfId="166" priority="147" stopIfTrue="1">
      <formula>IF($AZ10=$T58,1,0)</formula>
    </cfRule>
  </conditionalFormatting>
  <conditionalFormatting sqref="AZ14">
    <cfRule type="expression" dxfId="165" priority="148" stopIfTrue="1">
      <formula>IF($AZ14=$T59,1,0)</formula>
    </cfRule>
    <cfRule type="expression" dxfId="164" priority="149" stopIfTrue="1">
      <formula>IF($AZ15=$T59,1,0)</formula>
    </cfRule>
  </conditionalFormatting>
  <conditionalFormatting sqref="AZ15">
    <cfRule type="expression" dxfId="163" priority="150" stopIfTrue="1">
      <formula>IF($AZ15=$T59,1,0)</formula>
    </cfRule>
    <cfRule type="expression" dxfId="162" priority="151" stopIfTrue="1">
      <formula>IF($AZ14=$T59,1,0)</formula>
    </cfRule>
  </conditionalFormatting>
  <conditionalFormatting sqref="AZ34">
    <cfRule type="expression" dxfId="161" priority="152" stopIfTrue="1">
      <formula>IF($AZ34=$T64,1,0)</formula>
    </cfRule>
    <cfRule type="expression" dxfId="160" priority="153" stopIfTrue="1">
      <formula>IF($AZ35=$T64,1,0)</formula>
    </cfRule>
  </conditionalFormatting>
  <conditionalFormatting sqref="AZ35">
    <cfRule type="expression" dxfId="159" priority="154" stopIfTrue="1">
      <formula>IF($AZ35=$T64,1,0)</formula>
    </cfRule>
    <cfRule type="expression" dxfId="158" priority="155" stopIfTrue="1">
      <formula>IF($AZ34=$T64,1,0)</formula>
    </cfRule>
  </conditionalFormatting>
  <conditionalFormatting sqref="AZ38">
    <cfRule type="expression" dxfId="157" priority="156" stopIfTrue="1">
      <formula>IF($AZ38=$T65,1,0)</formula>
    </cfRule>
    <cfRule type="expression" dxfId="156" priority="157" stopIfTrue="1">
      <formula>IF($AZ39=$T65,1,0)</formula>
    </cfRule>
  </conditionalFormatting>
  <conditionalFormatting sqref="AZ39">
    <cfRule type="expression" dxfId="155" priority="158" stopIfTrue="1">
      <formula>IF($AZ39=$T65,1,0)</formula>
    </cfRule>
    <cfRule type="expression" dxfId="154" priority="159" stopIfTrue="1">
      <formula>IF($AZ38=$T65,1,0)</formula>
    </cfRule>
  </conditionalFormatting>
  <conditionalFormatting sqref="AZ26">
    <cfRule type="expression" dxfId="153" priority="160" stopIfTrue="1">
      <formula>IF($AZ26=$T60,1,0)</formula>
    </cfRule>
    <cfRule type="expression" dxfId="152" priority="161" stopIfTrue="1">
      <formula>IF($AZ27=$T60,1,0)</formula>
    </cfRule>
  </conditionalFormatting>
  <conditionalFormatting sqref="AZ27">
    <cfRule type="expression" dxfId="151" priority="162" stopIfTrue="1">
      <formula>IF($AZ27=$T60,1,0)</formula>
    </cfRule>
    <cfRule type="expression" dxfId="150" priority="163" stopIfTrue="1">
      <formula>IF($AZ26=$T60,1,0)</formula>
    </cfRule>
  </conditionalFormatting>
  <conditionalFormatting sqref="AZ30">
    <cfRule type="expression" dxfId="149" priority="164" stopIfTrue="1">
      <formula>IF($AZ30=$T61,1,0)</formula>
    </cfRule>
    <cfRule type="expression" dxfId="148" priority="165" stopIfTrue="1">
      <formula>IF($AZ31=$T61,1,0)</formula>
    </cfRule>
  </conditionalFormatting>
  <conditionalFormatting sqref="AZ31">
    <cfRule type="expression" dxfId="147" priority="166" stopIfTrue="1">
      <formula>IF($AZ31=$T61,1,0)</formula>
    </cfRule>
    <cfRule type="expression" dxfId="146" priority="167" stopIfTrue="1">
      <formula>IF($AZ30=$T61,1,0)</formula>
    </cfRule>
  </conditionalFormatting>
  <conditionalFormatting sqref="AZ18">
    <cfRule type="expression" dxfId="145" priority="168" stopIfTrue="1">
      <formula>IF($AZ18=$T62,1,0)</formula>
    </cfRule>
    <cfRule type="expression" dxfId="144" priority="169" stopIfTrue="1">
      <formula>IF($AZ19=$T62,1,0)</formula>
    </cfRule>
  </conditionalFormatting>
  <conditionalFormatting sqref="AZ19">
    <cfRule type="expression" dxfId="143" priority="170" stopIfTrue="1">
      <formula>IF($AZ19=$T62,1,0)</formula>
    </cfRule>
    <cfRule type="expression" dxfId="142" priority="171" stopIfTrue="1">
      <formula>IF($AZ18=$T62,1,0)</formula>
    </cfRule>
  </conditionalFormatting>
  <conditionalFormatting sqref="AZ22">
    <cfRule type="expression" dxfId="141" priority="172" stopIfTrue="1">
      <formula>IF($AZ22=$T63,1,0)</formula>
    </cfRule>
    <cfRule type="expression" dxfId="140" priority="173" stopIfTrue="1">
      <formula>IF($AZ23=$T63,1,0)</formula>
    </cfRule>
  </conditionalFormatting>
  <conditionalFormatting sqref="AZ23">
    <cfRule type="expression" dxfId="139" priority="174" stopIfTrue="1">
      <formula>IF($AZ23=$T63,1,0)</formula>
    </cfRule>
    <cfRule type="expression" dxfId="138" priority="175" stopIfTrue="1">
      <formula>IF($AZ22=$T63,1,0)</formula>
    </cfRule>
  </conditionalFormatting>
  <conditionalFormatting sqref="BG12">
    <cfRule type="expression" dxfId="137" priority="176" stopIfTrue="1">
      <formula>IF($BG12=$T69,1,0)</formula>
    </cfRule>
    <cfRule type="expression" dxfId="136" priority="177" stopIfTrue="1">
      <formula>IF($BG13=$T69,1,0)</formula>
    </cfRule>
  </conditionalFormatting>
  <conditionalFormatting sqref="BG13">
    <cfRule type="expression" dxfId="135" priority="178" stopIfTrue="1">
      <formula>IF($BG13=$T69,1,0)</formula>
    </cfRule>
    <cfRule type="expression" dxfId="134" priority="179" stopIfTrue="1">
      <formula>IF($BG12=$T69,1,0)</formula>
    </cfRule>
  </conditionalFormatting>
  <conditionalFormatting sqref="BG20">
    <cfRule type="expression" dxfId="133" priority="180" stopIfTrue="1">
      <formula>IF($BG20=$T70,1,0)</formula>
    </cfRule>
    <cfRule type="expression" dxfId="132" priority="181" stopIfTrue="1">
      <formula>IF($BG21=$T70,1,0)</formula>
    </cfRule>
  </conditionalFormatting>
  <conditionalFormatting sqref="BG21">
    <cfRule type="expression" dxfId="131" priority="182" stopIfTrue="1">
      <formula>IF($BG21=$T70,1,0)</formula>
    </cfRule>
    <cfRule type="expression" dxfId="130" priority="183" stopIfTrue="1">
      <formula>IF($BG20=$T70,1,0)</formula>
    </cfRule>
  </conditionalFormatting>
  <conditionalFormatting sqref="BG28">
    <cfRule type="expression" dxfId="129" priority="184" stopIfTrue="1">
      <formula>IF($BG28=$T71,1,0)</formula>
    </cfRule>
    <cfRule type="expression" dxfId="128" priority="185" stopIfTrue="1">
      <formula>IF($BG29=$T71,1,0)</formula>
    </cfRule>
  </conditionalFormatting>
  <conditionalFormatting sqref="BG29">
    <cfRule type="expression" dxfId="127" priority="186" stopIfTrue="1">
      <formula>IF($BG29=$T71,1,0)</formula>
    </cfRule>
    <cfRule type="expression" dxfId="126" priority="187" stopIfTrue="1">
      <formula>IF($BG28=$T71,1,0)</formula>
    </cfRule>
  </conditionalFormatting>
  <conditionalFormatting sqref="BG36">
    <cfRule type="expression" dxfId="125" priority="188" stopIfTrue="1">
      <formula>IF($BG36=$T72,1,0)</formula>
    </cfRule>
    <cfRule type="expression" dxfId="124" priority="189" stopIfTrue="1">
      <formula>IF($BG37=$T72,1,0)</formula>
    </cfRule>
  </conditionalFormatting>
  <conditionalFormatting sqref="BG37">
    <cfRule type="expression" dxfId="123" priority="190" stopIfTrue="1">
      <formula>IF($BG37=$T72,1,0)</formula>
    </cfRule>
    <cfRule type="expression" dxfId="122" priority="191" stopIfTrue="1">
      <formula>IF($BG36=$T72,1,0)</formula>
    </cfRule>
  </conditionalFormatting>
  <conditionalFormatting sqref="BN16">
    <cfRule type="expression" dxfId="121" priority="192" stopIfTrue="1">
      <formula>IF($BN16=$T76,1,0)</formula>
    </cfRule>
    <cfRule type="expression" dxfId="120" priority="193" stopIfTrue="1">
      <formula>IF($BN17=$T76,1,0)</formula>
    </cfRule>
  </conditionalFormatting>
  <conditionalFormatting sqref="BN17">
    <cfRule type="expression" dxfId="119" priority="194" stopIfTrue="1">
      <formula>IF($BN17=$T76,1,0)</formula>
    </cfRule>
    <cfRule type="expression" dxfId="118" priority="195" stopIfTrue="1">
      <formula>IF($BN16=$T76,1,0)</formula>
    </cfRule>
  </conditionalFormatting>
  <conditionalFormatting sqref="BN32">
    <cfRule type="expression" dxfId="117" priority="196" stopIfTrue="1">
      <formula>IF($BN32=$T77,1,0)</formula>
    </cfRule>
    <cfRule type="expression" dxfId="116" priority="197" stopIfTrue="1">
      <formula>IF($BN33=$T77,1,0)</formula>
    </cfRule>
  </conditionalFormatting>
  <conditionalFormatting sqref="BN33">
    <cfRule type="expression" dxfId="115" priority="198" stopIfTrue="1">
      <formula>IF($BN33=$T77,1,0)</formula>
    </cfRule>
    <cfRule type="expression" dxfId="114" priority="199" stopIfTrue="1">
      <formula>IF($BN32=$T77,1,0)</formula>
    </cfRule>
  </conditionalFormatting>
  <conditionalFormatting sqref="BU23">
    <cfRule type="expression" dxfId="113" priority="200" stopIfTrue="1">
      <formula>IF($BU23=$T85,1,0)</formula>
    </cfRule>
    <cfRule type="expression" dxfId="112" priority="201" stopIfTrue="1">
      <formula>IF($BU24=$T85,1,0)</formula>
    </cfRule>
  </conditionalFormatting>
  <conditionalFormatting sqref="BU24">
    <cfRule type="expression" dxfId="111" priority="202" stopIfTrue="1">
      <formula>IF($BU24=$T85,1,0)</formula>
    </cfRule>
    <cfRule type="expression" dxfId="110" priority="203" stopIfTrue="1">
      <formula>IF($BU23=$T85,1,0)</formula>
    </cfRule>
  </conditionalFormatting>
  <conditionalFormatting sqref="BU35">
    <cfRule type="expression" dxfId="109" priority="204" stopIfTrue="1">
      <formula>IF($BU35=$T81,1,0)</formula>
    </cfRule>
    <cfRule type="expression" dxfId="108" priority="205" stopIfTrue="1">
      <formula>IF($BU36=$T81,1,0)</formula>
    </cfRule>
  </conditionalFormatting>
  <conditionalFormatting sqref="BU36">
    <cfRule type="expression" dxfId="107" priority="206" stopIfTrue="1">
      <formula>IF($BU36=$T81,1,0)</formula>
    </cfRule>
    <cfRule type="expression" dxfId="106" priority="207" stopIfTrue="1">
      <formula>IF($BU35=$T81,1,0)</formula>
    </cfRule>
  </conditionalFormatting>
  <conditionalFormatting sqref="E7:E54">
    <cfRule type="expression" dxfId="105" priority="108">
      <formula>IF(AND(X7=0,Y7=-1),1,0)</formula>
    </cfRule>
    <cfRule type="expression" dxfId="104" priority="109">
      <formula>IF(AND(X7=1,Y7=-1),1,0)</formula>
    </cfRule>
    <cfRule type="expression" dxfId="103" priority="110">
      <formula>IF(AND(X7=0,Y7=1),1,0)</formula>
    </cfRule>
    <cfRule type="expression" dxfId="102" priority="111">
      <formula>IF(AND(X7=1,Y7=1),1,0)</formula>
    </cfRule>
    <cfRule type="expression" dxfId="101" priority="112">
      <formula>IF(AND(X7=0,Y7=0),1,0)</formula>
    </cfRule>
    <cfRule type="expression" dxfId="100" priority="113">
      <formula>IF(AND(X7=1,Y7=0),1,0)</formula>
    </cfRule>
  </conditionalFormatting>
  <conditionalFormatting sqref="H7:H54">
    <cfRule type="expression" dxfId="99" priority="102">
      <formula>IF(AND(X7=0,Y7=-1),1,0)</formula>
    </cfRule>
    <cfRule type="expression" dxfId="98" priority="103">
      <formula>IF(AND(X7=1,Y7=-1),1,0)</formula>
    </cfRule>
    <cfRule type="expression" dxfId="97" priority="104">
      <formula>IF(AND(X7=0,Y7=1),1,0)</formula>
    </cfRule>
    <cfRule type="expression" dxfId="96" priority="105">
      <formula>IF(AND(X7=1,Y7=1),1,0)</formula>
    </cfRule>
    <cfRule type="expression" dxfId="95" priority="106">
      <formula>IF(AND(X7=0,Y7=0),1,0)</formula>
    </cfRule>
    <cfRule type="expression" dxfId="94" priority="107">
      <formula>IF(AND(X7=1,Y7=0),1,0)</formula>
    </cfRule>
    <cfRule type="expression" dxfId="93" priority="114">
      <formula>IF(AND(X7=1,Y7=""),1,0)</formula>
    </cfRule>
  </conditionalFormatting>
  <conditionalFormatting sqref="A7:E54">
    <cfRule type="expression" dxfId="92" priority="101">
      <formula>IF($X7=1,1,0)</formula>
    </cfRule>
  </conditionalFormatting>
  <conditionalFormatting sqref="BB10">
    <cfRule type="expression" dxfId="91" priority="100" stopIfTrue="1">
      <formula>IF(AND($BB10&gt;$BB11,ISNUMBER($BB10),ISNUMBER($BB11)),1,0)</formula>
    </cfRule>
  </conditionalFormatting>
  <conditionalFormatting sqref="BB11">
    <cfRule type="expression" dxfId="90" priority="99" stopIfTrue="1">
      <formula>IF(AND($BB10&lt;$BB11,ISNUMBER($BB10),ISNUMBER($BB11)),1,0)</formula>
    </cfRule>
  </conditionalFormatting>
  <conditionalFormatting sqref="BA14">
    <cfRule type="expression" dxfId="89" priority="87" stopIfTrue="1">
      <formula>IF(AND($BA14&gt;$BA15,ISNUMBER($BA14),ISNUMBER($BA15)),1,0)</formula>
    </cfRule>
  </conditionalFormatting>
  <conditionalFormatting sqref="BA15">
    <cfRule type="expression" dxfId="88" priority="88" stopIfTrue="1">
      <formula>IF(AND($BA14&lt;$BA15,ISNUMBER($BA14),ISNUMBER($BA15)),1,0)</formula>
    </cfRule>
  </conditionalFormatting>
  <conditionalFormatting sqref="BC14">
    <cfRule type="expression" dxfId="87" priority="89" stopIfTrue="1">
      <formula>IF(AND($BC14&gt;$BC15,ISNUMBER($BC14),ISNUMBER($BC15)),1,0)</formula>
    </cfRule>
  </conditionalFormatting>
  <conditionalFormatting sqref="BC15">
    <cfRule type="expression" dxfId="86" priority="90" stopIfTrue="1">
      <formula>IF(AND($BC14&lt;$BC15,ISNUMBER($BC14),ISNUMBER($BC15)),1,0)</formula>
    </cfRule>
  </conditionalFormatting>
  <conditionalFormatting sqref="BB14">
    <cfRule type="expression" dxfId="85" priority="86" stopIfTrue="1">
      <formula>IF(AND($BB14&gt;$BB15,ISNUMBER($BB14),ISNUMBER($BB15)),1,0)</formula>
    </cfRule>
  </conditionalFormatting>
  <conditionalFormatting sqref="BB15">
    <cfRule type="expression" dxfId="84" priority="85" stopIfTrue="1">
      <formula>IF(AND($BB14&lt;$BB15,ISNUMBER($BB14),ISNUMBER($BB15)),1,0)</formula>
    </cfRule>
  </conditionalFormatting>
  <conditionalFormatting sqref="BA18">
    <cfRule type="expression" dxfId="83" priority="81" stopIfTrue="1">
      <formula>IF(AND($BA18&gt;$BA19,ISNUMBER($BA18),ISNUMBER($BA19)),1,0)</formula>
    </cfRule>
  </conditionalFormatting>
  <conditionalFormatting sqref="BA19">
    <cfRule type="expression" dxfId="82" priority="82" stopIfTrue="1">
      <formula>IF(AND($BA18&lt;$BA19,ISNUMBER($BA18),ISNUMBER($BA19)),1,0)</formula>
    </cfRule>
  </conditionalFormatting>
  <conditionalFormatting sqref="BC18">
    <cfRule type="expression" dxfId="81" priority="83" stopIfTrue="1">
      <formula>IF(AND($BC18&gt;$BC19,ISNUMBER($BC18),ISNUMBER($BC19)),1,0)</formula>
    </cfRule>
  </conditionalFormatting>
  <conditionalFormatting sqref="BC19">
    <cfRule type="expression" dxfId="80" priority="84" stopIfTrue="1">
      <formula>IF(AND($BC18&lt;$BC19,ISNUMBER($BC18),ISNUMBER($BC19)),1,0)</formula>
    </cfRule>
  </conditionalFormatting>
  <conditionalFormatting sqref="BB18">
    <cfRule type="expression" dxfId="79" priority="80" stopIfTrue="1">
      <formula>IF(AND($BB18&gt;$BB19,ISNUMBER($BB18),ISNUMBER($BB19)),1,0)</formula>
    </cfRule>
  </conditionalFormatting>
  <conditionalFormatting sqref="BB19">
    <cfRule type="expression" dxfId="78" priority="79" stopIfTrue="1">
      <formula>IF(AND($BB18&lt;$BB19,ISNUMBER($BB18),ISNUMBER($BB19)),1,0)</formula>
    </cfRule>
  </conditionalFormatting>
  <conditionalFormatting sqref="BH12">
    <cfRule type="expression" dxfId="77" priority="75" stopIfTrue="1">
      <formula>IF(AND($BA12&gt;$BA13,ISNUMBER($BA12),ISNUMBER($BA13)),1,0)</formula>
    </cfRule>
  </conditionalFormatting>
  <conditionalFormatting sqref="BH13">
    <cfRule type="expression" dxfId="76" priority="76" stopIfTrue="1">
      <formula>IF(AND($BA12&lt;$BA13,ISNUMBER($BA12),ISNUMBER($BA13)),1,0)</formula>
    </cfRule>
  </conditionalFormatting>
  <conditionalFormatting sqref="BJ12">
    <cfRule type="expression" dxfId="75" priority="77" stopIfTrue="1">
      <formula>IF(AND($BC12&gt;$BC13,ISNUMBER($BC12),ISNUMBER($BC13)),1,0)</formula>
    </cfRule>
  </conditionalFormatting>
  <conditionalFormatting sqref="BJ13">
    <cfRule type="expression" dxfId="74" priority="78" stopIfTrue="1">
      <formula>IF(AND($BC12&lt;$BC13,ISNUMBER($BC12),ISNUMBER($BC13)),1,0)</formula>
    </cfRule>
  </conditionalFormatting>
  <conditionalFormatting sqref="BI12">
    <cfRule type="expression" dxfId="73" priority="74" stopIfTrue="1">
      <formula>IF(AND($BB12&gt;$BB13,ISNUMBER($BB12),ISNUMBER($BB13)),1,0)</formula>
    </cfRule>
  </conditionalFormatting>
  <conditionalFormatting sqref="BI13">
    <cfRule type="expression" dxfId="72" priority="73" stopIfTrue="1">
      <formula>IF(AND($BB12&lt;$BB13,ISNUMBER($BB12),ISNUMBER($BB13)),1,0)</formula>
    </cfRule>
  </conditionalFormatting>
  <conditionalFormatting sqref="BO16">
    <cfRule type="expression" dxfId="71" priority="69" stopIfTrue="1">
      <formula>IF(AND($BA16&gt;$BA17,ISNUMBER($BA16),ISNUMBER($BA17)),1,0)</formula>
    </cfRule>
  </conditionalFormatting>
  <conditionalFormatting sqref="BO17">
    <cfRule type="expression" dxfId="70" priority="70" stopIfTrue="1">
      <formula>IF(AND($BA16&lt;$BA17,ISNUMBER($BA16),ISNUMBER($BA17)),1,0)</formula>
    </cfRule>
  </conditionalFormatting>
  <conditionalFormatting sqref="BQ16">
    <cfRule type="expression" dxfId="69" priority="71" stopIfTrue="1">
      <formula>IF(AND($BC16&gt;$BC17,ISNUMBER($BC16),ISNUMBER($BC17)),1,0)</formula>
    </cfRule>
  </conditionalFormatting>
  <conditionalFormatting sqref="BQ17">
    <cfRule type="expression" dxfId="68" priority="72" stopIfTrue="1">
      <formula>IF(AND($BC16&lt;$BC17,ISNUMBER($BC16),ISNUMBER($BC17)),1,0)</formula>
    </cfRule>
  </conditionalFormatting>
  <conditionalFormatting sqref="BP16">
    <cfRule type="expression" dxfId="67" priority="68" stopIfTrue="1">
      <formula>IF(AND($BB16&gt;$BB17,ISNUMBER($BB16),ISNUMBER($BB17)),1,0)</formula>
    </cfRule>
  </conditionalFormatting>
  <conditionalFormatting sqref="BP17">
    <cfRule type="expression" dxfId="66" priority="67" stopIfTrue="1">
      <formula>IF(AND($BB16&lt;$BB17,ISNUMBER($BB16),ISNUMBER($BB17)),1,0)</formula>
    </cfRule>
  </conditionalFormatting>
  <conditionalFormatting sqref="BV23">
    <cfRule type="expression" dxfId="65" priority="63" stopIfTrue="1">
      <formula>IF(AND($BA23&gt;$BA24,ISNUMBER($BA23),ISNUMBER($BA24)),1,0)</formula>
    </cfRule>
  </conditionalFormatting>
  <conditionalFormatting sqref="BV24">
    <cfRule type="expression" dxfId="64" priority="64" stopIfTrue="1">
      <formula>IF(AND($BA23&lt;$BA24,ISNUMBER($BA23),ISNUMBER($BA24)),1,0)</formula>
    </cfRule>
  </conditionalFormatting>
  <conditionalFormatting sqref="BX23">
    <cfRule type="expression" dxfId="63" priority="65" stopIfTrue="1">
      <formula>IF(AND($BC23&gt;$BC24,ISNUMBER($BC23),ISNUMBER($BC24)),1,0)</formula>
    </cfRule>
  </conditionalFormatting>
  <conditionalFormatting sqref="BX24">
    <cfRule type="expression" dxfId="62" priority="66" stopIfTrue="1">
      <formula>IF(AND($BC23&lt;$BC24,ISNUMBER($BC23),ISNUMBER($BC24)),1,0)</formula>
    </cfRule>
  </conditionalFormatting>
  <conditionalFormatting sqref="BW23">
    <cfRule type="expression" dxfId="61" priority="62" stopIfTrue="1">
      <formula>IF(AND($BB23&gt;$BB24,ISNUMBER($BB23),ISNUMBER($BB24)),1,0)</formula>
    </cfRule>
  </conditionalFormatting>
  <conditionalFormatting sqref="BW24">
    <cfRule type="expression" dxfId="60" priority="61" stopIfTrue="1">
      <formula>IF(AND($BB23&lt;$BB24,ISNUMBER($BB23),ISNUMBER($BB24)),1,0)</formula>
    </cfRule>
  </conditionalFormatting>
  <conditionalFormatting sqref="BH20">
    <cfRule type="expression" dxfId="59" priority="57" stopIfTrue="1">
      <formula>IF(AND($BA20&gt;$BA21,ISNUMBER($BA20),ISNUMBER($BA21)),1,0)</formula>
    </cfRule>
  </conditionalFormatting>
  <conditionalFormatting sqref="BH21">
    <cfRule type="expression" dxfId="58" priority="58" stopIfTrue="1">
      <formula>IF(AND($BA20&lt;$BA21,ISNUMBER($BA20),ISNUMBER($BA21)),1,0)</formula>
    </cfRule>
  </conditionalFormatting>
  <conditionalFormatting sqref="BJ20">
    <cfRule type="expression" dxfId="57" priority="59" stopIfTrue="1">
      <formula>IF(AND($BC20&gt;$BC21,ISNUMBER($BC20),ISNUMBER($BC21)),1,0)</formula>
    </cfRule>
  </conditionalFormatting>
  <conditionalFormatting sqref="BJ21">
    <cfRule type="expression" dxfId="56" priority="60" stopIfTrue="1">
      <formula>IF(AND($BC20&lt;$BC21,ISNUMBER($BC20),ISNUMBER($BC21)),1,0)</formula>
    </cfRule>
  </conditionalFormatting>
  <conditionalFormatting sqref="BI20">
    <cfRule type="expression" dxfId="55" priority="56" stopIfTrue="1">
      <formula>IF(AND($BB20&gt;$BB21,ISNUMBER($BB20),ISNUMBER($BB21)),1,0)</formula>
    </cfRule>
  </conditionalFormatting>
  <conditionalFormatting sqref="BI21">
    <cfRule type="expression" dxfId="54" priority="55" stopIfTrue="1">
      <formula>IF(AND($BB20&lt;$BB21,ISNUMBER($BB20),ISNUMBER($BB21)),1,0)</formula>
    </cfRule>
  </conditionalFormatting>
  <conditionalFormatting sqref="BH28">
    <cfRule type="expression" dxfId="53" priority="51" stopIfTrue="1">
      <formula>IF(AND($BA28&gt;$BA29,ISNUMBER($BA28),ISNUMBER($BA29)),1,0)</formula>
    </cfRule>
  </conditionalFormatting>
  <conditionalFormatting sqref="BH29">
    <cfRule type="expression" dxfId="52" priority="52" stopIfTrue="1">
      <formula>IF(AND($BA28&lt;$BA29,ISNUMBER($BA28),ISNUMBER($BA29)),1,0)</formula>
    </cfRule>
  </conditionalFormatting>
  <conditionalFormatting sqref="BJ28">
    <cfRule type="expression" dxfId="51" priority="53" stopIfTrue="1">
      <formula>IF(AND($BC28&gt;$BC29,ISNUMBER($BC28),ISNUMBER($BC29)),1,0)</formula>
    </cfRule>
  </conditionalFormatting>
  <conditionalFormatting sqref="BJ29">
    <cfRule type="expression" dxfId="50" priority="54" stopIfTrue="1">
      <formula>IF(AND($BC28&lt;$BC29,ISNUMBER($BC28),ISNUMBER($BC29)),1,0)</formula>
    </cfRule>
  </conditionalFormatting>
  <conditionalFormatting sqref="BI28">
    <cfRule type="expression" dxfId="49" priority="50" stopIfTrue="1">
      <formula>IF(AND($BB28&gt;$BB29,ISNUMBER($BB28),ISNUMBER($BB29)),1,0)</formula>
    </cfRule>
  </conditionalFormatting>
  <conditionalFormatting sqref="BI29">
    <cfRule type="expression" dxfId="48" priority="49" stopIfTrue="1">
      <formula>IF(AND($BB28&lt;$BB29,ISNUMBER($BB28),ISNUMBER($BB29)),1,0)</formula>
    </cfRule>
  </conditionalFormatting>
  <conditionalFormatting sqref="BA22">
    <cfRule type="expression" dxfId="47" priority="45" stopIfTrue="1">
      <formula>IF(AND($BA22&gt;$BA23,ISNUMBER($BA22),ISNUMBER($BA23)),1,0)</formula>
    </cfRule>
  </conditionalFormatting>
  <conditionalFormatting sqref="BA23">
    <cfRule type="expression" dxfId="46" priority="46" stopIfTrue="1">
      <formula>IF(AND($BA22&lt;$BA23,ISNUMBER($BA22),ISNUMBER($BA23)),1,0)</formula>
    </cfRule>
  </conditionalFormatting>
  <conditionalFormatting sqref="BC22">
    <cfRule type="expression" dxfId="45" priority="47" stopIfTrue="1">
      <formula>IF(AND($BC22&gt;$BC23,ISNUMBER($BC22),ISNUMBER($BC23)),1,0)</formula>
    </cfRule>
  </conditionalFormatting>
  <conditionalFormatting sqref="BC23">
    <cfRule type="expression" dxfId="44" priority="48" stopIfTrue="1">
      <formula>IF(AND($BC22&lt;$BC23,ISNUMBER($BC22),ISNUMBER($BC23)),1,0)</formula>
    </cfRule>
  </conditionalFormatting>
  <conditionalFormatting sqref="BB22">
    <cfRule type="expression" dxfId="43" priority="44" stopIfTrue="1">
      <formula>IF(AND($BB22&gt;$BB23,ISNUMBER($BB22),ISNUMBER($BB23)),1,0)</formula>
    </cfRule>
  </conditionalFormatting>
  <conditionalFormatting sqref="BB23">
    <cfRule type="expression" dxfId="42" priority="43" stopIfTrue="1">
      <formula>IF(AND($BB22&lt;$BB23,ISNUMBER($BB22),ISNUMBER($BB23)),1,0)</formula>
    </cfRule>
  </conditionalFormatting>
  <conditionalFormatting sqref="BA26">
    <cfRule type="expression" dxfId="41" priority="39" stopIfTrue="1">
      <formula>IF(AND($BA26&gt;$BA27,ISNUMBER($BA26),ISNUMBER($BA27)),1,0)</formula>
    </cfRule>
  </conditionalFormatting>
  <conditionalFormatting sqref="BA27">
    <cfRule type="expression" dxfId="40" priority="40" stopIfTrue="1">
      <formula>IF(AND($BA26&lt;$BA27,ISNUMBER($BA26),ISNUMBER($BA27)),1,0)</formula>
    </cfRule>
  </conditionalFormatting>
  <conditionalFormatting sqref="BC26">
    <cfRule type="expression" dxfId="39" priority="41" stopIfTrue="1">
      <formula>IF(AND($BC26&gt;$BC27,ISNUMBER($BC26),ISNUMBER($BC27)),1,0)</formula>
    </cfRule>
  </conditionalFormatting>
  <conditionalFormatting sqref="BC27">
    <cfRule type="expression" dxfId="38" priority="42" stopIfTrue="1">
      <formula>IF(AND($BC26&lt;$BC27,ISNUMBER($BC26),ISNUMBER($BC27)),1,0)</formula>
    </cfRule>
  </conditionalFormatting>
  <conditionalFormatting sqref="BB26">
    <cfRule type="expression" dxfId="37" priority="38" stopIfTrue="1">
      <formula>IF(AND($BB26&gt;$BB27,ISNUMBER($BB26),ISNUMBER($BB27)),1,0)</formula>
    </cfRule>
  </conditionalFormatting>
  <conditionalFormatting sqref="BB27">
    <cfRule type="expression" dxfId="36" priority="37" stopIfTrue="1">
      <formula>IF(AND($BB26&lt;$BB27,ISNUMBER($BB26),ISNUMBER($BB27)),1,0)</formula>
    </cfRule>
  </conditionalFormatting>
  <conditionalFormatting sqref="BV35">
    <cfRule type="expression" dxfId="35" priority="33" stopIfTrue="1">
      <formula>IF(AND($BA35&gt;$BA36,ISNUMBER($BA35),ISNUMBER($BA36)),1,0)</formula>
    </cfRule>
  </conditionalFormatting>
  <conditionalFormatting sqref="BV36">
    <cfRule type="expression" dxfId="34" priority="34" stopIfTrue="1">
      <formula>IF(AND($BA35&lt;$BA36,ISNUMBER($BA35),ISNUMBER($BA36)),1,0)</formula>
    </cfRule>
  </conditionalFormatting>
  <conditionalFormatting sqref="BX35">
    <cfRule type="expression" dxfId="33" priority="35" stopIfTrue="1">
      <formula>IF(AND($BC35&gt;$BC36,ISNUMBER($BC35),ISNUMBER($BC36)),1,0)</formula>
    </cfRule>
  </conditionalFormatting>
  <conditionalFormatting sqref="BX36">
    <cfRule type="expression" dxfId="32" priority="36" stopIfTrue="1">
      <formula>IF(AND($BC35&lt;$BC36,ISNUMBER($BC35),ISNUMBER($BC36)),1,0)</formula>
    </cfRule>
  </conditionalFormatting>
  <conditionalFormatting sqref="BW35">
    <cfRule type="expression" dxfId="31" priority="32" stopIfTrue="1">
      <formula>IF(AND($BB35&gt;$BB36,ISNUMBER($BB35),ISNUMBER($BB36)),1,0)</formula>
    </cfRule>
  </conditionalFormatting>
  <conditionalFormatting sqref="BW36">
    <cfRule type="expression" dxfId="30" priority="31" stopIfTrue="1">
      <formula>IF(AND($BB35&lt;$BB36,ISNUMBER($BB35),ISNUMBER($BB36)),1,0)</formula>
    </cfRule>
  </conditionalFormatting>
  <conditionalFormatting sqref="BO32">
    <cfRule type="expression" dxfId="29" priority="27" stopIfTrue="1">
      <formula>IF(AND($BA32&gt;$BA33,ISNUMBER($BA32),ISNUMBER($BA33)),1,0)</formula>
    </cfRule>
  </conditionalFormatting>
  <conditionalFormatting sqref="BO33">
    <cfRule type="expression" dxfId="28" priority="28" stopIfTrue="1">
      <formula>IF(AND($BA32&lt;$BA33,ISNUMBER($BA32),ISNUMBER($BA33)),1,0)</formula>
    </cfRule>
  </conditionalFormatting>
  <conditionalFormatting sqref="BQ32">
    <cfRule type="expression" dxfId="27" priority="29" stopIfTrue="1">
      <formula>IF(AND($BC32&gt;$BC33,ISNUMBER($BC32),ISNUMBER($BC33)),1,0)</formula>
    </cfRule>
  </conditionalFormatting>
  <conditionalFormatting sqref="BQ33">
    <cfRule type="expression" dxfId="26" priority="30" stopIfTrue="1">
      <formula>IF(AND($BC32&lt;$BC33,ISNUMBER($BC32),ISNUMBER($BC33)),1,0)</formula>
    </cfRule>
  </conditionalFormatting>
  <conditionalFormatting sqref="BP32">
    <cfRule type="expression" dxfId="25" priority="26" stopIfTrue="1">
      <formula>IF(AND($BB32&gt;$BB33,ISNUMBER($BB32),ISNUMBER($BB33)),1,0)</formula>
    </cfRule>
  </conditionalFormatting>
  <conditionalFormatting sqref="BP33">
    <cfRule type="expression" dxfId="24" priority="25" stopIfTrue="1">
      <formula>IF(AND($BB32&lt;$BB33,ISNUMBER($BB32),ISNUMBER($BB33)),1,0)</formula>
    </cfRule>
  </conditionalFormatting>
  <conditionalFormatting sqref="BH36">
    <cfRule type="expression" dxfId="23" priority="21" stopIfTrue="1">
      <formula>IF(AND($BA36&gt;$BA37,ISNUMBER($BA36),ISNUMBER($BA37)),1,0)</formula>
    </cfRule>
  </conditionalFormatting>
  <conditionalFormatting sqref="BH37">
    <cfRule type="expression" dxfId="22" priority="22" stopIfTrue="1">
      <formula>IF(AND($BA36&lt;$BA37,ISNUMBER($BA36),ISNUMBER($BA37)),1,0)</formula>
    </cfRule>
  </conditionalFormatting>
  <conditionalFormatting sqref="BJ36">
    <cfRule type="expression" dxfId="21" priority="23" stopIfTrue="1">
      <formula>IF(AND($BC36&gt;$BC37,ISNUMBER($BC36),ISNUMBER($BC37)),1,0)</formula>
    </cfRule>
  </conditionalFormatting>
  <conditionalFormatting sqref="BJ37">
    <cfRule type="expression" dxfId="20" priority="24" stopIfTrue="1">
      <formula>IF(AND($BC36&lt;$BC37,ISNUMBER($BC36),ISNUMBER($BC37)),1,0)</formula>
    </cfRule>
  </conditionalFormatting>
  <conditionalFormatting sqref="BI36">
    <cfRule type="expression" dxfId="19" priority="20" stopIfTrue="1">
      <formula>IF(AND($BB36&gt;$BB37,ISNUMBER($BB36),ISNUMBER($BB37)),1,0)</formula>
    </cfRule>
  </conditionalFormatting>
  <conditionalFormatting sqref="BI37">
    <cfRule type="expression" dxfId="18" priority="19" stopIfTrue="1">
      <formula>IF(AND($BB36&lt;$BB37,ISNUMBER($BB36),ISNUMBER($BB37)),1,0)</formula>
    </cfRule>
  </conditionalFormatting>
  <conditionalFormatting sqref="BA38">
    <cfRule type="expression" dxfId="17" priority="15" stopIfTrue="1">
      <formula>IF(AND($BA38&gt;$BA39,ISNUMBER($BA38),ISNUMBER($BA39)),1,0)</formula>
    </cfRule>
  </conditionalFormatting>
  <conditionalFormatting sqref="BA39">
    <cfRule type="expression" dxfId="16" priority="16" stopIfTrue="1">
      <formula>IF(AND($BA38&lt;$BA39,ISNUMBER($BA38),ISNUMBER($BA39)),1,0)</formula>
    </cfRule>
  </conditionalFormatting>
  <conditionalFormatting sqref="BC38">
    <cfRule type="expression" dxfId="15" priority="17" stopIfTrue="1">
      <formula>IF(AND($BC38&gt;$BC39,ISNUMBER($BC38),ISNUMBER($BC39)),1,0)</formula>
    </cfRule>
  </conditionalFormatting>
  <conditionalFormatting sqref="BC39">
    <cfRule type="expression" dxfId="14" priority="18" stopIfTrue="1">
      <formula>IF(AND($BC38&lt;$BC39,ISNUMBER($BC38),ISNUMBER($BC39)),1,0)</formula>
    </cfRule>
  </conditionalFormatting>
  <conditionalFormatting sqref="BB38">
    <cfRule type="expression" dxfId="13" priority="14" stopIfTrue="1">
      <formula>IF(AND($BB38&gt;$BB39,ISNUMBER($BB38),ISNUMBER($BB39)),1,0)</formula>
    </cfRule>
  </conditionalFormatting>
  <conditionalFormatting sqref="BB39">
    <cfRule type="expression" dxfId="12" priority="13" stopIfTrue="1">
      <formula>IF(AND($BB38&lt;$BB39,ISNUMBER($BB38),ISNUMBER($BB39)),1,0)</formula>
    </cfRule>
  </conditionalFormatting>
  <conditionalFormatting sqref="BA34">
    <cfRule type="expression" dxfId="11" priority="9" stopIfTrue="1">
      <formula>IF(AND($BA34&gt;$BA35,ISNUMBER($BA34),ISNUMBER($BA35)),1,0)</formula>
    </cfRule>
  </conditionalFormatting>
  <conditionalFormatting sqref="BA35">
    <cfRule type="expression" dxfId="10" priority="10" stopIfTrue="1">
      <formula>IF(AND($BA34&lt;$BA35,ISNUMBER($BA34),ISNUMBER($BA35)),1,0)</formula>
    </cfRule>
  </conditionalFormatting>
  <conditionalFormatting sqref="BC34">
    <cfRule type="expression" dxfId="9" priority="11" stopIfTrue="1">
      <formula>IF(AND($BC34&gt;$BC35,ISNUMBER($BC34),ISNUMBER($BC35)),1,0)</formula>
    </cfRule>
  </conditionalFormatting>
  <conditionalFormatting sqref="BC35">
    <cfRule type="expression" dxfId="8" priority="12" stopIfTrue="1">
      <formula>IF(AND($BC34&lt;$BC35,ISNUMBER($BC34),ISNUMBER($BC35)),1,0)</formula>
    </cfRule>
  </conditionalFormatting>
  <conditionalFormatting sqref="BB34">
    <cfRule type="expression" dxfId="7" priority="8" stopIfTrue="1">
      <formula>IF(AND($BB34&gt;$BB35,ISNUMBER($BB34),ISNUMBER($BB35)),1,0)</formula>
    </cfRule>
  </conditionalFormatting>
  <conditionalFormatting sqref="BB35">
    <cfRule type="expression" dxfId="6" priority="7" stopIfTrue="1">
      <formula>IF(AND($BB34&lt;$BB35,ISNUMBER($BB34),ISNUMBER($BB35)),1,0)</formula>
    </cfRule>
  </conditionalFormatting>
  <conditionalFormatting sqref="BA30">
    <cfRule type="expression" dxfId="5" priority="3" stopIfTrue="1">
      <formula>IF(AND($BA30&gt;$BA31,ISNUMBER($BA30),ISNUMBER($BA31)),1,0)</formula>
    </cfRule>
  </conditionalFormatting>
  <conditionalFormatting sqref="BA31">
    <cfRule type="expression" dxfId="4" priority="4" stopIfTrue="1">
      <formula>IF(AND($BA30&lt;$BA31,ISNUMBER($BA30),ISNUMBER($BA31)),1,0)</formula>
    </cfRule>
  </conditionalFormatting>
  <conditionalFormatting sqref="BC30">
    <cfRule type="expression" dxfId="3" priority="5" stopIfTrue="1">
      <formula>IF(AND($BC30&gt;$BC31,ISNUMBER($BC30),ISNUMBER($BC31)),1,0)</formula>
    </cfRule>
  </conditionalFormatting>
  <conditionalFormatting sqref="BC31">
    <cfRule type="expression" dxfId="2" priority="6" stopIfTrue="1">
      <formula>IF(AND($BC30&lt;$BC31,ISNUMBER($BC30),ISNUMBER($BC31)),1,0)</formula>
    </cfRule>
  </conditionalFormatting>
  <conditionalFormatting sqref="BB30">
    <cfRule type="expression" dxfId="1" priority="2" stopIfTrue="1">
      <formula>IF(AND($BB30&gt;$BB31,ISNUMBER($BB30),ISNUMBER($BB31)),1,0)</formula>
    </cfRule>
  </conditionalFormatting>
  <conditionalFormatting sqref="BB31">
    <cfRule type="expression" dxfId="0" priority="1" stopIfTrue="1">
      <formula>IF(AND($BB30&lt;$BB31,ISNUMBER($BB30),ISNUMBER($BB31)),1,0)</formula>
    </cfRule>
  </conditionalFormatting>
  <dataValidations count="4">
    <dataValidation type="list" allowBlank="1" showInputMessage="1" showErrorMessage="1" sqref="F7:G55" xr:uid="{00000000-0002-0000-0200-000000000000}">
      <formula1>"0,1,2,3,4,5,6,7,8,9"</formula1>
    </dataValidation>
    <dataValidation type="list" allowBlank="1" showInputMessage="1" showErrorMessage="1" promptTitle="Match results" prompt="Regular time result (90 min)" sqref="BA10:BA11 BA14:BA15 BA18:BA19 BA22:BA23 BA26:BA27 BA30:BA31 BA34:BA35 BA38:BA39 BH12:BH13 BH20:BH21 BH28:BH29 BH36:BH37 BO32:BO33 BO16:BO17 BV35:BV36 BV23:BV24" xr:uid="{00000000-0002-0000-0200-000001000000}">
      <formula1>"0,1,2,3,4,5,6,7,8,9,10,11,12,13,14,15,16,17,18,19,20"</formula1>
    </dataValidation>
    <dataValidation type="list" allowBlank="1" showInputMessage="1" showErrorMessage="1" promptTitle="Match result" prompt="Extra-time result (+30 min)" sqref="BB10:BB11 BB14:BB15 BB18:BB19 BB22:BB23 BB26:BB27 BB30:BB31 BB34:BB35 BB38:BB39 BI12:BI13 BI20:BI21 BI28:BI29 BI36:BI37 BP16:BP17 BP32:BP33 BW23:BW24 BW35:BW36" xr:uid="{00000000-0002-0000-0200-000002000000}">
      <formula1>"0,1,2,3,4,5"</formula1>
    </dataValidation>
    <dataValidation type="list" allowBlank="1" showInputMessage="1" showErrorMessage="1" promptTitle="Match result" prompt="Penalties" sqref="BC10:BC11 BC14:BC15 BC18:BC19 BC22:BC23 BC26:BC27 BC30:BC31 BC34:BC35 BC38:BC39 BJ36:BJ37 BJ28:BJ29 BJ20:BJ21 BJ12:BJ13 BQ16:BQ17 BQ32:BQ33 BX23:BX24 BX35:BX36" xr:uid="{00000000-0002-0000-0200-000003000000}">
      <formula1>"0,1,2,3,4,5,6,7,8,9,10,11,12,13,14,15,16,17,18,19,20"</formula1>
    </dataValidation>
  </dataValidations>
  <hyperlinks>
    <hyperlink ref="O3" location="Settings!C4" tooltip="Settings" display="Settings!C4" xr:uid="{00000000-0004-0000-0200-000000000000}"/>
    <hyperlink ref="J5:P5" r:id="rId1" tooltip="Excel Schedule" display="Home Page: www.excely.com" xr:uid="{00000000-0004-0000-0200-000001000000}"/>
    <hyperlink ref="J5:P6" r:id="rId2" tooltip="World Cup 2022 Schedule in Excel" display="Home Page: www.excely.com" xr:uid="{00000000-0004-0000-0200-000002000000}"/>
    <hyperlink ref="AY48:BC54" r:id="rId3" tooltip="FIFA World Cup Historical Data 1930 - 2018" display="http://www.excely.com/football/fifa-world-cup-statistics.shtml" xr:uid="{00000000-0004-0000-0200-000003000000}"/>
    <hyperlink ref="AY41:BC46" r:id="rId4" tooltip="World Cup 2022 Interactive Schedule - www.wallchart.io" display="http://www.wallchart.io/football/world-cup-2022.html" xr:uid="{00000000-0004-0000-0200-000004000000}"/>
  </hyperlinks>
  <printOptions horizontalCentered="1" verticalCentered="1"/>
  <pageMargins left="0.7" right="0.7" top="0.75" bottom="0.75" header="0.3" footer="0.3"/>
  <pageSetup paperSize="9" scale="48" orientation="landscape" r:id="rId5"/>
  <headerFooter>
    <oddFooter>&amp;Cwww.excely.com (c) 2018</oddFooter>
  </headerFooter>
  <drawing r:id="rId6"/>
  <picture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tabSelected="1" workbookViewId="0">
      <selection activeCell="B15" sqref="B15"/>
    </sheetView>
  </sheetViews>
  <sheetFormatPr defaultRowHeight="15" x14ac:dyDescent="0.25"/>
  <cols>
    <col min="1" max="1" width="80.42578125" customWidth="1"/>
    <col min="2" max="2" width="63.85546875" customWidth="1"/>
  </cols>
  <sheetData>
    <row r="1" spans="1:2" x14ac:dyDescent="0.25">
      <c r="A1" s="101" t="s">
        <v>2526</v>
      </c>
      <c r="B1" s="102" t="s">
        <v>2527</v>
      </c>
    </row>
    <row r="2" spans="1:2" x14ac:dyDescent="0.25">
      <c r="A2" s="103" t="s">
        <v>2518</v>
      </c>
      <c r="B2" s="100" t="s">
        <v>2530</v>
      </c>
    </row>
    <row r="3" spans="1:2" x14ac:dyDescent="0.25">
      <c r="A3" s="100" t="s">
        <v>2519</v>
      </c>
      <c r="B3" s="103" t="s">
        <v>2004</v>
      </c>
    </row>
    <row r="4" spans="1:2" x14ac:dyDescent="0.25">
      <c r="A4" s="103" t="s">
        <v>2520</v>
      </c>
      <c r="B4" s="100" t="s">
        <v>2531</v>
      </c>
    </row>
    <row r="5" spans="1:2" x14ac:dyDescent="0.25">
      <c r="A5" s="100" t="s">
        <v>2529</v>
      </c>
      <c r="B5" s="103">
        <v>1</v>
      </c>
    </row>
    <row r="6" spans="1:2" x14ac:dyDescent="0.25">
      <c r="A6" s="103" t="s">
        <v>2521</v>
      </c>
      <c r="B6" s="100" t="s">
        <v>2532</v>
      </c>
    </row>
    <row r="7" spans="1:2" x14ac:dyDescent="0.25">
      <c r="A7" s="100" t="s">
        <v>2522</v>
      </c>
      <c r="B7" s="103" t="s">
        <v>1115</v>
      </c>
    </row>
    <row r="8" spans="1:2" x14ac:dyDescent="0.25">
      <c r="A8" s="103" t="s">
        <v>2523</v>
      </c>
      <c r="B8" s="100" t="s">
        <v>2287</v>
      </c>
    </row>
    <row r="9" spans="1:2" x14ac:dyDescent="0.25">
      <c r="A9" s="100" t="s">
        <v>2524</v>
      </c>
      <c r="B9" s="103" t="s">
        <v>1392</v>
      </c>
    </row>
    <row r="10" spans="1:2" x14ac:dyDescent="0.25">
      <c r="A10" s="103" t="s">
        <v>2525</v>
      </c>
      <c r="B10" s="100" t="s">
        <v>2533</v>
      </c>
    </row>
    <row r="11" spans="1:2" x14ac:dyDescent="0.25">
      <c r="A11" s="100" t="s">
        <v>2528</v>
      </c>
      <c r="B11" s="103" t="s">
        <v>2534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</vt:lpstr>
      <vt:lpstr>Settings</vt:lpstr>
      <vt:lpstr>2022 World Cup</vt:lpstr>
      <vt:lpstr>LISAKÜSIMUSED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>www.excely.com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creator>Denys Kozyr</dc:creator>
  <cp:keywords>fifa;world cup;schedule;spreadsheet</cp:keywords>
  <cp:lastModifiedBy>arvo</cp:lastModifiedBy>
  <cp:lastPrinted>2018-01-03T15:36:04Z</cp:lastPrinted>
  <dcterms:created xsi:type="dcterms:W3CDTF">2017-12-27T19:32:51Z</dcterms:created>
  <dcterms:modified xsi:type="dcterms:W3CDTF">2022-11-20T09:03:50Z</dcterms:modified>
</cp:coreProperties>
</file>