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6DA79584-BDCC-4CFE-BF71-7F499E001EC3}" xr6:coauthVersionLast="47" xr6:coauthVersionMax="47" xr10:uidLastSave="{00000000-0000-0000-0000-000000000000}"/>
  <bookViews>
    <workbookView xWindow="3465" yWindow="3465" windowWidth="21600" windowHeight="11385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M38" i="3" l="1"/>
  <c r="O50" i="3"/>
  <c r="N44" i="3"/>
  <c r="N26" i="3"/>
  <c r="A5" i="3"/>
  <c r="K26" i="3"/>
  <c r="A1" i="3"/>
  <c r="N14" i="3"/>
  <c r="N38" i="3"/>
  <c r="O14" i="3"/>
  <c r="K50" i="3"/>
  <c r="L14" i="3"/>
  <c r="N8" i="3"/>
  <c r="P32" i="3"/>
  <c r="P50" i="3"/>
  <c r="BT31" i="3"/>
  <c r="M8" i="3"/>
  <c r="N20" i="3"/>
  <c r="BL41" i="3"/>
  <c r="M32" i="3"/>
  <c r="O44" i="3"/>
  <c r="O26" i="3"/>
  <c r="AY6" i="3"/>
  <c r="L50" i="3"/>
  <c r="L32" i="3"/>
  <c r="P26" i="3"/>
  <c r="L8" i="3"/>
  <c r="O38" i="3"/>
  <c r="J20" i="3"/>
  <c r="M50" i="3"/>
  <c r="K44" i="3"/>
  <c r="J26" i="3"/>
  <c r="L38" i="3"/>
  <c r="J44" i="3"/>
  <c r="J32" i="3"/>
  <c r="P14" i="3"/>
  <c r="L44" i="3"/>
  <c r="K38" i="3"/>
  <c r="P44" i="3"/>
  <c r="B44" i="2"/>
  <c r="B32" i="2"/>
  <c r="B20" i="2"/>
  <c r="AB32" i="3"/>
  <c r="B31" i="2"/>
  <c r="B18" i="2"/>
  <c r="AB53" i="3"/>
  <c r="AB46" i="3"/>
  <c r="AB39" i="3"/>
  <c r="B19" i="2"/>
  <c r="B42" i="2"/>
  <c r="AB52" i="3"/>
  <c r="AB45" i="3"/>
  <c r="AB38" i="3"/>
  <c r="AB23" i="3"/>
  <c r="AB16" i="3"/>
  <c r="AB9" i="3"/>
  <c r="B41" i="2"/>
  <c r="B17" i="2"/>
  <c r="B40" i="2"/>
  <c r="B28" i="2"/>
  <c r="AB44" i="3"/>
  <c r="AB29" i="3"/>
  <c r="AB22" i="3"/>
  <c r="AB15" i="3"/>
  <c r="AB8" i="3"/>
  <c r="B27" i="2"/>
  <c r="AB51" i="3"/>
  <c r="B39" i="2"/>
  <c r="B38" i="2"/>
  <c r="B26" i="2"/>
  <c r="AB14" i="3"/>
  <c r="B25" i="2"/>
  <c r="AB20" i="3"/>
  <c r="B47" i="2"/>
  <c r="B29" i="2"/>
  <c r="AB50" i="3"/>
  <c r="AB35" i="3"/>
  <c r="AB28" i="3"/>
  <c r="AB21" i="3"/>
  <c r="B37" i="2"/>
  <c r="AB27" i="3"/>
  <c r="B35" i="2"/>
  <c r="B48" i="2"/>
  <c r="B36" i="2"/>
  <c r="B24" i="2"/>
  <c r="AB34" i="3"/>
  <c r="B23" i="2"/>
  <c r="AB41" i="3"/>
  <c r="B46" i="2"/>
  <c r="B34" i="2"/>
  <c r="B22" i="2"/>
  <c r="B45" i="2"/>
  <c r="B21" i="2"/>
  <c r="AB10" i="3"/>
  <c r="AB47" i="3"/>
  <c r="AB40" i="3"/>
  <c r="AB33" i="3"/>
  <c r="AB26" i="3"/>
  <c r="AB11" i="3"/>
  <c r="B33" i="2"/>
  <c r="AB17" i="3"/>
  <c r="B43" i="2"/>
  <c r="B30" i="2"/>
  <c r="R37" i="3"/>
  <c r="R36" i="3"/>
  <c r="R33" i="3"/>
  <c r="R32" i="3"/>
  <c r="R29" i="3"/>
  <c r="R28" i="3"/>
  <c r="R21" i="3"/>
  <c r="R20" i="3"/>
  <c r="R17" i="3"/>
  <c r="R16" i="3"/>
  <c r="R13" i="3"/>
  <c r="R12" i="3"/>
  <c r="K20" i="3"/>
  <c r="O32" i="3"/>
  <c r="O8" i="3"/>
  <c r="N50" i="3"/>
  <c r="M26" i="3"/>
  <c r="O20" i="3"/>
  <c r="N32" i="3"/>
  <c r="BF6" i="3"/>
  <c r="L26" i="3"/>
  <c r="BM6" i="3"/>
  <c r="M44" i="3"/>
  <c r="P20" i="3"/>
  <c r="K8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48" i="3" l="1"/>
  <c r="AM40" i="3"/>
  <c r="H32" i="3"/>
  <c r="E15" i="3"/>
  <c r="H18" i="3"/>
  <c r="H33" i="3"/>
  <c r="E48" i="3"/>
  <c r="AM39" i="3"/>
  <c r="E54" i="3"/>
  <c r="E35" i="3"/>
  <c r="AM47" i="3"/>
  <c r="H19" i="3"/>
  <c r="E26" i="3"/>
  <c r="H41" i="3"/>
  <c r="AM14" i="3"/>
  <c r="E9" i="3"/>
  <c r="H53" i="3"/>
  <c r="H37" i="3"/>
  <c r="AM46" i="3"/>
  <c r="E19" i="3"/>
  <c r="X19" i="3" s="1"/>
  <c r="H25" i="3"/>
  <c r="E39" i="3"/>
  <c r="AM10" i="3"/>
  <c r="H7" i="3"/>
  <c r="AM33" i="3"/>
  <c r="H20" i="3"/>
  <c r="E36" i="3"/>
  <c r="E52" i="3"/>
  <c r="AM53" i="3"/>
  <c r="H14" i="3"/>
  <c r="H27" i="3"/>
  <c r="E43" i="3"/>
  <c r="AM27" i="3"/>
  <c r="H40" i="3"/>
  <c r="E24" i="3"/>
  <c r="E7" i="3"/>
  <c r="AM9" i="3"/>
  <c r="E46" i="3"/>
  <c r="H28" i="3"/>
  <c r="AM21" i="3"/>
  <c r="H11" i="3"/>
  <c r="H21" i="3"/>
  <c r="E51" i="3"/>
  <c r="H36" i="3"/>
  <c r="X36" i="3" s="1"/>
  <c r="AM51" i="3"/>
  <c r="AM16" i="3"/>
  <c r="H42" i="3"/>
  <c r="E10" i="3"/>
  <c r="X10" i="3" s="1"/>
  <c r="H26" i="3"/>
  <c r="E34" i="3"/>
  <c r="E17" i="3"/>
  <c r="AM32" i="3"/>
  <c r="H49" i="3"/>
  <c r="H29" i="3"/>
  <c r="AM28" i="3"/>
  <c r="H43" i="3"/>
  <c r="E12" i="3"/>
  <c r="E28" i="3"/>
  <c r="E45" i="3"/>
  <c r="AM23" i="3"/>
  <c r="H13" i="3"/>
  <c r="H10" i="3"/>
  <c r="E41" i="3"/>
  <c r="E23" i="3"/>
  <c r="AM17" i="3"/>
  <c r="E49" i="3"/>
  <c r="H16" i="3"/>
  <c r="AM35" i="3"/>
  <c r="E31" i="3"/>
  <c r="E8" i="3"/>
  <c r="H24" i="3"/>
  <c r="H39" i="3"/>
  <c r="AM8" i="3"/>
  <c r="E18" i="3"/>
  <c r="E32" i="3"/>
  <c r="AM38" i="3"/>
  <c r="H47" i="3"/>
  <c r="E33" i="3"/>
  <c r="E47" i="3"/>
  <c r="AM41" i="3"/>
  <c r="H15" i="3"/>
  <c r="E38" i="3"/>
  <c r="AM50" i="3"/>
  <c r="E21" i="3"/>
  <c r="H52" i="3"/>
  <c r="E42" i="3"/>
  <c r="AM15" i="3"/>
  <c r="H23" i="3"/>
  <c r="H9" i="3"/>
  <c r="H35" i="3"/>
  <c r="AM45" i="3"/>
  <c r="E53" i="3"/>
  <c r="H22" i="3"/>
  <c r="E25" i="3"/>
  <c r="X25" i="3" s="1"/>
  <c r="E40" i="3"/>
  <c r="X40" i="3" s="1"/>
  <c r="H8" i="3"/>
  <c r="H46" i="3"/>
  <c r="H30" i="3"/>
  <c r="AM22" i="3"/>
  <c r="E13" i="3"/>
  <c r="H38" i="3"/>
  <c r="AM52" i="3"/>
  <c r="E20" i="3"/>
  <c r="H51" i="3"/>
  <c r="E14" i="3"/>
  <c r="E29" i="3"/>
  <c r="H44" i="3"/>
  <c r="X44" i="3" s="1"/>
  <c r="AM26" i="3"/>
  <c r="E16" i="3"/>
  <c r="H34" i="3"/>
  <c r="H50" i="3"/>
  <c r="AM34" i="3"/>
  <c r="H12" i="3"/>
  <c r="E44" i="3"/>
  <c r="E27" i="3"/>
  <c r="AM29" i="3"/>
  <c r="E50" i="3"/>
  <c r="H31" i="3"/>
  <c r="X31" i="3" s="1"/>
  <c r="H17" i="3"/>
  <c r="E30" i="3"/>
  <c r="AM20" i="3"/>
  <c r="H45" i="3"/>
  <c r="E11" i="3"/>
  <c r="H54" i="3"/>
  <c r="AM44" i="3"/>
  <c r="E37" i="3"/>
  <c r="E22" i="3"/>
  <c r="X22" i="3" s="1"/>
  <c r="AM11" i="3"/>
  <c r="X20" i="3"/>
  <c r="X33" i="3"/>
  <c r="X35" i="3"/>
  <c r="X51" i="3"/>
  <c r="X23" i="3"/>
  <c r="X48" i="3"/>
  <c r="X52" i="3"/>
  <c r="X34" i="3"/>
  <c r="X42" i="3"/>
  <c r="X21" i="3"/>
  <c r="X13" i="3"/>
  <c r="X47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28" i="3" l="1"/>
  <c r="AI28" i="3" s="1"/>
  <c r="AF39" i="3"/>
  <c r="AI39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30" i="3" l="1"/>
  <c r="AF42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39" i="3" l="1"/>
  <c r="W39" i="3" s="1"/>
  <c r="W40" i="3"/>
  <c r="V40" i="3"/>
  <c r="U24" i="3"/>
  <c r="U8" i="3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W49" i="3" s="1"/>
  <c r="U20" i="3"/>
  <c r="W20" i="3" s="1"/>
  <c r="V39" i="3"/>
  <c r="W24" i="3"/>
  <c r="V24" i="3"/>
  <c r="W8" i="3"/>
  <c r="V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49" i="3" l="1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A17" i="3" s="1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 l="1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N33" i="3" l="1"/>
  <c r="J39" i="3"/>
  <c r="L21" i="3"/>
  <c r="O15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M53" i="3"/>
  <c r="L53" i="3"/>
  <c r="O51" i="3"/>
  <c r="J9" i="3"/>
  <c r="L9" i="3"/>
  <c r="O52" i="3"/>
  <c r="N53" i="3"/>
  <c r="J51" i="3"/>
  <c r="S64" i="3" l="1"/>
  <c r="T64" i="3" s="1"/>
  <c r="BG36" i="3" s="1"/>
  <c r="S62" i="3"/>
  <c r="T62" i="3" s="1"/>
  <c r="BG20" i="3" s="1"/>
  <c r="K15" i="3"/>
  <c r="P16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U77" i="3" l="1"/>
  <c r="Z77" i="3" s="1"/>
  <c r="BU36" i="3" s="1"/>
  <c r="T85" i="3"/>
  <c r="BR41" i="3"/>
</calcChain>
</file>

<file path=xl/sharedStrings.xml><?xml version="1.0" encoding="utf-8"?>
<sst xmlns="http://schemas.openxmlformats.org/spreadsheetml/2006/main" count="4374" uniqueCount="2538">
  <si>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</si>
  <si>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</si>
  <si>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</si>
  <si>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</si>
  <si>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</si>
  <si>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</si>
  <si>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</si>
  <si>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</si>
  <si>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</si>
  <si>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</si>
  <si>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</si>
  <si>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</si>
  <si>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</si>
  <si>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</si>
  <si>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</si>
  <si>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</si>
  <si>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</si>
  <si>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</si>
  <si>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</si>
  <si>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</si>
  <si>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</si>
  <si>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</si>
  <si>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</si>
  <si>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</si>
  <si>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</si>
  <si>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</si>
  <si>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</si>
  <si>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</si>
  <si>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</si>
  <si>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</si>
  <si>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</si>
  <si>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</si>
  <si>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</si>
  <si>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</si>
  <si>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</si>
  <si>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</si>
  <si>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</si>
  <si>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</si>
  <si>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</si>
  <si>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</si>
  <si>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</si>
  <si>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</si>
  <si>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</si>
  <si>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</si>
  <si>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</si>
  <si>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</si>
  <si>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</si>
  <si>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</si>
  <si>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</si>
  <si>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</si>
  <si>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</si>
  <si>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</si>
  <si>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</si>
  <si>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</si>
  <si>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</si>
  <si>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</si>
  <si>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</si>
  <si>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</si>
  <si>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</si>
  <si>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</si>
  <si>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</si>
  <si>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</si>
  <si>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</si>
  <si>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</si>
  <si>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</si>
  <si>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</si>
  <si>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</si>
  <si>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</si>
  <si>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</si>
  <si>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</si>
  <si>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</si>
  <si>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</si>
  <si>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</si>
  <si>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</si>
  <si>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</si>
  <si>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</si>
  <si>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</si>
  <si>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</si>
  <si>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</si>
  <si>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</si>
  <si>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</si>
  <si>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</si>
  <si>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</si>
  <si>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</si>
  <si>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</si>
  <si>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</si>
  <si>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</si>
  <si>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</si>
  <si>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</si>
  <si>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</si>
  <si>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</si>
  <si>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</si>
  <si>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</si>
  <si>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</si>
  <si>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</si>
  <si>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</si>
  <si>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</si>
  <si>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</si>
  <si>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</si>
  <si>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</si>
  <si>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</si>
  <si>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</si>
  <si>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</si>
  <si>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</si>
  <si>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</si>
  <si>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</si>
  <si>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</si>
  <si>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</si>
  <si>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</si>
  <si>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</si>
  <si>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</si>
  <si>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</si>
  <si>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</si>
  <si>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</si>
  <si>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</si>
  <si>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</si>
  <si>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</si>
  <si>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</si>
  <si>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</si>
  <si>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</si>
  <si>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</si>
  <si>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</si>
  <si>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</si>
  <si>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</si>
  <si>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</si>
  <si>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</si>
  <si>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</si>
  <si>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</si>
  <si>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</si>
  <si>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</si>
  <si>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</si>
  <si>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</si>
  <si>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</si>
  <si>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</si>
  <si>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</si>
  <si>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</si>
  <si>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</si>
  <si>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</si>
  <si>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</si>
  <si>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</si>
  <si>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</si>
  <si>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</si>
  <si>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</si>
  <si>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</si>
  <si>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</si>
  <si>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</si>
  <si>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</si>
  <si>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</si>
  <si>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</si>
  <si>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</si>
  <si>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</si>
  <si>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</si>
  <si>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</si>
  <si>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</si>
  <si>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</si>
  <si>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</si>
  <si>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</si>
  <si>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</si>
  <si>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</si>
  <si>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</si>
  <si>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</si>
  <si>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</si>
  <si>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</si>
  <si>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</si>
  <si>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</si>
  <si>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</si>
  <si>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</si>
  <si>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</si>
  <si>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</si>
  <si>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</si>
  <si>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</si>
  <si>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</si>
  <si>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</si>
  <si>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</si>
  <si>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</si>
  <si>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</si>
  <si>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</si>
  <si>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</si>
  <si>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</si>
  <si>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</si>
  <si>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</si>
  <si>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</si>
  <si>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</si>
  <si>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</si>
  <si>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</si>
  <si>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</si>
  <si>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</si>
  <si>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</si>
  <si>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</si>
  <si>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</si>
  <si>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</si>
  <si>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</si>
  <si>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</si>
  <si>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</si>
  <si>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</si>
  <si>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</si>
  <si>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</si>
  <si>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</si>
  <si>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</si>
  <si>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</si>
  <si>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</si>
  <si>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</si>
  <si>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</si>
  <si>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</si>
  <si>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</si>
  <si>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</si>
  <si>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</si>
  <si>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</si>
  <si>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</si>
  <si>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</si>
  <si>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</si>
  <si>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</si>
  <si>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</si>
  <si>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</si>
  <si>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</si>
  <si>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</si>
  <si>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</si>
  <si>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</si>
  <si>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</si>
  <si>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</si>
  <si>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</si>
  <si>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</si>
  <si>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</si>
  <si>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</si>
  <si>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</si>
  <si>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</si>
  <si>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</si>
  <si>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</si>
  <si>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</si>
  <si>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</si>
  <si>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</si>
  <si>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</si>
  <si>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</si>
  <si>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</si>
  <si>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</si>
  <si>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</si>
  <si>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</si>
  <si>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</si>
  <si>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</si>
  <si>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</si>
  <si>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</si>
  <si>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</si>
  <si>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</si>
  <si>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</si>
  <si>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</si>
  <si>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</si>
  <si>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</si>
  <si>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</si>
  <si>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</si>
  <si>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</si>
  <si>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</si>
  <si>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</si>
  <si>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</si>
  <si>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</si>
  <si>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</si>
  <si>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</si>
  <si>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</si>
  <si>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</si>
  <si>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</si>
  <si>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</si>
  <si>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</si>
  <si>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</si>
  <si>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</si>
  <si>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</si>
  <si>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</si>
  <si>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</si>
  <si>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</si>
  <si>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</si>
  <si>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</si>
  <si>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</si>
  <si>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</si>
  <si>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</si>
  <si>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</si>
  <si>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</si>
  <si>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</si>
  <si>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</si>
  <si>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</si>
  <si>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</si>
  <si>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</si>
  <si>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</si>
  <si>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</si>
  <si>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</si>
  <si>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</si>
  <si>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</si>
  <si>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</si>
  <si>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</si>
  <si>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</si>
  <si>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</si>
  <si>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</si>
  <si>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</si>
  <si>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</si>
  <si>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</si>
  <si>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</si>
  <si>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</si>
  <si>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</si>
  <si>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</si>
  <si>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</si>
  <si>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</si>
  <si>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</si>
  <si>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</si>
  <si>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</si>
  <si>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</si>
  <si>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</si>
  <si>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</si>
  <si>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</si>
  <si>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</si>
  <si>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</si>
  <si>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</si>
  <si>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</si>
  <si>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</si>
  <si>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</si>
  <si>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</si>
  <si>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</si>
  <si>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</si>
  <si>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</si>
  <si>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</si>
  <si>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</si>
  <si>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</si>
  <si>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</si>
  <si>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</si>
  <si>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</si>
  <si>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</si>
  <si>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</si>
  <si>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</si>
  <si>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</si>
  <si>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</si>
  <si>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</si>
  <si>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</si>
  <si>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</si>
  <si>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</si>
  <si>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</si>
  <si>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</si>
  <si>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</si>
  <si>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</si>
  <si>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</si>
  <si>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</si>
  <si>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</si>
  <si>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</si>
  <si>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</si>
  <si>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</si>
  <si>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</si>
  <si>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</si>
  <si>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</si>
  <si>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</si>
  <si>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</si>
  <si>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</si>
  <si>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</si>
  <si>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</si>
  <si>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</si>
  <si>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</si>
  <si>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</si>
  <si>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</si>
  <si>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</si>
  <si>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</si>
  <si>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</si>
  <si>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</si>
  <si>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</si>
  <si>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</si>
  <si>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</si>
  <si>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</si>
  <si>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</si>
  <si>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</si>
  <si>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</si>
  <si>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</si>
  <si>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</si>
  <si>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</si>
  <si>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</si>
  <si>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</si>
  <si>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</si>
  <si>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</si>
  <si>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</si>
  <si>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</si>
  <si>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</si>
  <si>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</si>
  <si>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</si>
  <si>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</si>
  <si>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</si>
  <si>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</si>
  <si>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</si>
  <si>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</si>
  <si>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</si>
  <si>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</si>
  <si>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</si>
  <si>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</si>
  <si>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</si>
  <si>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</si>
  <si>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</si>
  <si>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</si>
  <si>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</si>
  <si>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</si>
  <si>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</si>
  <si>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</si>
  <si>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</si>
  <si>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</si>
  <si>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</si>
  <si>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</si>
  <si>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</si>
  <si>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</si>
  <si>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</si>
  <si>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</si>
  <si>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</si>
  <si>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</si>
  <si>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</si>
  <si>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</si>
  <si>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</si>
  <si>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</si>
  <si>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</si>
  <si>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</si>
  <si>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</si>
  <si>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</si>
  <si>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</si>
  <si>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</si>
  <si>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</si>
  <si>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</si>
  <si>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</si>
  <si>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</si>
  <si>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</si>
  <si>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</si>
  <si>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</si>
  <si>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</si>
  <si>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</si>
  <si>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</si>
  <si>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</si>
  <si>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</si>
  <si>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</si>
  <si>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</si>
  <si>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</si>
  <si>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</si>
  <si>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</si>
  <si>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</si>
  <si>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</si>
  <si>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</si>
  <si>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</si>
  <si>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</si>
  <si>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</si>
  <si>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</si>
  <si>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</si>
  <si>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</si>
  <si>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</si>
  <si>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</si>
  <si>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</si>
  <si>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</si>
  <si>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</si>
  <si>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</si>
  <si>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</si>
  <si>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</si>
  <si>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</si>
  <si>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</si>
  <si>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</si>
  <si>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</si>
  <si>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</si>
  <si>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</si>
  <si>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</si>
  <si>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</si>
  <si>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</si>
  <si>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</si>
  <si>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</si>
  <si>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</si>
  <si>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</si>
  <si>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</si>
  <si>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</si>
  <si>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</si>
  <si>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</si>
  <si>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</si>
  <si>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</si>
  <si>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</si>
  <si>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</si>
  <si>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</si>
  <si>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</si>
  <si>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</si>
  <si>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</si>
  <si>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</si>
  <si>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</si>
  <si>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</si>
  <si>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</si>
  <si>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</si>
  <si>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</si>
  <si>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</si>
  <si>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</si>
  <si>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</si>
  <si>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</si>
  <si>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</si>
  <si>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</si>
  <si>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</si>
  <si>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</si>
  <si>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</si>
  <si>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</si>
  <si>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</si>
  <si>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</si>
  <si>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</si>
  <si>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</si>
  <si>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</si>
  <si>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</si>
  <si>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</si>
  <si>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</si>
  <si>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</si>
  <si>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</si>
  <si>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</si>
  <si>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</si>
  <si>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</si>
  <si>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</si>
  <si>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</si>
  <si>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</si>
  <si>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</si>
  <si>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</si>
  <si>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</si>
  <si>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</si>
  <si>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</si>
  <si>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</si>
  <si>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</si>
  <si>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</si>
  <si>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</si>
  <si>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</si>
  <si>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</si>
  <si>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</si>
  <si>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</si>
  <si>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</si>
  <si>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</si>
  <si>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</si>
  <si>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</si>
  <si>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</si>
  <si>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</si>
  <si>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</si>
  <si>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</si>
  <si>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</si>
  <si>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</si>
  <si>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</si>
  <si>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</si>
  <si>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</si>
  <si>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</si>
  <si>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</si>
  <si>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</si>
  <si>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</si>
  <si>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</si>
  <si>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</si>
  <si>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</si>
  <si>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</si>
  <si>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</si>
  <si>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</si>
  <si>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</si>
  <si>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</si>
  <si>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</si>
  <si>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</si>
  <si>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</si>
  <si>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</si>
  <si>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</si>
  <si>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</si>
  <si>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</si>
  <si>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</si>
  <si>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</si>
  <si>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</si>
  <si>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</si>
  <si>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</si>
  <si>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</si>
  <si>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</si>
  <si>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</si>
  <si>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</si>
  <si>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</si>
  <si>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</si>
  <si>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</si>
  <si>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</si>
  <si>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</si>
  <si>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</si>
  <si>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</si>
  <si>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</si>
  <si>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</si>
  <si>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</si>
  <si>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</si>
  <si>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</si>
  <si>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</si>
  <si>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</si>
  <si>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</si>
  <si>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</si>
  <si>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</si>
  <si>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</si>
  <si>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</si>
  <si>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</si>
  <si>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</si>
  <si>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</si>
  <si>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</si>
  <si>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</si>
  <si>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</si>
  <si>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</si>
  <si>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</si>
  <si>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</si>
  <si>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</si>
  <si>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</si>
  <si>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</si>
  <si>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</si>
  <si>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</si>
  <si>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</si>
  <si>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</si>
  <si>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</si>
  <si>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</si>
  <si>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</si>
  <si>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</si>
  <si>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</si>
  <si>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</si>
  <si>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</si>
  <si>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</si>
  <si>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</si>
  <si>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</si>
  <si>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</si>
  <si>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</si>
  <si>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</si>
  <si>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</si>
  <si>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</si>
  <si>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</si>
  <si>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</si>
  <si>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</si>
  <si>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</si>
  <si>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</si>
  <si>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</si>
  <si>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</si>
  <si>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</si>
  <si>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</si>
  <si>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</si>
  <si>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</si>
  <si>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</si>
  <si>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</si>
  <si>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</si>
  <si>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</si>
  <si>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</si>
  <si>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</si>
  <si>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</si>
  <si>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</si>
  <si>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</si>
  <si>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</si>
  <si>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</si>
  <si>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</si>
  <si>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</si>
  <si>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</si>
  <si>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</si>
  <si>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</si>
  <si>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</si>
  <si>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</si>
  <si>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</si>
  <si>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</si>
  <si>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</si>
  <si>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</si>
  <si>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</si>
  <si>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</si>
  <si>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</si>
  <si>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</si>
  <si>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</si>
  <si>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</si>
  <si>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</si>
  <si>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</si>
  <si>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</si>
  <si>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</si>
  <si>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</si>
  <si>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</si>
  <si>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</si>
  <si>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</si>
  <si>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</si>
  <si>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</si>
  <si>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</si>
  <si>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</si>
  <si>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</si>
  <si>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</si>
  <si>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</si>
  <si>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</si>
  <si>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</si>
  <si>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</si>
  <si>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</si>
  <si>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</si>
  <si>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</si>
  <si>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</si>
  <si>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</si>
  <si>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</si>
  <si>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</si>
  <si>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</si>
  <si>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</si>
  <si>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</si>
  <si>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</si>
  <si>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</si>
  <si>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</si>
  <si>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</si>
  <si>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</si>
  <si>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</si>
  <si>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</si>
  <si>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</si>
  <si>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</si>
  <si>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</si>
  <si>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</si>
  <si>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</si>
  <si>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</si>
  <si>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</si>
  <si>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</si>
  <si>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</si>
  <si>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</si>
  <si>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</si>
  <si>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</si>
  <si>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</si>
  <si>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</si>
  <si>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</si>
  <si>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</si>
  <si>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</si>
  <si>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</si>
  <si>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</si>
  <si>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</si>
  <si>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</si>
  <si>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</si>
  <si>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</si>
  <si>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</si>
  <si>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</si>
  <si>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</si>
  <si>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</si>
  <si>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</si>
  <si>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</si>
  <si>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</si>
  <si>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</si>
  <si>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</si>
  <si>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</si>
  <si>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</si>
  <si>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</si>
  <si>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</si>
  <si>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</si>
  <si>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</si>
  <si>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</si>
  <si>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</si>
  <si>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</si>
  <si>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</si>
  <si>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</si>
  <si>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</si>
  <si>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</si>
  <si>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</si>
  <si>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</si>
  <si>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</si>
  <si>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</si>
  <si>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</si>
  <si>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</si>
  <si>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</si>
  <si>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</si>
  <si>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</si>
  <si>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</si>
  <si>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</si>
  <si>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</si>
  <si>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</si>
  <si>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</si>
  <si>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</si>
  <si>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</si>
  <si>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</si>
  <si>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</si>
  <si>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</si>
  <si>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</si>
  <si>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</si>
  <si>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</si>
  <si>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</si>
  <si>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</si>
  <si>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</si>
  <si>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</si>
  <si>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</si>
  <si>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</si>
  <si>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</si>
  <si>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</si>
  <si>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</si>
  <si>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</si>
  <si>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</si>
  <si>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</si>
  <si>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</si>
  <si>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</si>
  <si>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</si>
  <si>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</si>
  <si>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</si>
  <si>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</si>
  <si>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</si>
  <si>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</si>
  <si>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</si>
  <si>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</si>
  <si>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</si>
  <si>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</si>
  <si>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</si>
  <si>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</si>
  <si>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</si>
  <si>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</si>
  <si>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</si>
  <si>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</si>
  <si>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</si>
  <si>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</si>
  <si>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</si>
  <si>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</si>
  <si>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</si>
  <si>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</si>
  <si>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</si>
  <si>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</si>
  <si>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</si>
  <si>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</si>
  <si>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</si>
  <si>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</si>
  <si>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</si>
  <si>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</si>
  <si>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</si>
  <si>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</si>
  <si>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</si>
  <si>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</si>
  <si>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</si>
  <si>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</si>
  <si>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</si>
  <si>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</si>
  <si>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</si>
  <si>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</si>
  <si>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</si>
  <si>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</si>
  <si>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</si>
  <si>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</si>
  <si>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</si>
  <si>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</si>
  <si>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</si>
  <si>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</si>
  <si>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</si>
  <si>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</si>
  <si>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</si>
  <si>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</si>
  <si>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</si>
  <si>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</si>
  <si>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</si>
  <si>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</si>
  <si>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</si>
  <si>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</si>
  <si>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</si>
  <si>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</si>
  <si>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</si>
  <si>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</si>
  <si>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</si>
  <si>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</si>
  <si>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</si>
  <si>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</si>
  <si>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</si>
  <si>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</si>
  <si>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</si>
  <si>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</si>
  <si>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</si>
  <si>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</si>
  <si>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</si>
  <si>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</si>
  <si>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</si>
  <si>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</si>
  <si>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</si>
  <si>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</si>
  <si>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</si>
  <si>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</si>
  <si>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</si>
  <si>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</si>
  <si>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</si>
  <si>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</si>
  <si>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</si>
  <si>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</si>
  <si>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</si>
  <si>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</si>
  <si>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</si>
  <si>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</si>
  <si>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</si>
  <si>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</si>
  <si>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</si>
  <si>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</si>
  <si>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</si>
  <si>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</si>
  <si>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</si>
  <si>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</si>
  <si>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</si>
  <si>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</si>
  <si>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</si>
  <si>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</si>
  <si>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</si>
  <si>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</si>
  <si>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</si>
  <si>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</si>
  <si>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</si>
  <si>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</si>
  <si>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</si>
  <si>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</si>
  <si>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</si>
  <si>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</si>
  <si>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</si>
  <si>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</si>
  <si>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</si>
  <si>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</si>
  <si>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</si>
  <si>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</si>
  <si>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</si>
  <si>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</si>
  <si>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</si>
  <si>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</si>
  <si>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</si>
  <si>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</si>
  <si>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</si>
  <si>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</si>
  <si>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</si>
  <si>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</si>
  <si>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</si>
  <si>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</si>
  <si>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</si>
  <si>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</si>
  <si>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</si>
  <si>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</si>
  <si>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</si>
  <si>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</si>
  <si>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</si>
  <si>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</si>
  <si>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</si>
  <si>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</si>
  <si>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</si>
  <si>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</si>
  <si>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</si>
  <si>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</si>
  <si>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</si>
  <si>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</si>
  <si>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</si>
  <si>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</si>
  <si>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</si>
  <si>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</si>
  <si>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</si>
  <si>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</si>
  <si>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</si>
  <si>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</si>
  <si>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</si>
  <si>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</si>
  <si>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</si>
  <si>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</si>
  <si>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</si>
  <si>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</si>
  <si>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</si>
  <si>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</si>
  <si>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</si>
  <si>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</si>
  <si>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</si>
  <si>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</si>
  <si>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</si>
  <si>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</si>
  <si>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</si>
  <si>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</si>
  <si>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</si>
  <si>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</si>
  <si>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</si>
  <si>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</si>
  <si>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</si>
  <si>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</si>
  <si>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</si>
  <si>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</si>
  <si>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</si>
  <si>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</si>
  <si>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</si>
  <si>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</si>
  <si>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</si>
  <si>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</si>
  <si>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</si>
  <si>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</si>
  <si>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</si>
  <si>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</si>
  <si>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</si>
  <si>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</si>
  <si>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</si>
  <si>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</si>
  <si>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</si>
  <si>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</si>
  <si>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</si>
  <si>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</si>
  <si>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</si>
  <si>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</si>
  <si>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</si>
  <si>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</si>
  <si>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</si>
  <si>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</si>
  <si>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</si>
  <si>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</si>
  <si>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</si>
  <si>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</si>
  <si>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</si>
  <si>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</si>
  <si>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</si>
  <si>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</si>
  <si>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</si>
  <si>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</si>
  <si>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</si>
  <si>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</si>
  <si>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</si>
  <si>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</si>
  <si>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</si>
  <si>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</si>
  <si>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</si>
  <si>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</si>
  <si>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</si>
  <si>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</si>
  <si>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</si>
  <si>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</si>
  <si>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</si>
  <si>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</si>
  <si>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</si>
  <si>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</si>
  <si>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</si>
  <si>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</si>
  <si>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</si>
  <si>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</si>
  <si>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</si>
  <si>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</si>
  <si>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</si>
  <si>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</si>
  <si>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</si>
  <si>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</si>
  <si>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</si>
  <si>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</si>
  <si>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</si>
  <si>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</si>
  <si>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</si>
  <si>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</si>
  <si>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</si>
  <si>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</si>
  <si>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</si>
  <si>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</si>
  <si>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</si>
  <si>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</si>
  <si>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</si>
  <si>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</si>
  <si>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</si>
  <si>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</si>
  <si>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</si>
  <si>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</si>
  <si>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</si>
  <si>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</si>
  <si>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</si>
  <si>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</si>
  <si>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</si>
  <si>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</si>
  <si>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</si>
  <si>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</si>
  <si>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</si>
  <si>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</si>
  <si>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</si>
  <si>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</si>
  <si>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</si>
  <si>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</si>
  <si>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</si>
  <si>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</si>
  <si>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</si>
  <si>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</si>
  <si>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</si>
  <si>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</si>
  <si>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</si>
  <si>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</si>
  <si>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</si>
  <si>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</si>
  <si>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</si>
  <si>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</si>
  <si>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</si>
  <si>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</si>
  <si>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</si>
  <si>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</si>
  <si>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</si>
  <si>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</si>
  <si>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</si>
  <si>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</si>
  <si>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</si>
  <si>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</si>
  <si>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</si>
  <si>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</si>
  <si>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</si>
  <si>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</si>
  <si>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</si>
  <si>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</si>
  <si>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</si>
  <si>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</si>
  <si>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</si>
  <si>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</si>
  <si>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</si>
  <si>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</si>
  <si>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</si>
  <si>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</si>
  <si>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</si>
  <si>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</si>
  <si>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</si>
  <si>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</si>
  <si>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</si>
  <si>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</si>
  <si>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</si>
  <si>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</si>
  <si>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</si>
  <si>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</si>
  <si>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</si>
  <si>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</si>
  <si>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</si>
  <si>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</si>
  <si>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</si>
  <si>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</si>
  <si>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</si>
  <si>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</si>
  <si>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</si>
  <si>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</si>
  <si>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</si>
  <si>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</si>
  <si>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</si>
  <si>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</si>
  <si>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</si>
  <si>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</si>
  <si>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</si>
  <si>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</si>
  <si>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</si>
  <si>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</si>
  <si>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</si>
  <si>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</si>
  <si>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</si>
  <si>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</si>
  <si>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</si>
  <si>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</si>
  <si>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</si>
  <si>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</si>
  <si>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</si>
  <si>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</si>
  <si>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</si>
  <si>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</si>
  <si>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</si>
  <si>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</si>
  <si>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</si>
  <si>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</si>
  <si>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</si>
  <si>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</si>
  <si>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</si>
  <si>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</si>
  <si>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</si>
  <si>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</si>
  <si>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</si>
  <si>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</si>
  <si>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</si>
  <si>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</si>
  <si>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</si>
  <si>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</si>
  <si>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</si>
  <si>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</si>
  <si>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</si>
  <si>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</si>
  <si>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</si>
  <si>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</si>
  <si>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</si>
  <si>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</si>
  <si>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</si>
  <si>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</si>
  <si>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</si>
  <si>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</si>
  <si>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</si>
  <si>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</si>
  <si>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</si>
  <si>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</si>
  <si>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</si>
  <si>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</si>
  <si>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</si>
  <si>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</si>
  <si>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</si>
  <si>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</si>
  <si>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</si>
  <si>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</si>
  <si>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</si>
  <si>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</si>
  <si>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</si>
  <si>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</si>
  <si>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</si>
  <si>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</si>
  <si>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</si>
  <si>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</si>
  <si>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</si>
  <si>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</si>
  <si>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</si>
  <si>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</si>
  <si>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</si>
  <si>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</si>
  <si>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</si>
  <si>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</si>
  <si>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</si>
  <si>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</si>
  <si>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</si>
  <si>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</si>
  <si>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</si>
  <si>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</si>
  <si>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</si>
  <si>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</si>
  <si>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</si>
  <si>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</si>
  <si>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</si>
  <si>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</si>
  <si>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</si>
  <si>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</si>
  <si>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</si>
  <si>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</si>
  <si>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</si>
  <si>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</si>
  <si>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</si>
  <si>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</si>
  <si>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</si>
  <si>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</si>
  <si>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</si>
  <si>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</si>
  <si>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</si>
  <si>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</si>
  <si>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</si>
  <si>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</si>
  <si>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</si>
  <si>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</si>
  <si>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</si>
  <si>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</si>
  <si>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</si>
  <si>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</si>
  <si>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</si>
  <si>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</si>
  <si>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</si>
  <si>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</si>
  <si>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</si>
  <si>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</si>
  <si>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</si>
  <si>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</si>
  <si>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</si>
  <si>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</si>
  <si>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</si>
  <si>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</si>
  <si>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</si>
  <si>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</si>
  <si>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</si>
  <si>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</si>
  <si>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</si>
  <si>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</si>
  <si>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</si>
  <si>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</si>
  <si>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</si>
  <si>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</si>
  <si>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</si>
  <si>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</si>
  <si>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</si>
  <si>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</si>
  <si>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</si>
  <si>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</si>
  <si>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</si>
  <si>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</si>
  <si>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</si>
  <si>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</si>
  <si>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</si>
  <si>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</si>
  <si>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</si>
  <si>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</si>
  <si>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</si>
  <si>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</si>
  <si>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</si>
  <si>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</si>
  <si>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</si>
  <si>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</si>
  <si>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</si>
  <si>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</si>
  <si>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</si>
  <si>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</si>
  <si>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</si>
  <si>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</si>
  <si>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</si>
  <si>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</si>
  <si>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</si>
  <si>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</si>
  <si>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</si>
  <si>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</si>
  <si>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</si>
  <si>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</si>
  <si>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</si>
  <si>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</si>
  <si>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</si>
  <si>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</si>
  <si>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</si>
  <si>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</si>
  <si>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</si>
  <si>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</si>
  <si>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</si>
  <si>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</si>
  <si>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</si>
  <si>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</si>
  <si>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</si>
  <si>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</si>
  <si>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</si>
  <si>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</si>
  <si>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</si>
  <si>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</si>
  <si>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</si>
  <si>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</si>
  <si>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</si>
  <si>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</si>
  <si>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</si>
  <si>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</si>
  <si>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</si>
  <si>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</si>
  <si>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</si>
  <si>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</si>
  <si>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</si>
  <si>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</si>
  <si>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</si>
  <si>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</si>
  <si>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</si>
  <si>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</si>
  <si>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</si>
  <si>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</si>
  <si>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</si>
  <si>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</si>
  <si>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</si>
  <si>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</si>
  <si>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</si>
  <si>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</si>
  <si>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</si>
  <si>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</si>
  <si>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</si>
  <si>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</si>
  <si>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</si>
  <si>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</si>
  <si>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</si>
  <si>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</si>
  <si>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</si>
  <si>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</si>
  <si>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</si>
  <si>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</si>
  <si>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</si>
  <si>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</si>
  <si>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</si>
  <si>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</si>
  <si>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</si>
  <si>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</si>
  <si>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</si>
  <si>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</si>
  <si>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</si>
  <si>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</si>
  <si>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</si>
  <si>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</si>
  <si>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</si>
  <si>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</si>
  <si>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</si>
  <si>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</si>
  <si>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</si>
  <si>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</si>
  <si>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</si>
  <si>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</si>
  <si>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</si>
  <si>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</si>
  <si>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</si>
  <si>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</si>
  <si>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</si>
  <si>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</si>
  <si>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</si>
  <si>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</si>
  <si>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</si>
  <si>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</si>
  <si>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</si>
  <si>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</si>
  <si>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</si>
  <si>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</si>
  <si>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</si>
  <si>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</si>
  <si>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</si>
  <si>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</si>
  <si>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</si>
  <si>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</si>
  <si>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</si>
  <si>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</si>
  <si>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</si>
  <si>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</si>
  <si>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</si>
  <si>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</si>
  <si>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</si>
  <si>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</si>
  <si>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</si>
  <si>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</si>
  <si>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</si>
  <si>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</si>
  <si>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</si>
  <si>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</si>
  <si>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</si>
  <si>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</si>
  <si>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</si>
  <si>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</si>
  <si>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</si>
  <si>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</si>
  <si>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</si>
  <si>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</si>
  <si>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</si>
  <si>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</si>
  <si>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</si>
  <si>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</si>
  <si>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</si>
  <si>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</si>
  <si>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</si>
  <si>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</si>
  <si>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</si>
  <si>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</si>
  <si>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</si>
  <si>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</si>
  <si>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</si>
  <si>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</si>
  <si>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</si>
  <si>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</si>
  <si>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</si>
  <si>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</si>
  <si>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</si>
  <si>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</si>
  <si>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</si>
  <si>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</si>
  <si>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</si>
  <si>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</si>
  <si>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</si>
  <si>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</si>
  <si>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</si>
  <si>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</si>
  <si>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</si>
  <si>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</si>
  <si>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</si>
  <si>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</si>
  <si>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</si>
  <si>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</si>
  <si>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</si>
  <si>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</si>
  <si>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</si>
  <si>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</si>
  <si>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</si>
  <si>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</si>
  <si>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</si>
  <si>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</si>
  <si>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</si>
  <si>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</si>
  <si>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</si>
  <si>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</si>
  <si>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</si>
  <si>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</si>
  <si>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</si>
  <si>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</si>
  <si>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</si>
  <si>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</si>
  <si>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</si>
  <si>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</si>
  <si>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</si>
  <si>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</si>
  <si>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</si>
  <si>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</si>
  <si>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</si>
  <si>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</si>
  <si>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</si>
  <si>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</si>
  <si>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</si>
  <si>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</si>
  <si>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</si>
  <si>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</si>
  <si>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</si>
  <si>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</si>
  <si>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</si>
  <si>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</si>
  <si>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</si>
  <si>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</si>
  <si>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</si>
  <si>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</si>
  <si>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</si>
  <si>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</si>
  <si>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</si>
  <si>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</si>
  <si>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</si>
  <si>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</si>
  <si>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</si>
  <si>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</si>
  <si>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</si>
  <si>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</si>
  <si>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</si>
  <si>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</si>
  <si>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</si>
  <si>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</si>
  <si>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</si>
  <si>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</si>
  <si>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</si>
  <si>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</si>
  <si>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</si>
  <si>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</si>
  <si>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</si>
  <si>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</si>
  <si>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</si>
  <si>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</si>
  <si>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</si>
  <si>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</si>
  <si>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</si>
  <si>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</si>
  <si>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</si>
  <si>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</si>
  <si>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</si>
  <si>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</si>
  <si>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</si>
  <si>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</si>
  <si>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</si>
  <si>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</si>
  <si>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</si>
  <si>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</si>
  <si>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</si>
  <si>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</si>
  <si>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</si>
  <si>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</si>
  <si>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</si>
  <si>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</si>
  <si>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</si>
  <si>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</si>
  <si>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</si>
  <si>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</si>
  <si>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</si>
  <si>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</si>
  <si>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</si>
  <si>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</si>
  <si>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</si>
  <si>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</si>
  <si>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</si>
  <si>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</si>
  <si>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</si>
  <si>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</si>
  <si>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</si>
  <si>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</si>
  <si>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</si>
  <si>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</si>
  <si>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</si>
  <si>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</si>
  <si>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</si>
  <si>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</si>
  <si>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</si>
  <si>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</si>
  <si>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</si>
  <si>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</si>
  <si>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</si>
  <si>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</si>
  <si>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</si>
  <si>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</si>
  <si>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</si>
  <si>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</si>
  <si>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</si>
  <si>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</si>
  <si>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</si>
  <si>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</si>
  <si>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</si>
  <si>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</si>
  <si>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</si>
  <si>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</si>
  <si>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</si>
  <si>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</si>
  <si>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</si>
  <si>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</si>
  <si>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</si>
  <si>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</si>
  <si>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</si>
  <si>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</si>
  <si>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</si>
  <si>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</si>
  <si>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</si>
  <si>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</si>
  <si>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</si>
  <si>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</si>
  <si>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</si>
  <si>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</si>
  <si>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</si>
  <si>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</si>
  <si>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</si>
  <si>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</si>
  <si>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</si>
  <si>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</si>
  <si>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</si>
  <si>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</si>
  <si>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</si>
  <si>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</si>
  <si>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</si>
  <si>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</si>
  <si>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</si>
  <si>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</si>
  <si>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</si>
  <si>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</si>
  <si>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</si>
  <si>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</si>
  <si>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</si>
  <si>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</si>
  <si>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</si>
  <si>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</si>
  <si>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</si>
  <si>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</si>
  <si>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</si>
  <si>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</si>
  <si>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</si>
  <si>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</si>
  <si>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</si>
  <si>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</si>
  <si>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</si>
  <si>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</si>
  <si>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</si>
  <si>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</si>
  <si>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</si>
  <si>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</si>
  <si>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</si>
  <si>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</si>
  <si>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</si>
  <si>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</si>
  <si>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</si>
  <si>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</si>
  <si>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</si>
  <si>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</si>
  <si>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</si>
  <si>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</si>
  <si>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</si>
  <si>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</si>
  <si>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</si>
  <si>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</si>
  <si>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</si>
  <si>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</si>
  <si>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</si>
  <si>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</si>
  <si>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</si>
  <si>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</si>
  <si>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</si>
  <si>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</si>
  <si>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</si>
  <si>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</si>
  <si>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</si>
  <si>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</si>
  <si>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</si>
  <si>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</si>
  <si>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</si>
  <si>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</si>
  <si>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</si>
  <si>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</si>
  <si>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</si>
  <si>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</si>
  <si>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</si>
  <si>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</si>
  <si>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</si>
  <si>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</si>
  <si>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</si>
  <si>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</si>
  <si>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</si>
  <si>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</si>
  <si>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</si>
  <si>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</si>
  <si>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</si>
  <si>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</si>
  <si>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</si>
  <si>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</si>
  <si>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</si>
  <si>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</si>
  <si>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</si>
  <si>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</si>
  <si>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</si>
  <si>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</si>
  <si>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</si>
  <si>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</si>
  <si>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</si>
  <si>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</si>
  <si>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</si>
  <si>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</si>
  <si>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</si>
  <si>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</si>
  <si>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</si>
  <si>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</si>
  <si>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</si>
  <si>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</si>
  <si>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</si>
  <si>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</si>
  <si>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</si>
  <si>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</si>
  <si>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</si>
  <si>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</si>
  <si>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</si>
  <si>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</si>
  <si>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</si>
  <si>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</si>
  <si>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</si>
  <si>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</si>
  <si>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</si>
  <si>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</si>
  <si>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</si>
  <si>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</si>
  <si>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</si>
  <si>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</si>
  <si>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</si>
  <si>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</si>
  <si>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</si>
  <si>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</si>
  <si>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</si>
  <si>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</si>
  <si>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</si>
  <si>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</si>
  <si>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</si>
  <si>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</si>
  <si>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</si>
  <si>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</si>
  <si>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</si>
  <si>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</si>
  <si>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</si>
  <si>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</si>
  <si>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</si>
  <si>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</si>
  <si>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</si>
  <si>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</si>
  <si>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</si>
  <si>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</si>
  <si>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</si>
  <si>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</si>
  <si>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</si>
  <si>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</si>
  <si>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</si>
  <si>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</si>
  <si>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</si>
  <si>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</si>
  <si>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</si>
  <si>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</si>
  <si>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</si>
  <si>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</si>
  <si>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</si>
  <si>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</si>
  <si>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</si>
  <si>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</si>
  <si>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</si>
  <si>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</si>
  <si>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</si>
  <si>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</si>
  <si>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</si>
  <si>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</si>
  <si>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</si>
  <si>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</si>
  <si>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</si>
  <si>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</si>
  <si>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</si>
  <si>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</si>
  <si>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</si>
  <si>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</si>
  <si>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</si>
  <si>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</si>
  <si>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</si>
  <si>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</si>
  <si>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</si>
  <si>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</si>
  <si>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</si>
  <si>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</si>
  <si>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</si>
  <si>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</si>
  <si>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</si>
  <si>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</si>
  <si>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</si>
  <si>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</si>
  <si>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</si>
  <si>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</si>
  <si>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</si>
  <si>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</si>
  <si>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</si>
  <si>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</si>
  <si>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</si>
  <si>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</si>
  <si>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</si>
  <si>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</si>
  <si>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</si>
  <si>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</si>
  <si>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</si>
  <si>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</si>
  <si>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</si>
  <si>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</si>
  <si>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</si>
  <si>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</si>
  <si>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</si>
  <si>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</si>
  <si>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</si>
  <si>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</si>
  <si>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</si>
  <si>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</si>
  <si>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</si>
  <si>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</si>
  <si>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</si>
  <si>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</si>
  <si>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</si>
  <si>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</si>
  <si>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</si>
  <si>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</si>
  <si>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</si>
  <si>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</si>
  <si>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</si>
  <si>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</si>
  <si>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</si>
  <si>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</si>
  <si>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</si>
  <si>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</si>
  <si>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</si>
  <si>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</si>
  <si>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</si>
  <si>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</si>
  <si>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</si>
  <si>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</si>
  <si>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</si>
  <si>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</si>
  <si>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</si>
  <si>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</si>
  <si>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</si>
  <si>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</si>
  <si>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</si>
  <si>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</si>
  <si>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</si>
  <si>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</si>
  <si>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</si>
  <si>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</si>
  <si>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</si>
  <si>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</si>
  <si>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</si>
  <si>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</si>
  <si>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</si>
  <si>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</si>
  <si>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</si>
  <si>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</si>
  <si>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</si>
  <si>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</si>
  <si>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</si>
  <si>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</si>
  <si>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</si>
  <si>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</si>
  <si>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</si>
  <si>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</si>
  <si>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</si>
  <si>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</si>
  <si>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</si>
  <si>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</si>
  <si>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</si>
  <si>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</si>
  <si>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</si>
  <si>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</si>
  <si>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</si>
  <si>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</si>
  <si>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</si>
  <si>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</si>
  <si>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</si>
  <si>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</si>
  <si>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</si>
  <si>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</si>
  <si>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</si>
  <si>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</si>
  <si>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</si>
  <si>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</si>
  <si>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</si>
  <si>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</si>
  <si>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</si>
  <si>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</si>
  <si>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</si>
  <si>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</si>
  <si>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</si>
  <si>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</si>
  <si>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</si>
  <si>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</si>
  <si>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</si>
  <si>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</si>
  <si>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</si>
  <si>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</si>
  <si>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</si>
  <si>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</si>
  <si>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</si>
  <si>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</si>
  <si>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</si>
  <si>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</si>
  <si>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</si>
  <si>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</si>
  <si>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</si>
  <si>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</si>
  <si>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</si>
  <si>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</si>
  <si>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</si>
  <si>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</si>
  <si>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</si>
  <si>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</si>
  <si>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</si>
  <si>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</si>
  <si>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</si>
  <si>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</si>
  <si>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</si>
  <si>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</si>
  <si>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</si>
  <si>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</si>
  <si>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</si>
  <si>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</si>
  <si>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</si>
  <si>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</si>
  <si>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</si>
  <si>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</si>
  <si>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</si>
  <si>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</si>
  <si>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</si>
  <si>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</si>
  <si>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</si>
  <si>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</si>
  <si>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</si>
  <si>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</si>
  <si>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</si>
  <si>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</si>
  <si>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</si>
  <si>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</si>
  <si>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</si>
  <si>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</si>
  <si>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</si>
  <si>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</si>
  <si>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</si>
  <si>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</si>
  <si>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</si>
  <si>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</si>
  <si>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</si>
  <si>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</si>
  <si>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</si>
  <si>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</si>
  <si>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</si>
  <si>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</si>
  <si>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</si>
  <si>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</si>
  <si>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</si>
  <si>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</si>
  <si>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</si>
  <si>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</si>
  <si>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</si>
  <si>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</si>
  <si>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</si>
  <si>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</si>
  <si>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</si>
  <si>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</si>
  <si>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</si>
  <si>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</si>
  <si>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</si>
  <si>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</si>
  <si>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</si>
  <si>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</si>
  <si>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</si>
  <si>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</si>
  <si>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</si>
  <si>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</si>
  <si>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</si>
  <si>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</si>
  <si>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</si>
  <si>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</si>
  <si>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</si>
  <si>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</si>
  <si>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</si>
  <si>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</si>
  <si>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</si>
  <si>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</si>
  <si>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</si>
  <si>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</si>
  <si>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</si>
  <si>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</si>
  <si>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</si>
  <si>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</si>
  <si>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</si>
  <si>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</si>
  <si>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</si>
  <si>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</si>
  <si>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</si>
  <si>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</si>
  <si>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</si>
  <si>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</si>
  <si>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</si>
  <si>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</si>
  <si>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</si>
  <si>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</si>
  <si>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</si>
  <si>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</si>
  <si>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</si>
  <si>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</si>
  <si>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</si>
  <si>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</si>
  <si>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</si>
  <si>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</si>
  <si>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</si>
  <si>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</si>
  <si>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</si>
  <si>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</si>
  <si>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</si>
  <si>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</si>
  <si>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</si>
  <si>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</si>
  <si>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</si>
  <si>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</si>
  <si>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</si>
  <si>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</si>
  <si>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</si>
  <si>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</si>
  <si>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</si>
  <si>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</si>
  <si>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</si>
  <si>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</si>
  <si>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</si>
  <si>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</si>
  <si>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</si>
  <si>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</si>
  <si>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</si>
  <si>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</si>
  <si>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</si>
  <si>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</si>
  <si>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</si>
  <si>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</si>
  <si>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</si>
  <si>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</si>
  <si>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</si>
  <si>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</si>
  <si>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</si>
  <si>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</si>
  <si>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</si>
  <si>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</si>
  <si>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</si>
  <si>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</si>
  <si>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</si>
  <si>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</si>
  <si>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</si>
  <si>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</si>
  <si>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</si>
  <si>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</si>
  <si>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</si>
  <si>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</si>
  <si>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</si>
  <si>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</si>
  <si>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</si>
  <si>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</si>
  <si>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</si>
  <si>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</si>
  <si>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</si>
  <si>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</si>
  <si>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</si>
  <si>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</si>
  <si>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</si>
  <si>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</si>
  <si>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</si>
  <si>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</si>
  <si>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</si>
  <si>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</si>
  <si>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</si>
  <si>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</si>
  <si>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</si>
  <si>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</si>
  <si>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</si>
  <si>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</si>
  <si>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</si>
  <si>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</si>
  <si>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</si>
  <si>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</si>
  <si>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</si>
  <si>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</si>
  <si>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</si>
  <si>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</si>
  <si>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</si>
  <si>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</si>
  <si>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</si>
  <si>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</si>
  <si>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</si>
  <si>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</si>
  <si>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</si>
  <si>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</si>
  <si>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</si>
  <si>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</si>
  <si>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</si>
  <si>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</si>
  <si>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</si>
  <si>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</si>
  <si>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</si>
  <si>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</si>
  <si>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</si>
  <si>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</si>
  <si>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</si>
  <si>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</si>
  <si>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</si>
  <si>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</si>
  <si>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</si>
  <si>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</si>
  <si>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</si>
  <si>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</si>
  <si>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</si>
  <si>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</si>
  <si>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</si>
  <si>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</si>
  <si>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</si>
  <si>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</si>
  <si>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</si>
  <si>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</si>
  <si>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</si>
  <si>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</si>
  <si>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</si>
  <si>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</si>
  <si>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</si>
  <si>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</si>
  <si>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</si>
  <si>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</si>
  <si>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</si>
  <si>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</si>
  <si>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</si>
  <si>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</si>
  <si>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</si>
  <si>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</si>
  <si>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</si>
  <si>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</si>
  <si>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</si>
  <si>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</si>
  <si>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</si>
  <si>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</si>
  <si>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</si>
  <si>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</si>
  <si>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</si>
  <si>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</si>
  <si>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</si>
  <si>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</si>
  <si>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</si>
  <si>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</si>
  <si>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</si>
  <si>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</si>
  <si>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</si>
  <si>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</si>
  <si>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</si>
  <si>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</si>
  <si>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</si>
  <si>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</si>
  <si>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</si>
  <si>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</si>
  <si>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</si>
  <si>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</si>
  <si>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</si>
  <si>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</si>
  <si>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</si>
  <si>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</si>
  <si>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</si>
  <si>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</si>
  <si>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</si>
  <si>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</si>
  <si>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</si>
  <si>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</si>
  <si>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</si>
  <si>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</si>
  <si>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</si>
  <si>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</si>
  <si>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</si>
  <si>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</si>
  <si>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</si>
  <si>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</si>
  <si>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</si>
  <si>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</si>
  <si>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</si>
  <si>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</si>
  <si>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</si>
  <si>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</si>
  <si>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</si>
  <si>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</si>
  <si>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</si>
  <si>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</si>
  <si>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</si>
  <si>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</si>
  <si>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</si>
  <si>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</si>
  <si>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</si>
  <si>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</si>
  <si>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</si>
  <si>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</si>
  <si>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</si>
  <si>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</si>
  <si>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</si>
  <si>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</si>
  <si>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</si>
  <si>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</si>
  <si>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</si>
  <si>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</si>
  <si>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</si>
  <si>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</si>
  <si>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</si>
  <si>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</si>
  <si>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</si>
  <si>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</si>
  <si>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</si>
  <si>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</si>
  <si>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</si>
  <si>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</si>
  <si>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</si>
  <si>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</si>
  <si>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</si>
  <si>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</si>
  <si>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</si>
  <si>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</si>
  <si>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</si>
  <si>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</si>
  <si>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</si>
  <si>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</si>
  <si>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</si>
  <si>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</si>
  <si>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</si>
  <si>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</si>
  <si>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</si>
  <si>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</si>
  <si>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</si>
  <si>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</si>
  <si>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</si>
  <si>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</si>
  <si>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</si>
  <si>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</si>
  <si>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</si>
  <si>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</si>
  <si>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</si>
  <si>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</si>
  <si>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</si>
  <si>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</si>
  <si>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</si>
  <si>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</si>
  <si>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</si>
  <si>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</si>
  <si>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</si>
  <si>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</si>
  <si>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</si>
  <si>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</si>
  <si>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</si>
  <si>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</si>
  <si>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</si>
  <si>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</si>
  <si>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</si>
  <si>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</si>
  <si>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</si>
  <si>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</si>
  <si>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</si>
  <si>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</si>
  <si>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</si>
  <si>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</si>
  <si>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</si>
  <si>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</si>
  <si>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</si>
  <si>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</si>
  <si>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</si>
  <si>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</si>
  <si>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</si>
  <si>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</si>
  <si>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</si>
  <si>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</si>
  <si>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</si>
  <si>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</si>
  <si>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</si>
  <si>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</si>
  <si>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</si>
  <si>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</si>
  <si>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</si>
  <si>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</si>
  <si>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</si>
  <si>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</si>
  <si>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</si>
  <si>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</si>
  <si>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</si>
  <si>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</si>
  <si>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</si>
  <si>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</si>
  <si>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</si>
  <si>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</si>
  <si>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</si>
  <si>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</si>
  <si>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</si>
  <si>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</si>
  <si>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</si>
  <si>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</si>
  <si>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</si>
  <si>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</si>
  <si>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</si>
  <si>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</si>
  <si>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</si>
  <si>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</si>
  <si>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</si>
  <si>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</si>
  <si>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</si>
  <si>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</si>
  <si>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</si>
  <si>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</si>
  <si>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</si>
  <si>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</si>
  <si>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</si>
  <si>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</si>
  <si>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</si>
  <si>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</si>
  <si>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</si>
  <si>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</si>
  <si>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</si>
  <si>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</si>
  <si>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</si>
  <si>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</si>
  <si>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</si>
  <si>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</si>
  <si>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</si>
  <si>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</si>
  <si>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</si>
  <si>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</si>
  <si>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</si>
  <si>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</si>
  <si>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</si>
  <si>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</si>
  <si>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</si>
  <si>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</si>
  <si>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</si>
  <si>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</si>
  <si>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</si>
  <si>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</si>
  <si>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</si>
  <si>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</si>
  <si>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</si>
  <si>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</si>
  <si>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</si>
  <si>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</si>
  <si>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</si>
  <si>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</si>
  <si>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</si>
  <si>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</si>
  <si>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</si>
  <si>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</si>
  <si>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</si>
  <si>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</si>
  <si>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</si>
  <si>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</si>
  <si>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</si>
  <si>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</si>
  <si>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</si>
  <si>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</si>
  <si>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</si>
  <si>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</si>
  <si>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</si>
  <si>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</si>
  <si>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</si>
  <si>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</si>
  <si>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</si>
  <si>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</si>
  <si>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</si>
  <si>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</si>
  <si>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</si>
  <si>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</si>
  <si>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</si>
  <si>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</si>
  <si>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</si>
  <si>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</si>
  <si>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</si>
  <si>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</si>
  <si>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</si>
  <si>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</si>
  <si>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</si>
  <si>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</si>
  <si>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</si>
  <si>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</si>
  <si>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</si>
  <si>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</si>
  <si>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</si>
  <si>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</si>
  <si>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</si>
  <si>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</si>
  <si>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</si>
  <si>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</si>
  <si>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</si>
  <si>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</si>
  <si>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</si>
  <si>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</si>
  <si>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</si>
  <si>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</si>
  <si>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</si>
  <si>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</si>
  <si>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</si>
  <si>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</si>
  <si>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</si>
  <si>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</si>
  <si>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</si>
  <si>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</si>
  <si>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</si>
  <si>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</si>
  <si>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</si>
  <si>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</si>
  <si>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</si>
  <si>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</si>
  <si>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</si>
  <si>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</si>
  <si>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</si>
  <si>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</si>
  <si>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</si>
  <si>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</si>
  <si>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</si>
  <si>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</si>
  <si>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</si>
  <si>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</si>
  <si>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</si>
  <si>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</si>
  <si>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</si>
  <si>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</si>
  <si>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</si>
  <si>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</si>
  <si>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</si>
  <si>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</si>
  <si>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</si>
  <si>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</si>
  <si>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</si>
  <si>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</si>
  <si>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</si>
  <si>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</si>
  <si>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</si>
  <si>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</si>
  <si>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</si>
  <si>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</si>
  <si>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</si>
  <si>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</si>
  <si>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</si>
  <si>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</si>
  <si>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</si>
  <si>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</si>
  <si>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</si>
  <si>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</si>
  <si>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</si>
  <si>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</si>
  <si>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</si>
  <si>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</si>
  <si>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</si>
  <si>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</si>
  <si>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</si>
  <si>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</si>
  <si>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</si>
  <si>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</si>
  <si>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</si>
  <si>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</si>
  <si>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</si>
  <si>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</si>
  <si>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</si>
  <si>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</si>
  <si>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</si>
  <si>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</si>
  <si>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</si>
  <si>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</si>
  <si>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</si>
  <si>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</si>
  <si>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</si>
  <si>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</si>
  <si>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</si>
  <si>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</si>
  <si>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</si>
  <si>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</si>
  <si>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</si>
  <si>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</si>
  <si>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</si>
  <si>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</si>
  <si>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</si>
  <si>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</si>
  <si>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</si>
  <si>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</si>
  <si>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</si>
  <si>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</si>
  <si>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</si>
  <si>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</si>
  <si>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</si>
  <si>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</si>
  <si>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</si>
  <si>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</si>
  <si>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</si>
  <si>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</si>
  <si>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</si>
  <si>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</si>
  <si>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</si>
  <si>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</si>
  <si>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</si>
  <si>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</si>
  <si>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</si>
  <si>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</si>
  <si>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</si>
  <si>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</si>
  <si>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</si>
  <si>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</si>
  <si>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</si>
  <si>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</si>
  <si>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</si>
  <si>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</si>
  <si>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</si>
  <si>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</si>
  <si>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</si>
  <si>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</si>
  <si>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</si>
  <si>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</si>
  <si>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</si>
  <si>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</si>
  <si>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</si>
  <si>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</si>
  <si>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</si>
  <si>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</si>
  <si>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</si>
  <si>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</si>
  <si>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</si>
  <si>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</si>
  <si>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</si>
  <si>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</si>
  <si>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</si>
  <si>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</si>
  <si>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</si>
  <si>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</si>
  <si>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</si>
  <si>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</si>
  <si>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</si>
  <si>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</si>
  <si>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</si>
  <si>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</si>
  <si>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</si>
  <si>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</si>
  <si>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</si>
  <si>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</si>
  <si>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</si>
  <si>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</si>
  <si>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</si>
  <si>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</si>
  <si>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</si>
  <si>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</si>
  <si>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</si>
  <si>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</si>
  <si>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</si>
  <si>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</si>
  <si>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</si>
  <si>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</si>
  <si>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</si>
  <si>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</si>
  <si>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</si>
  <si>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</si>
  <si>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</si>
  <si>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</si>
  <si>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</si>
  <si>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</si>
  <si>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</si>
  <si>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</si>
  <si>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</si>
  <si>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</si>
  <si>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</si>
  <si>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</si>
  <si>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</si>
  <si>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</si>
  <si>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</si>
  <si>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</si>
  <si>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</si>
  <si>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</si>
  <si>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</si>
  <si>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</si>
  <si>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</si>
  <si>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</si>
  <si>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</si>
  <si>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</si>
  <si>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</si>
  <si>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</si>
  <si>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</si>
  <si>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</si>
  <si>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</si>
  <si>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</si>
  <si>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</si>
  <si>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</si>
  <si>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</si>
  <si>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</si>
  <si>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Bale</t>
  </si>
  <si>
    <t>Jaapan</t>
  </si>
  <si>
    <t>Ronaldo</t>
  </si>
  <si>
    <t>4 ja 6</t>
  </si>
  <si>
    <t>3. Tomiyasu</t>
  </si>
  <si>
    <t>Hispaania</t>
  </si>
  <si>
    <t>Takumi Minamino</t>
  </si>
  <si>
    <t>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</si>
</sst>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12" sqref="C12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1236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Australia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C1" zoomScaleNormal="100" workbookViewId="0">
      <selection activeCell="J9" sqref="J9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4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2</v>
      </c>
      <c r="G8" s="22">
        <v>0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Senegal_win</v>
      </c>
      <c r="T8" s="88" t="str">
        <f t="shared" si="4"/>
        <v>Netherlands_lose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1</v>
      </c>
      <c r="AE8" s="47">
        <f>COUNTIF($S$7:$T$54,"=" &amp; AB8 &amp; "_lose")</f>
        <v>0</v>
      </c>
      <c r="AF8" s="47">
        <f>SUMIF($E$7:$E$54,$AB8,$F$7:$F$54) + SUMIF($H$7:$H$54,$AB8,$G$7:$G$54)</f>
        <v>3</v>
      </c>
      <c r="AG8" s="47">
        <f>SUMIF($E$7:$E$54,$AB8,$G$7:$G$54) + SUMIF($H$7:$H$54,$AB8,$F$7:$F$54)</f>
        <v>0</v>
      </c>
      <c r="AH8" s="47">
        <f>(AF8-AG8)*100+AK8*10000+AF8</f>
        <v>70303</v>
      </c>
      <c r="AI8" s="47">
        <f>AF8-AG8</f>
        <v>3</v>
      </c>
      <c r="AJ8" s="47">
        <f>(AI8-AI13)/AI12</f>
        <v>0.81818181818181823</v>
      </c>
      <c r="AK8" s="47">
        <f>AC8*3+AD8</f>
        <v>7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962.81897389818187</v>
      </c>
      <c r="AO8" s="48" t="str">
        <f>IF(SUM(AC8:AE11)=12,J9,INDEX(T,70,lang))</f>
        <v>Qatar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1</v>
      </c>
      <c r="G9" s="22">
        <v>4</v>
      </c>
      <c r="H9" s="90" t="str">
        <f>AB15</f>
        <v>Iran</v>
      </c>
      <c r="J9" s="50" t="str">
        <f>VLOOKUP(1,AA8:AK11,2,FALSE)</f>
        <v>Qatar</v>
      </c>
      <c r="K9" s="51">
        <f>L9+M9+N9</f>
        <v>3</v>
      </c>
      <c r="L9" s="51">
        <f>VLOOKUP(1,AA8:AK11,3,FALSE)</f>
        <v>2</v>
      </c>
      <c r="M9" s="51">
        <f>VLOOKUP(1,AA8:AK11,4,FALSE)</f>
        <v>1</v>
      </c>
      <c r="N9" s="51">
        <f>VLOOKUP(1,AA8:AK11,5,FALSE)</f>
        <v>0</v>
      </c>
      <c r="O9" s="51" t="str">
        <f>VLOOKUP(1,AA8:AK11,6,FALSE) &amp; " - " &amp; VLOOKUP(1,AA8:AK11,7,FALSE)</f>
        <v>7 - 3</v>
      </c>
      <c r="P9" s="52">
        <f>L9*3+M9</f>
        <v>7</v>
      </c>
      <c r="R9" s="47">
        <f>DATE(2022,11,21)+TIME(2,0,0)+gmt_delta</f>
        <v>44886.666666666672</v>
      </c>
      <c r="S9" s="88" t="str">
        <f t="shared" si="3"/>
        <v>England_lose</v>
      </c>
      <c r="T9" s="88" t="str">
        <f t="shared" si="4"/>
        <v>Iran_win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-1</v>
      </c>
      <c r="AA9" s="47">
        <f>COUNTIF(AN8:AN11,CONCATENATE("&gt;=",AN9))</f>
        <v>1</v>
      </c>
      <c r="AB9" s="48" t="str">
        <f>VLOOKUP("Qatar",T,lang,FALSE)</f>
        <v>Qatar</v>
      </c>
      <c r="AC9" s="47">
        <f>COUNTIF($S$7:$T$54,"=" &amp; AB9 &amp; "_win")</f>
        <v>2</v>
      </c>
      <c r="AD9" s="47">
        <f>COUNTIF($S$7:$T$54,"=" &amp; AB9 &amp; "_draw")</f>
        <v>1</v>
      </c>
      <c r="AE9" s="47">
        <f>COUNTIF($S$7:$T$54,"=" &amp; AB9 &amp; "_lose")</f>
        <v>0</v>
      </c>
      <c r="AF9" s="47">
        <f>SUMIF($E$7:$E$54,$AB9,$F$7:$F$54) + SUMIF($H$7:$H$54,$AB9,$G$7:$G$54)</f>
        <v>7</v>
      </c>
      <c r="AG9" s="47">
        <f>SUMIF($E$7:$E$54,$AB9,$G$7:$G$54) + SUMIF($H$7:$H$54,$AB9,$F$7:$F$54)</f>
        <v>3</v>
      </c>
      <c r="AH9" s="47">
        <f>(AF9-AG9)*100+AK9*10000+AF9</f>
        <v>70407</v>
      </c>
      <c r="AI9" s="47">
        <f>AF9-AG9</f>
        <v>4</v>
      </c>
      <c r="AJ9" s="47">
        <f>(AI9-AI13)/AI12</f>
        <v>0.90909090909090906</v>
      </c>
      <c r="AK9" s="47">
        <f>AC9*3+AD9</f>
        <v>7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979.90981140909093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3</v>
      </c>
      <c r="G10" s="22">
        <v>0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1</v>
      </c>
      <c r="N10" s="25">
        <f>VLOOKUP(2,AA8:AK11,5,FALSE)</f>
        <v>0</v>
      </c>
      <c r="O10" s="25" t="str">
        <f>VLOOKUP(2,AA8:AK11,6,FALSE) &amp; " - " &amp; VLOOKUP(2,AA8:AK11,7,FALSE)</f>
        <v>3 - 0</v>
      </c>
      <c r="P10" s="54">
        <f>L10*3+M10</f>
        <v>7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5</v>
      </c>
      <c r="AG10" s="47">
        <f>SUMIF($E$7:$E$54,$AB10,$G$7:$G$54) + SUMIF($H$7:$H$54,$AB10,$F$7:$F$54)</f>
        <v>6</v>
      </c>
      <c r="AH10" s="47">
        <f>(AF10-AG10)*100+AK10*10000+AF10</f>
        <v>29905</v>
      </c>
      <c r="AI10" s="47">
        <f>AF10-AG10</f>
        <v>-1</v>
      </c>
      <c r="AJ10" s="47">
        <f>(AI10-AI13)/AI12</f>
        <v>0.45454545454545453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430.45527195454542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Qatar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1</v>
      </c>
      <c r="G11" s="22">
        <v>2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5 - 6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Argentina_lose</v>
      </c>
      <c r="T11" s="88" t="str">
        <f t="shared" si="4"/>
        <v>Saudi Arabia_win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0</v>
      </c>
      <c r="Y11" s="47">
        <f t="shared" si="9"/>
        <v>-1</v>
      </c>
      <c r="AA11" s="47">
        <f>COUNTIF(AN8:AN11,CONCATENATE("&gt;=",AN11))</f>
        <v>4</v>
      </c>
      <c r="AB11" s="48" t="str">
        <f>VLOOKUP("Netherlands",T,lang,FALSE)</f>
        <v>Netherlands</v>
      </c>
      <c r="AC11" s="47">
        <f>COUNTIF($S$7:$T$54,"=" &amp; AB11 &amp; "_win")</f>
        <v>0</v>
      </c>
      <c r="AD11" s="47">
        <f>COUNTIF($S$7:$T$54,"=" &amp; AB11 &amp; "_draw")</f>
        <v>0</v>
      </c>
      <c r="AE11" s="47">
        <f>COUNTIF($S$7:$T$54,"=" &amp; AB11 &amp; "_lose")</f>
        <v>3</v>
      </c>
      <c r="AF11" s="47">
        <f>SUMIF($E$7:$E$54,$AB11,$F$7:$F$54) + SUMIF($H$7:$H$54,$AB11,$G$7:$G$54)</f>
        <v>3</v>
      </c>
      <c r="AG11" s="47">
        <f>SUMIF($E$7:$E$54,$AB11,$G$7:$G$54) + SUMIF($H$7:$H$54,$AB11,$F$7:$F$54)</f>
        <v>9</v>
      </c>
      <c r="AH11" s="47">
        <f>(AF11-AG11)*100+AK11*10000+AF11</f>
        <v>-597</v>
      </c>
      <c r="AI11" s="47">
        <f>AF11-AG11</f>
        <v>-6</v>
      </c>
      <c r="AJ11" s="47">
        <f>(AI11-AI13)/AI12</f>
        <v>0</v>
      </c>
      <c r="AK11" s="47">
        <f>AC11*3+AD11</f>
        <v>0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6.0008293300000002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Iran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1</v>
      </c>
      <c r="G12" s="22">
        <v>4</v>
      </c>
      <c r="H12" s="90" t="str">
        <f>AB29</f>
        <v>Tunisia</v>
      </c>
      <c r="J12" s="55" t="str">
        <f>VLOOKUP(4,AA8:AK11,2,FALSE)</f>
        <v>Netherlands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3 - 9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Denmark_lose</v>
      </c>
      <c r="T12" s="88" t="str">
        <f t="shared" si="4"/>
        <v>Tunisia_win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-1</v>
      </c>
      <c r="AC12" s="47">
        <f t="shared" ref="AC12:AL12" si="10">MAX(AC8:AC11)-MIN(AC8:AC11)+1</f>
        <v>3</v>
      </c>
      <c r="AD12" s="47">
        <f t="shared" si="10"/>
        <v>2</v>
      </c>
      <c r="AE12" s="47">
        <f t="shared" si="10"/>
        <v>4</v>
      </c>
      <c r="AF12" s="47">
        <f t="shared" si="10"/>
        <v>5</v>
      </c>
      <c r="AG12" s="47">
        <f t="shared" si="10"/>
        <v>10</v>
      </c>
      <c r="AH12" s="47">
        <f>MAX(AH8:AH11)-AH13+1</f>
        <v>71005</v>
      </c>
      <c r="AI12" s="47">
        <f>MAX(AI8:AI11)-AI13+1</f>
        <v>11</v>
      </c>
      <c r="AK12" s="47">
        <f t="shared" si="10"/>
        <v>8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Qatar</v>
      </c>
      <c r="BH12" s="84">
        <v>2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3</v>
      </c>
      <c r="G13" s="22">
        <v>3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-597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Saudi Arabia</v>
      </c>
      <c r="BH13" s="85">
        <v>3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3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France_lose</v>
      </c>
      <c r="T14" s="88" t="str">
        <f t="shared" si="4"/>
        <v>Australia_win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1</v>
      </c>
      <c r="Y14" s="47">
        <f t="shared" si="9"/>
        <v>-1</v>
      </c>
      <c r="AA14" s="47">
        <f>COUNTIF(AN14:AN17,CONCATENATE("&gt;=",AN14))</f>
        <v>4</v>
      </c>
      <c r="AB14" s="48" t="str">
        <f>VLOOKUP("England",T,lang,FALSE)</f>
        <v>England</v>
      </c>
      <c r="AC14" s="47">
        <f>COUNTIF($S$7:$T$54,"=" &amp; AB14 &amp; "_win")</f>
        <v>0</v>
      </c>
      <c r="AD14" s="47">
        <f>COUNTIF($S$7:$T$54,"=" &amp; AB14 &amp; "_draw")</f>
        <v>1</v>
      </c>
      <c r="AE14" s="47">
        <f>COUNTIF($S$7:$T$54,"=" &amp; AB14 &amp; "_lose")</f>
        <v>2</v>
      </c>
      <c r="AF14" s="47">
        <f>SUMIF($E$7:$E$54,$AB14,$F$7:$F$54) + SUMIF($H$7:$H$54,$AB14,$G$7:$G$54)</f>
        <v>1</v>
      </c>
      <c r="AG14" s="47">
        <f>SUMIF($E$7:$E$54,$AB14,$G$7:$G$54) + SUMIF($H$7:$H$54,$AB14,$F$7:$F$54)</f>
        <v>6</v>
      </c>
      <c r="AH14" s="47">
        <f>(AF14-AG14)*100+AK14*10000+AF14</f>
        <v>9501</v>
      </c>
      <c r="AI14" s="47">
        <f>AF14-AG14</f>
        <v>-5</v>
      </c>
      <c r="AJ14" s="47">
        <f>(AI14-AI19)/AI18</f>
        <v>0</v>
      </c>
      <c r="AK14" s="47">
        <f>AC14*3+AD14</f>
        <v>1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144.28659528571427</v>
      </c>
      <c r="AO14" s="48" t="str">
        <f>IF(SUM(AC14:AE17)=12,J15,INDEX(T,72,lang))</f>
        <v>United States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Saudi Arabia</v>
      </c>
      <c r="BA14" s="84">
        <v>1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0</v>
      </c>
      <c r="H15" s="90" t="str">
        <f>AB41</f>
        <v>Croatia</v>
      </c>
      <c r="J15" s="50" t="str">
        <f>VLOOKUP(1,AA14:AK17,2,FALSE)</f>
        <v>United States</v>
      </c>
      <c r="K15" s="51">
        <f>L15+M15+N15</f>
        <v>3</v>
      </c>
      <c r="L15" s="51">
        <f>VLOOKUP(1,AA14:AK17,3,FALSE)</f>
        <v>2</v>
      </c>
      <c r="M15" s="51">
        <f>VLOOKUP(1,AA14:AK17,4,FALSE)</f>
        <v>1</v>
      </c>
      <c r="N15" s="51">
        <f>VLOOKUP(1,AA14:AK17,5,FALSE)</f>
        <v>0</v>
      </c>
      <c r="O15" s="51" t="str">
        <f>VLOOKUP(1,AA14:AK17,6,FALSE) &amp; " - " &amp; VLOOKUP(1,AA14:AK17,7,FALSE)</f>
        <v>7 - 2</v>
      </c>
      <c r="P15" s="52">
        <f>L15*3+M15</f>
        <v>7</v>
      </c>
      <c r="R15" s="47">
        <f>DATE(2022,11,22)+TIME(23,0,0)+gmt_delta</f>
        <v>44888.541666666672</v>
      </c>
      <c r="S15" s="88" t="str">
        <f t="shared" si="3"/>
        <v>Morocco_draw</v>
      </c>
      <c r="T15" s="88" t="str">
        <f t="shared" si="4"/>
        <v>Croatia_draw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0</v>
      </c>
      <c r="AA15" s="47">
        <f>COUNTIF(AN14:AN17,CONCATENATE("&gt;=",AN15))</f>
        <v>2</v>
      </c>
      <c r="AB15" s="48" t="str">
        <f>VLOOKUP("Iran",T,lang,FALSE)</f>
        <v>Iran</v>
      </c>
      <c r="AC15" s="47">
        <f>COUNTIF($S$7:$T$54,"=" &amp; AB15 &amp; "_win")</f>
        <v>1</v>
      </c>
      <c r="AD15" s="47">
        <f>COUNTIF($S$7:$T$54,"=" &amp; AB15 &amp; "_draw")</f>
        <v>2</v>
      </c>
      <c r="AE15" s="47">
        <f>COUNTIF($S$7:$T$54,"=" &amp; AB15 &amp; "_lose")</f>
        <v>0</v>
      </c>
      <c r="AF15" s="47">
        <f>SUMIF($E$7:$E$54,$AB15,$F$7:$F$54) + SUMIF($H$7:$H$54,$AB15,$G$7:$G$54)</f>
        <v>7</v>
      </c>
      <c r="AG15" s="47">
        <f>SUMIF($E$7:$E$54,$AB15,$G$7:$G$54) + SUMIF($H$7:$H$54,$AB15,$F$7:$F$54)</f>
        <v>4</v>
      </c>
      <c r="AH15" s="47">
        <f>(AF15-AG15)*100+AK15*10000+AF15</f>
        <v>50307</v>
      </c>
      <c r="AI15" s="47">
        <f>AF15-AG15</f>
        <v>3</v>
      </c>
      <c r="AJ15" s="47">
        <f>(AI15-AI19)/AI18</f>
        <v>0.72727272727272729</v>
      </c>
      <c r="AK15" s="47">
        <f>AC15*3+AD15</f>
        <v>5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797.01376901298704</v>
      </c>
      <c r="AO15" s="48" t="str">
        <f>IF(SUM(AC14:AE17)=12,J16,INDEX(T,73,lang))</f>
        <v>Iran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Australia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3</v>
      </c>
      <c r="H16" s="90" t="str">
        <f>AB35</f>
        <v>Japan</v>
      </c>
      <c r="J16" s="53" t="str">
        <f>VLOOKUP(2,AA14:AK17,2,FALSE)</f>
        <v>Iran</v>
      </c>
      <c r="K16" s="25">
        <f>L16+M16+N16</f>
        <v>3</v>
      </c>
      <c r="L16" s="25">
        <f>VLOOKUP(2,AA14:AK17,3,FALSE)</f>
        <v>1</v>
      </c>
      <c r="M16" s="25">
        <f>VLOOKUP(2,AA14:AK17,4,FALSE)</f>
        <v>2</v>
      </c>
      <c r="N16" s="25">
        <f>VLOOKUP(2,AA14:AK17,5,FALSE)</f>
        <v>0</v>
      </c>
      <c r="O16" s="25" t="str">
        <f>VLOOKUP(2,AA14:AK17,6,FALSE) &amp; " - " &amp; VLOOKUP(2,AA14:AK17,7,FALSE)</f>
        <v>7 - 4</v>
      </c>
      <c r="P16" s="54">
        <f>L16*3+M16</f>
        <v>5</v>
      </c>
      <c r="R16" s="47">
        <f>DATE(2022,11,23)+TIME(2,0,0)+gmt_delta</f>
        <v>44888.666666666672</v>
      </c>
      <c r="S16" s="88" t="str">
        <f t="shared" si="3"/>
        <v>Germany_draw</v>
      </c>
      <c r="T16" s="88" t="str">
        <f t="shared" si="4"/>
        <v>Japan_draw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0</v>
      </c>
      <c r="AA16" s="47">
        <f>COUNTIF(AN14:AN17,CONCATENATE("&gt;=",AN16))</f>
        <v>1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1</v>
      </c>
      <c r="AE16" s="47">
        <f>COUNTIF($S$7:$T$54,"=" &amp; AB16 &amp; "_lose")</f>
        <v>0</v>
      </c>
      <c r="AF16" s="47">
        <f>SUMIF($E$7:$E$54,$AB16,$F$7:$F$54) + SUMIF($H$7:$H$54,$AB16,$G$7:$G$54)</f>
        <v>7</v>
      </c>
      <c r="AG16" s="47">
        <f>SUMIF($E$7:$E$54,$AB16,$G$7:$G$54) + SUMIF($H$7:$H$54,$AB16,$F$7:$F$54)</f>
        <v>2</v>
      </c>
      <c r="AH16" s="47">
        <f>(AF16-AG16)*100+AK16*10000+AF16</f>
        <v>70507</v>
      </c>
      <c r="AI16" s="47">
        <f>AF16-AG16</f>
        <v>5</v>
      </c>
      <c r="AJ16" s="47">
        <f>(AI16-AI19)/AI18</f>
        <v>0.90909090909090906</v>
      </c>
      <c r="AK16" s="47">
        <f>AC16*3+AD16</f>
        <v>7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1100.909907769091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Saudi Arabia</v>
      </c>
      <c r="BO16" s="84">
        <v>1</v>
      </c>
      <c r="BP16" s="86">
        <v>1</v>
      </c>
      <c r="BQ16" s="27">
        <v>2</v>
      </c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1</v>
      </c>
      <c r="G17" s="22">
        <v>5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1 - 4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Spain_lose</v>
      </c>
      <c r="T17" s="88" t="str">
        <f t="shared" si="4"/>
        <v>Costa Rica_win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-1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2</v>
      </c>
      <c r="AE17" s="47">
        <f>COUNTIF($S$7:$T$54,"=" &amp; AB17 &amp; "_lose")</f>
        <v>1</v>
      </c>
      <c r="AF17" s="47">
        <f>SUMIF($E$7:$E$54,$AB17,$F$7:$F$54) + SUMIF($H$7:$H$54,$AB17,$G$7:$G$54)</f>
        <v>1</v>
      </c>
      <c r="AG17" s="47">
        <f>SUMIF($E$7:$E$54,$AB17,$G$7:$G$54) + SUMIF($H$7:$H$54,$AB17,$F$7:$F$54)</f>
        <v>4</v>
      </c>
      <c r="AH17" s="47">
        <f>(AF17-AG17)*100+AK17*10000+AF17</f>
        <v>19701</v>
      </c>
      <c r="AI17" s="47">
        <f>AF17-AG17</f>
        <v>-3</v>
      </c>
      <c r="AJ17" s="47">
        <f>(AI17-AI19)/AI18</f>
        <v>0.18181818181818182</v>
      </c>
      <c r="AK17" s="47">
        <f>AC17*3+AD17</f>
        <v>2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305.32546638967534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Serbia</v>
      </c>
      <c r="BO17" s="85">
        <v>1</v>
      </c>
      <c r="BP17" s="87">
        <v>1</v>
      </c>
      <c r="BQ17" s="30">
        <v>3</v>
      </c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4</v>
      </c>
      <c r="H18" s="90" t="str">
        <f>AB39</f>
        <v>Canada</v>
      </c>
      <c r="J18" s="55" t="str">
        <f>VLOOKUP(4,AA14:AK17,2,FALSE)</f>
        <v>England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1 - 6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Belgium_lose</v>
      </c>
      <c r="T18" s="88" t="str">
        <f t="shared" si="4"/>
        <v>Canada_win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-1</v>
      </c>
      <c r="AC18" s="47">
        <f t="shared" ref="AC18:AL18" si="11">MAX(AC14:AC17)-MIN(AC14:AC17)+1</f>
        <v>3</v>
      </c>
      <c r="AD18" s="47">
        <f t="shared" si="11"/>
        <v>2</v>
      </c>
      <c r="AE18" s="47">
        <f t="shared" si="11"/>
        <v>3</v>
      </c>
      <c r="AF18" s="47">
        <f t="shared" si="11"/>
        <v>7</v>
      </c>
      <c r="AG18" s="47">
        <f t="shared" si="11"/>
        <v>5</v>
      </c>
      <c r="AH18" s="47">
        <f>MAX(AH14:AH17)-AH19+1</f>
        <v>61007</v>
      </c>
      <c r="AI18" s="47">
        <f>MAX(AI14:AI17)-AI19+1</f>
        <v>11</v>
      </c>
      <c r="AK18" s="47">
        <f t="shared" si="11"/>
        <v>7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Costa Rica</v>
      </c>
      <c r="BA18" s="84">
        <v>1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3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Switzerland_lose</v>
      </c>
      <c r="T19" s="88" t="str">
        <f t="shared" si="4"/>
        <v>Cameroon_win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-1</v>
      </c>
      <c r="AH19" s="47">
        <f>MIN(AH14:AH17)</f>
        <v>9501</v>
      </c>
      <c r="AI19" s="47">
        <f>MIN(AI14:AI17)</f>
        <v>-5</v>
      </c>
      <c r="AY19" s="125"/>
      <c r="AZ19" s="28" t="str">
        <f>AO39</f>
        <v>Morocco</v>
      </c>
      <c r="BA19" s="85">
        <v>3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0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Uruguay_lose</v>
      </c>
      <c r="T20" s="88" t="str">
        <f t="shared" si="4"/>
        <v>Korea Republic_win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-1</v>
      </c>
      <c r="AA20" s="47">
        <f>COUNTIF(AN20:AN23,CONCATENATE("&gt;=",AN20))</f>
        <v>4</v>
      </c>
      <c r="AB20" s="48" t="str">
        <f>VLOOKUP("Argentina",T,lang,FALSE)</f>
        <v>Argentina</v>
      </c>
      <c r="AC20" s="47">
        <f>COUNTIF($S$7:$T$54,"=" &amp; AB20 &amp; "_win")</f>
        <v>0</v>
      </c>
      <c r="AD20" s="47">
        <f>COUNTIF($S$7:$T$54,"=" &amp; AB20 &amp; "_draw")</f>
        <v>0</v>
      </c>
      <c r="AE20" s="47">
        <f>COUNTIF($S$7:$T$54,"=" &amp; AB20 &amp; "_lose")</f>
        <v>3</v>
      </c>
      <c r="AF20" s="47">
        <f>SUMIF($E$7:$E$54,$AB20,$F$7:$F$54) + SUMIF($H$7:$H$54,$AB20,$G$7:$G$54)</f>
        <v>2</v>
      </c>
      <c r="AG20" s="47">
        <f>SUMIF($E$7:$E$54,$AB20,$G$7:$G$54) + SUMIF($H$7:$H$54,$AB20,$F$7:$F$54)</f>
        <v>9</v>
      </c>
      <c r="AH20" s="47">
        <f>(AF20-AG20)*100+AK20*10000+AF20</f>
        <v>-698</v>
      </c>
      <c r="AI20" s="47">
        <f>AF20-AG20</f>
        <v>-7</v>
      </c>
      <c r="AJ20" s="47">
        <f>(AI20-AI25)/AI24</f>
        <v>0</v>
      </c>
      <c r="AK20" s="47">
        <f>AC20*3+AD20</f>
        <v>0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2.5008824999999999</v>
      </c>
      <c r="AO20" s="48" t="str">
        <f>IF(SUM(AC20:AE23)=12,J21,INDEX(T,74,lang))</f>
        <v>Saudi Arabia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Morocco</v>
      </c>
      <c r="BH20" s="84">
        <v>0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1</v>
      </c>
      <c r="G21" s="22">
        <v>3</v>
      </c>
      <c r="H21" s="90" t="str">
        <f>AB51</f>
        <v>Ghana</v>
      </c>
      <c r="J21" s="50" t="str">
        <f>VLOOKUP(1,AA20:AK23,2,FALSE)</f>
        <v>Saudi Arabia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8 - 3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Portugal_lose</v>
      </c>
      <c r="T21" s="88" t="str">
        <f t="shared" si="4"/>
        <v>Ghana_win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-1</v>
      </c>
      <c r="AA21" s="47">
        <f>COUNTIF(AN20:AN23,CONCATENATE("&gt;=",AN21))</f>
        <v>1</v>
      </c>
      <c r="AB21" s="48" t="str">
        <f>VLOOKUP("Saudi Arabia",T,lang,FALSE)</f>
        <v>Saudi Arabia</v>
      </c>
      <c r="AC21" s="47">
        <f>COUNTIF($S$7:$T$54,"=" &amp; AB21 &amp; "_win")</f>
        <v>3</v>
      </c>
      <c r="AD21" s="47">
        <f>COUNTIF($S$7:$T$54,"=" &amp; AB21 &amp; "_draw")</f>
        <v>0</v>
      </c>
      <c r="AE21" s="47">
        <f>COUNTIF($S$7:$T$54,"=" &amp; AB21 &amp; "_lose")</f>
        <v>0</v>
      </c>
      <c r="AF21" s="47">
        <f>SUMIF($E$7:$E$54,$AB21,$F$7:$F$54) + SUMIF($H$7:$H$54,$AB21,$G$7:$G$54)</f>
        <v>8</v>
      </c>
      <c r="AG21" s="47">
        <f>SUMIF($E$7:$E$54,$AB21,$G$7:$G$54) + SUMIF($H$7:$H$54,$AB21,$F$7:$F$54)</f>
        <v>3</v>
      </c>
      <c r="AH21" s="47">
        <f>(AF21-AG21)*100+AK21*10000+AF21</f>
        <v>90508</v>
      </c>
      <c r="AI21" s="47">
        <f>AF21-AG21</f>
        <v>5</v>
      </c>
      <c r="AJ21" s="47">
        <f>(AI21-AI25)/AI24</f>
        <v>0.92307692307692313</v>
      </c>
      <c r="AK21" s="47">
        <f>AC21*3+AD21</f>
        <v>9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1002.3084148076923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Serbia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0</v>
      </c>
      <c r="G22" s="22">
        <v>2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9 - 8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Brazil_lose</v>
      </c>
      <c r="T22" s="88" t="str">
        <f t="shared" si="4"/>
        <v>Serbia_win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-1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9</v>
      </c>
      <c r="AG22" s="47">
        <f>SUMIF($E$7:$E$54,$AB22,$G$7:$G$54) + SUMIF($H$7:$H$54,$AB22,$F$7:$F$54)</f>
        <v>8</v>
      </c>
      <c r="AH22" s="47">
        <f>(AF22-AG22)*100+AK22*10000+AF22</f>
        <v>40109</v>
      </c>
      <c r="AI22" s="47">
        <f>AF22-AG22</f>
        <v>1</v>
      </c>
      <c r="AJ22" s="47">
        <f>(AI22-AI25)/AI24</f>
        <v>0.61538461538461542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472.78929094846154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Serbia</v>
      </c>
      <c r="BA22" s="84">
        <v>4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6 - 5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6</v>
      </c>
      <c r="AG23" s="47">
        <f>SUMIF($E$7:$E$54,$AB23,$G$7:$G$54) + SUMIF($H$7:$H$54,$AB23,$F$7:$F$54)</f>
        <v>5</v>
      </c>
      <c r="AH23" s="47">
        <f>(AF23-AG23)*100+AK23*10000+AF23</f>
        <v>40106</v>
      </c>
      <c r="AI23" s="47">
        <f>AF23-AG23</f>
        <v>1</v>
      </c>
      <c r="AJ23" s="47">
        <f>(AI23-AI25)/AI24</f>
        <v>0.61538461538461542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469.03923353846153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Ghana</v>
      </c>
      <c r="BA23" s="85">
        <v>2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Serbia</v>
      </c>
      <c r="BV23" s="84">
        <v>2</v>
      </c>
      <c r="BW23" s="86">
        <v>1</v>
      </c>
      <c r="BX23" s="27">
        <v>9</v>
      </c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0</v>
      </c>
      <c r="H24" s="90" t="str">
        <f>AB8</f>
        <v>Senegal</v>
      </c>
      <c r="J24" s="55" t="str">
        <f>VLOOKUP(4,AA20:AK23,2,FALSE)</f>
        <v>Argentina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2 - 9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Qatar_draw</v>
      </c>
      <c r="T24" s="88" t="str">
        <f t="shared" si="4"/>
        <v>Senegal_draw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0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8</v>
      </c>
      <c r="AG24" s="47">
        <f t="shared" si="12"/>
        <v>7</v>
      </c>
      <c r="AH24" s="47">
        <f>MAX(AH20:AH23)-AH25+1</f>
        <v>91207</v>
      </c>
      <c r="AI24" s="47">
        <f>MAX(AI20:AI23)-AI25+1</f>
        <v>13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Cameroon</v>
      </c>
      <c r="BV24" s="85">
        <v>2</v>
      </c>
      <c r="BW24" s="87">
        <v>1</v>
      </c>
      <c r="BX24" s="30">
        <v>10</v>
      </c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1</v>
      </c>
      <c r="G25" s="22">
        <v>4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Netherlands_lose</v>
      </c>
      <c r="T25" s="88" t="str">
        <f t="shared" si="4"/>
        <v>Ecuador_win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-1</v>
      </c>
      <c r="AH25" s="47">
        <f>MIN(AH20:AH23)</f>
        <v>-698</v>
      </c>
      <c r="AI25" s="47">
        <f>MIN(AI20:AI23)</f>
        <v>-7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0</v>
      </c>
      <c r="G26" s="22">
        <v>2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England_lose</v>
      </c>
      <c r="T26" s="88" t="str">
        <f t="shared" si="4"/>
        <v>United States_win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-1</v>
      </c>
      <c r="AA26" s="47">
        <f>COUNTIF(AN26:AN29,CONCATENATE("&gt;=",AN26))</f>
        <v>4</v>
      </c>
      <c r="AB26" s="48" t="str">
        <f>VLOOKUP("France",T,lang,FALSE)</f>
        <v>France</v>
      </c>
      <c r="AC26" s="47">
        <f>COUNTIF($S$7:$T$54,"=" &amp; AB26 &amp; "_win")</f>
        <v>0</v>
      </c>
      <c r="AD26" s="47">
        <f>COUNTIF($S$7:$T$54,"=" &amp; AB26 &amp; "_draw")</f>
        <v>0</v>
      </c>
      <c r="AE26" s="47">
        <f>COUNTIF($S$7:$T$54,"=" &amp; AB26 &amp; "_lose")</f>
        <v>3</v>
      </c>
      <c r="AF26" s="47">
        <f>SUMIF($E$7:$E$54,$AB26,$F$7:$F$54) + SUMIF($H$7:$H$54,$AB26,$G$7:$G$54)</f>
        <v>3</v>
      </c>
      <c r="AG26" s="47">
        <f>SUMIF($E$7:$E$54,$AB26,$G$7:$G$54) + SUMIF($H$7:$H$54,$AB26,$F$7:$F$54)</f>
        <v>11</v>
      </c>
      <c r="AH26" s="47">
        <f>(AF26-AG26)*100+AK26*10000+AF26</f>
        <v>-797</v>
      </c>
      <c r="AI26" s="47">
        <f>AF26-AG26</f>
        <v>-8</v>
      </c>
      <c r="AJ26" s="47">
        <f>(AI26-AI31)/AI30</f>
        <v>0</v>
      </c>
      <c r="AK26" s="47">
        <f>AC26*3+AD26</f>
        <v>0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5.0008949999999999</v>
      </c>
      <c r="AO26" s="48" t="str">
        <f>IF(SUM(AC26:AE29)=12,J27,INDEX(T,76,lang))</f>
        <v>Tunisia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United States</v>
      </c>
      <c r="BA26" s="84">
        <v>2</v>
      </c>
      <c r="BB26" s="86">
        <v>0</v>
      </c>
      <c r="BC26" s="27">
        <v>3</v>
      </c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0</v>
      </c>
      <c r="H27" s="90" t="str">
        <f>AB27</f>
        <v>Australia</v>
      </c>
      <c r="J27" s="50" t="str">
        <f>VLOOKUP(1,AA26:AK29,2,FALSE)</f>
        <v>Tunisia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8 - 2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1</v>
      </c>
      <c r="Y27" s="47">
        <f t="shared" si="9"/>
        <v>0</v>
      </c>
      <c r="AA27" s="47">
        <f>COUNTIF(AN26:AN29,CONCATENATE("&gt;=",AN27))</f>
        <v>2</v>
      </c>
      <c r="AB27" s="48" t="str">
        <f>VLOOKUP("Australia",T,lang,FALSE)</f>
        <v>Australia</v>
      </c>
      <c r="AC27" s="47">
        <f>COUNTIF($S$7:$T$54,"=" &amp; AB27 &amp; "_win")</f>
        <v>2</v>
      </c>
      <c r="AD27" s="47">
        <f>COUNTIF($S$7:$T$54,"=" &amp; AB27 &amp; "_draw")</f>
        <v>1</v>
      </c>
      <c r="AE27" s="47">
        <f>COUNTIF($S$7:$T$54,"=" &amp; AB27 &amp; "_lose")</f>
        <v>0</v>
      </c>
      <c r="AF27" s="47">
        <f>SUMIF($E$7:$E$54,$AB27,$F$7:$F$54) + SUMIF($H$7:$H$54,$AB27,$G$7:$G$54)</f>
        <v>6</v>
      </c>
      <c r="AG27" s="47">
        <f>SUMIF($E$7:$E$54,$AB27,$G$7:$G$54) + SUMIF($H$7:$H$54,$AB27,$F$7:$F$54)</f>
        <v>3</v>
      </c>
      <c r="AH27" s="47">
        <f>(AF27-AG27)*100+AK27*10000+AF27</f>
        <v>70306</v>
      </c>
      <c r="AI27" s="47">
        <f>AF27-AG27</f>
        <v>3</v>
      </c>
      <c r="AJ27" s="47">
        <f>(AI27-AI31)/AI30</f>
        <v>0.73333333333333328</v>
      </c>
      <c r="AK27" s="47">
        <f>AC27*3+AD27</f>
        <v>7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958.33407519833338</v>
      </c>
      <c r="AO27" s="48" t="str">
        <f>IF(SUM(AC26:AE29)=12,J28,INDEX(T,77,lang))</f>
        <v>Australia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2</v>
      </c>
      <c r="BB27" s="87">
        <v>0</v>
      </c>
      <c r="BC27" s="30">
        <v>4</v>
      </c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2</v>
      </c>
      <c r="H28" s="90" t="str">
        <f>AB21</f>
        <v>Saudi Arabia</v>
      </c>
      <c r="J28" s="53" t="str">
        <f>VLOOKUP(2,AA26:AK29,2,FALSE)</f>
        <v>Australia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6 - 3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Poland_lose</v>
      </c>
      <c r="T28" s="88" t="str">
        <f t="shared" si="4"/>
        <v>Saudi Arabia_win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-1</v>
      </c>
      <c r="AA28" s="47">
        <f>COUNTIF(AN26:AN29,CONCATENATE("&gt;=",AN28))</f>
        <v>3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0</v>
      </c>
      <c r="AE28" s="47">
        <f>COUNTIF($S$7:$T$54,"=" &amp; AB28 &amp; "_lose")</f>
        <v>2</v>
      </c>
      <c r="AF28" s="47">
        <f>SUMIF($E$7:$E$54,$AB28,$F$7:$F$54) + SUMIF($H$7:$H$54,$AB28,$G$7:$G$54)</f>
        <v>6</v>
      </c>
      <c r="AG28" s="47">
        <f>SUMIF($E$7:$E$54,$AB28,$G$7:$G$54) + SUMIF($H$7:$H$54,$AB28,$F$7:$F$54)</f>
        <v>7</v>
      </c>
      <c r="AH28" s="47">
        <f>(AF28-AG28)*100+AK28*10000+AF28</f>
        <v>29906</v>
      </c>
      <c r="AI28" s="47">
        <f>AF28-AG28</f>
        <v>-1</v>
      </c>
      <c r="AJ28" s="47">
        <f>(AI28-AI31)/AI30</f>
        <v>0.46666666666666667</v>
      </c>
      <c r="AK28" s="47">
        <f>AC28*3+AD28</f>
        <v>3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431.66749346666671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Senegal</v>
      </c>
      <c r="BH28" s="84">
        <v>3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0</v>
      </c>
      <c r="G29" s="22">
        <v>4</v>
      </c>
      <c r="H29" s="90" t="str">
        <f>AB28</f>
        <v>Denmark</v>
      </c>
      <c r="J29" s="53" t="str">
        <f>VLOOKUP(3,AA26:AK29,2,FALSE)</f>
        <v>Denmark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6 - 7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France_lose</v>
      </c>
      <c r="T29" s="88" t="str">
        <f t="shared" si="4"/>
        <v>Denmark_win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-1</v>
      </c>
      <c r="AA29" s="47">
        <f>COUNTIF(AN26:AN29,CONCATENATE("&gt;=",AN29))</f>
        <v>1</v>
      </c>
      <c r="AB29" s="48" t="str">
        <f>VLOOKUP("Tunisia",T,lang,FALSE)</f>
        <v>Tunisia</v>
      </c>
      <c r="AC29" s="47">
        <f>COUNTIF($S$7:$T$54,"=" &amp; AB29 &amp; "_win")</f>
        <v>2</v>
      </c>
      <c r="AD29" s="47">
        <f>COUNTIF($S$7:$T$54,"=" &amp; AB29 &amp; "_draw")</f>
        <v>1</v>
      </c>
      <c r="AE29" s="47">
        <f>COUNTIF($S$7:$T$54,"=" &amp; AB29 &amp; "_lose")</f>
        <v>0</v>
      </c>
      <c r="AF29" s="47">
        <f>SUMIF($E$7:$E$54,$AB29,$F$7:$F$54) + SUMIF($H$7:$H$54,$AB29,$G$7:$G$54)</f>
        <v>8</v>
      </c>
      <c r="AG29" s="47">
        <f>SUMIF($E$7:$E$54,$AB29,$G$7:$G$54) + SUMIF($H$7:$H$54,$AB29,$F$7:$F$54)</f>
        <v>2</v>
      </c>
      <c r="AH29" s="47">
        <f>(AF29-AG29)*100+AK29*10000+AF29</f>
        <v>70608</v>
      </c>
      <c r="AI29" s="47">
        <f>AF29-AG29</f>
        <v>6</v>
      </c>
      <c r="AJ29" s="47">
        <f>(AI29-AI31)/AI30</f>
        <v>0.93333333333333335</v>
      </c>
      <c r="AK29" s="47">
        <f>AC29*3+AD29</f>
        <v>7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981.6674165666667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Tunisia</v>
      </c>
      <c r="BH29" s="85">
        <v>4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1</v>
      </c>
      <c r="G30" s="22">
        <v>5</v>
      </c>
      <c r="H30" s="90" t="str">
        <f>AB22</f>
        <v>Mexico</v>
      </c>
      <c r="J30" s="55" t="str">
        <f>VLOOKUP(4,AA26:AK29,2,FALSE)</f>
        <v>France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3 - 11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Argentina_lose</v>
      </c>
      <c r="T30" s="88" t="str">
        <f t="shared" si="4"/>
        <v>Mexico_win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0</v>
      </c>
      <c r="Y30" s="47">
        <f t="shared" si="9"/>
        <v>-1</v>
      </c>
      <c r="AC30" s="47">
        <f t="shared" ref="AC30:AL30" si="13">MAX(AC26:AC29)-MIN(AC26:AC29)+1</f>
        <v>3</v>
      </c>
      <c r="AD30" s="47">
        <f t="shared" si="13"/>
        <v>2</v>
      </c>
      <c r="AE30" s="47">
        <f t="shared" si="13"/>
        <v>4</v>
      </c>
      <c r="AF30" s="47">
        <f t="shared" si="13"/>
        <v>6</v>
      </c>
      <c r="AG30" s="47">
        <f t="shared" si="13"/>
        <v>10</v>
      </c>
      <c r="AH30" s="47">
        <f>MAX(AH26:AH29)-AH31+1</f>
        <v>71406</v>
      </c>
      <c r="AI30" s="47">
        <f>MAX(AI26:AI29)-AI31+1</f>
        <v>15</v>
      </c>
      <c r="AK30" s="47">
        <f t="shared" si="13"/>
        <v>8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Tunisia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0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-797</v>
      </c>
      <c r="AI31" s="47">
        <f>MIN(AI26:AI29)</f>
        <v>-8</v>
      </c>
      <c r="AY31" s="125"/>
      <c r="AZ31" s="28" t="str">
        <f>AO21</f>
        <v>Mexico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1</v>
      </c>
      <c r="G32" s="22">
        <v>2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Belgium_lose</v>
      </c>
      <c r="T32" s="88" t="str">
        <f t="shared" si="4"/>
        <v>Morocco_win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-1</v>
      </c>
      <c r="AA32" s="47">
        <f>COUNTIF(AN32:AN35,CONCATENATE("&gt;=",AN32))</f>
        <v>4</v>
      </c>
      <c r="AB32" s="48" t="str">
        <f>VLOOKUP("Spain",T,lang,FALSE)</f>
        <v>Spain</v>
      </c>
      <c r="AC32" s="47">
        <f>COUNTIF($S$7:$T$54,"=" &amp; AB32 &amp; "_win")</f>
        <v>0</v>
      </c>
      <c r="AD32" s="47">
        <f>COUNTIF($S$7:$T$54,"=" &amp; AB32 &amp; "_draw")</f>
        <v>1</v>
      </c>
      <c r="AE32" s="47">
        <f>COUNTIF($S$7:$T$54,"=" &amp; AB32 &amp; "_lose")</f>
        <v>2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12</v>
      </c>
      <c r="AH32" s="47">
        <f>(AF32-AG32)*100+AK32*10000+AF32</f>
        <v>9305</v>
      </c>
      <c r="AI32" s="47">
        <f>AF32-AG32</f>
        <v>-7</v>
      </c>
      <c r="AJ32" s="47">
        <f>(AI32-AI37)/AI36</f>
        <v>0</v>
      </c>
      <c r="AK32" s="47">
        <f>AC32*3+AD32</f>
        <v>1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152.85799735714286</v>
      </c>
      <c r="AO32" s="48" t="str">
        <f>IF(SUM(AC32:AE35)=12,J33,INDEX(T,78,lang))</f>
        <v>Costa Rica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Tunisia</v>
      </c>
      <c r="BO32" s="84">
        <v>2</v>
      </c>
      <c r="BP32" s="86">
        <v>0</v>
      </c>
      <c r="BQ32" s="27">
        <v>3</v>
      </c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4</v>
      </c>
      <c r="H33" s="90" t="str">
        <f>AB39</f>
        <v>Canada</v>
      </c>
      <c r="J33" s="50" t="str">
        <f>VLOOKUP(1,AA32:AK35,2,FALSE)</f>
        <v>Costa Rica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9 - 2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Croatia_lose</v>
      </c>
      <c r="T33" s="88" t="str">
        <f t="shared" si="4"/>
        <v>Canada_win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-1</v>
      </c>
      <c r="AA33" s="47">
        <f>COUNTIF(AN32:AN35,CONCATENATE("&gt;=",AN33))</f>
        <v>1</v>
      </c>
      <c r="AB33" s="48" t="str">
        <f>VLOOKUP("Costa Rica",T,lang,FALSE)</f>
        <v>Costa Rica</v>
      </c>
      <c r="AC33" s="47">
        <f>COUNTIF($S$7:$T$54,"=" &amp; AB33 &amp; "_win")</f>
        <v>2</v>
      </c>
      <c r="AD33" s="47">
        <f>COUNTIF($S$7:$T$54,"=" &amp; AB33 &amp; "_draw")</f>
        <v>1</v>
      </c>
      <c r="AE33" s="47">
        <f>COUNTIF($S$7:$T$54,"=" &amp; AB33 &amp; "_lose")</f>
        <v>0</v>
      </c>
      <c r="AF33" s="47">
        <f>SUMIF($E$7:$E$54,$AB33,$F$7:$F$54) + SUMIF($H$7:$H$54,$AB33,$G$7:$G$54)</f>
        <v>9</v>
      </c>
      <c r="AG33" s="47">
        <f>SUMIF($E$7:$E$54,$AB33,$G$7:$G$54) + SUMIF($H$7:$H$54,$AB33,$F$7:$F$54)</f>
        <v>2</v>
      </c>
      <c r="AH33" s="47">
        <f>(AF33-AG33)*100+AK33*10000+AF33</f>
        <v>70709</v>
      </c>
      <c r="AI33" s="47">
        <f>AF33-AG33</f>
        <v>7</v>
      </c>
      <c r="AJ33" s="47">
        <f>(AI33-AI37)/AI36</f>
        <v>0.93333333333333335</v>
      </c>
      <c r="AK33" s="47">
        <f>AC33*3+AD33</f>
        <v>7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1111.3340833633333</v>
      </c>
      <c r="AO33" s="48" t="str">
        <f>IF(SUM(AC32:AE35)=12,J34,INDEX(T,79,lang))</f>
        <v>Japan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Cameroon</v>
      </c>
      <c r="BO33" s="85">
        <v>2</v>
      </c>
      <c r="BP33" s="87">
        <v>0</v>
      </c>
      <c r="BQ33" s="30">
        <v>4</v>
      </c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4</v>
      </c>
      <c r="G34" s="22">
        <v>4</v>
      </c>
      <c r="H34" s="90" t="str">
        <f>AB34</f>
        <v>Germany</v>
      </c>
      <c r="J34" s="53" t="str">
        <f>VLOOKUP(2,AA32:AK35,2,FALSE)</f>
        <v>Japan</v>
      </c>
      <c r="K34" s="25">
        <f>L34+M34+N34</f>
        <v>3</v>
      </c>
      <c r="L34" s="25">
        <f>VLOOKUP(2,AA32:AK35,3,FALSE)</f>
        <v>1</v>
      </c>
      <c r="M34" s="25">
        <f>VLOOKUP(2,AA32:AK35,4,FALSE)</f>
        <v>2</v>
      </c>
      <c r="N34" s="25">
        <f>VLOOKUP(2,AA32:AK35,5,FALSE)</f>
        <v>0</v>
      </c>
      <c r="O34" s="25" t="str">
        <f>VLOOKUP(2,AA32:AK35,6,FALSE) &amp; " - " &amp; VLOOKUP(2,AA32:AK35,7,FALSE)</f>
        <v>6 - 3</v>
      </c>
      <c r="P34" s="54">
        <f>L34*3+M34</f>
        <v>5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3</v>
      </c>
      <c r="AB34" s="48" t="str">
        <f>VLOOKUP("Germany",T,lang,FALSE)</f>
        <v>Germany</v>
      </c>
      <c r="AC34" s="47">
        <f>COUNTIF($S$7:$T$54,"=" &amp; AB34 &amp; "_win")</f>
        <v>0</v>
      </c>
      <c r="AD34" s="47">
        <f>COUNTIF($S$7:$T$54,"=" &amp; AB34 &amp; "_draw")</f>
        <v>2</v>
      </c>
      <c r="AE34" s="47">
        <f>COUNTIF($S$7:$T$54,"=" &amp; AB34 &amp; "_lose")</f>
        <v>1</v>
      </c>
      <c r="AF34" s="47">
        <f>SUMIF($E$7:$E$54,$AB34,$F$7:$F$54) + SUMIF($H$7:$H$54,$AB34,$G$7:$G$54)</f>
        <v>8</v>
      </c>
      <c r="AG34" s="47">
        <f>SUMIF($E$7:$E$54,$AB34,$G$7:$G$54) + SUMIF($H$7:$H$54,$AB34,$F$7:$F$54)</f>
        <v>11</v>
      </c>
      <c r="AH34" s="47">
        <f>(AF34-AG34)*100+AK34*10000+AF34</f>
        <v>19708</v>
      </c>
      <c r="AI34" s="47">
        <f>AF34-AG34</f>
        <v>-3</v>
      </c>
      <c r="AJ34" s="47">
        <f>(AI34-AI37)/AI36</f>
        <v>0.26666666666666666</v>
      </c>
      <c r="AK34" s="47">
        <f>AC34*3+AD34</f>
        <v>2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328.38177764595241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Canada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2</v>
      </c>
      <c r="H35" s="90" t="str">
        <f>AB45</f>
        <v>Serbia</v>
      </c>
      <c r="J35" s="53" t="str">
        <f>VLOOKUP(3,AA32:AK35,2,FALSE)</f>
        <v>Germany</v>
      </c>
      <c r="K35" s="25">
        <f>L35+M35+N35</f>
        <v>3</v>
      </c>
      <c r="L35" s="25">
        <f>VLOOKUP(3,AA32:AK35,3,FALSE)</f>
        <v>0</v>
      </c>
      <c r="M35" s="25">
        <f>VLOOKUP(3,AA32:AK35,4,FALSE)</f>
        <v>2</v>
      </c>
      <c r="N35" s="25">
        <f>VLOOKUP(3,AA32:AK35,5,FALSE)</f>
        <v>1</v>
      </c>
      <c r="O35" s="25" t="str">
        <f>VLOOKUP(3,AA32:AK35,6,FALSE) &amp; " - " &amp; VLOOKUP(3,AA32:AK35,7,FALSE)</f>
        <v>8 - 11</v>
      </c>
      <c r="P35" s="54">
        <f>L35*3+M35</f>
        <v>2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2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2</v>
      </c>
      <c r="AE35" s="47">
        <f>COUNTIF($S$7:$T$54,"=" &amp; AB35 &amp; "_lose")</f>
        <v>0</v>
      </c>
      <c r="AF35" s="47">
        <f>SUMIF($E$7:$E$54,$AB35,$F$7:$F$54) + SUMIF($H$7:$H$54,$AB35,$G$7:$G$54)</f>
        <v>6</v>
      </c>
      <c r="AG35" s="47">
        <f>SUMIF($E$7:$E$54,$AB35,$G$7:$G$54) + SUMIF($H$7:$H$54,$AB35,$F$7:$F$54)</f>
        <v>3</v>
      </c>
      <c r="AH35" s="47">
        <f>(AF35-AG35)*100+AK35*10000+AF35</f>
        <v>50306</v>
      </c>
      <c r="AI35" s="47">
        <f>AF35-AG35</f>
        <v>3</v>
      </c>
      <c r="AJ35" s="47">
        <f>(AI35-AI37)/AI36</f>
        <v>0.66666666666666663</v>
      </c>
      <c r="AK35" s="47">
        <f>AC35*3+AD35</f>
        <v>5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792.95315767238094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Japan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Saudi Arabia</v>
      </c>
      <c r="BV35" s="84">
        <v>2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4</v>
      </c>
      <c r="G36" s="22">
        <v>2</v>
      </c>
      <c r="H36" s="90" t="str">
        <f>AB51</f>
        <v>Ghana</v>
      </c>
      <c r="J36" s="55" t="str">
        <f>VLOOKUP(4,AA32:AK35,2,FALSE)</f>
        <v>Spain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5 - 12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3</v>
      </c>
      <c r="AD36" s="47">
        <f t="shared" si="14"/>
        <v>2</v>
      </c>
      <c r="AE36" s="47">
        <f t="shared" si="14"/>
        <v>3</v>
      </c>
      <c r="AF36" s="47">
        <f t="shared" si="14"/>
        <v>5</v>
      </c>
      <c r="AG36" s="47">
        <f t="shared" si="14"/>
        <v>11</v>
      </c>
      <c r="AH36" s="47">
        <f>MAX(AH32:AH35)-AH37+1</f>
        <v>61405</v>
      </c>
      <c r="AI36" s="47">
        <f>MAX(AI32:AI35)-AI37+1</f>
        <v>15</v>
      </c>
      <c r="AK36" s="47">
        <f t="shared" si="14"/>
        <v>7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Japan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Tunisia</v>
      </c>
      <c r="BV36" s="85">
        <v>1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1</v>
      </c>
      <c r="G37" s="22">
        <v>3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Brazil_lose</v>
      </c>
      <c r="T37" s="88" t="str">
        <f t="shared" si="4"/>
        <v>Switzerland_win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-1</v>
      </c>
      <c r="AH37" s="47">
        <f>MIN(AH32:AH35)</f>
        <v>9305</v>
      </c>
      <c r="AI37" s="47">
        <f>MIN(AI32:AI35)</f>
        <v>-7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Cameroon</v>
      </c>
      <c r="BH37" s="85">
        <v>3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4</v>
      </c>
      <c r="AB38" s="48" t="str">
        <f>VLOOKUP("Belgium",T,lang,FALSE)</f>
        <v>Belgium</v>
      </c>
      <c r="AC38" s="47">
        <f>COUNTIF($S$7:$T$54,"=" &amp; AB38 &amp; "_win")</f>
        <v>0</v>
      </c>
      <c r="AD38" s="47">
        <f>COUNTIF($S$7:$T$54,"=" &amp; AB38 &amp; "_draw")</f>
        <v>0</v>
      </c>
      <c r="AE38" s="47">
        <f>COUNTIF($S$7:$T$54,"=" &amp; AB38 &amp; "_lose")</f>
        <v>3</v>
      </c>
      <c r="AF38" s="47">
        <f>SUMIF($E$7:$E$54,$AB38,$F$7:$F$54) + SUMIF($H$7:$H$54,$AB38,$G$7:$G$54)</f>
        <v>4</v>
      </c>
      <c r="AG38" s="47">
        <f>SUMIF($E$7:$E$54,$AB38,$G$7:$G$54) + SUMIF($H$7:$H$54,$AB38,$F$7:$F$54)</f>
        <v>7</v>
      </c>
      <c r="AH38" s="47">
        <f>(AF38-AG38)*100+AK38*10000+AF38</f>
        <v>-296</v>
      </c>
      <c r="AI38" s="47">
        <f>AF38-AG38</f>
        <v>-3</v>
      </c>
      <c r="AJ38" s="47">
        <f>(AI38-AI43)/AI42</f>
        <v>0</v>
      </c>
      <c r="AK38" s="47">
        <f>AC38*3+AD38</f>
        <v>0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5.7151992142857146</v>
      </c>
      <c r="AO38" s="48" t="str">
        <f>IF(SUM(AC38:AE41)=12,J39,INDEX(T,80,lang))</f>
        <v>Canada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Korea Republic</v>
      </c>
      <c r="BA38" s="84">
        <v>1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0</v>
      </c>
      <c r="G39" s="22">
        <v>1</v>
      </c>
      <c r="H39" s="90" t="str">
        <f>AB8</f>
        <v>Senegal</v>
      </c>
      <c r="J39" s="50" t="str">
        <f>VLOOKUP(1,AA38:AK41,2,FALSE)</f>
        <v>Canada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8 - 5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1</v>
      </c>
      <c r="AB39" s="48" t="str">
        <f>VLOOKUP("Canada",T,lang,FALSE)</f>
        <v>Canada</v>
      </c>
      <c r="AC39" s="47">
        <f>COUNTIF($S$7:$T$54,"=" &amp; AB39 &amp; "_win")</f>
        <v>2</v>
      </c>
      <c r="AD39" s="47">
        <f>COUNTIF($S$7:$T$54,"=" &amp; AB39 &amp; "_draw")</f>
        <v>1</v>
      </c>
      <c r="AE39" s="47">
        <f>COUNTIF($S$7:$T$54,"=" &amp; AB39 &amp; "_lose")</f>
        <v>0</v>
      </c>
      <c r="AF39" s="47">
        <f>SUMIF($E$7:$E$54,$AB39,$F$7:$F$54) + SUMIF($H$7:$H$54,$AB39,$G$7:$G$54)</f>
        <v>8</v>
      </c>
      <c r="AG39" s="47">
        <f>SUMIF($E$7:$E$54,$AB39,$G$7:$G$54) + SUMIF($H$7:$H$54,$AB39,$F$7:$F$54)</f>
        <v>5</v>
      </c>
      <c r="AH39" s="47">
        <f>(AF39-AG39)*100+AK39*10000+AF39</f>
        <v>70308</v>
      </c>
      <c r="AI39" s="47">
        <f>AF39-AG39</f>
        <v>3</v>
      </c>
      <c r="AJ39" s="47">
        <f>(AI39-AI43)/AI42</f>
        <v>0.8571428571428571</v>
      </c>
      <c r="AK39" s="47">
        <f>AC39*3+AD39</f>
        <v>7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972.14359664285712</v>
      </c>
      <c r="AO39" s="48" t="str">
        <f>IF(SUM(AC38:AE41)=12,J40,INDEX(T,81,lang))</f>
        <v>Morocco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Cameroon</v>
      </c>
      <c r="BA39" s="85">
        <v>2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3</v>
      </c>
      <c r="H40" s="90" t="str">
        <f>AB9</f>
        <v>Qatar</v>
      </c>
      <c r="J40" s="53" t="str">
        <f>VLOOKUP(2,AA38:AK41,2,FALSE)</f>
        <v>Morocco</v>
      </c>
      <c r="K40" s="25">
        <f>L40+M40+N40</f>
        <v>3</v>
      </c>
      <c r="L40" s="25">
        <f>VLOOKUP(2,AA38:AK41,3,FALSE)</f>
        <v>1</v>
      </c>
      <c r="M40" s="25">
        <f>VLOOKUP(2,AA38:AK41,4,FALSE)</f>
        <v>2</v>
      </c>
      <c r="N40" s="25">
        <f>VLOOKUP(2,AA38:AK41,5,FALSE)</f>
        <v>0</v>
      </c>
      <c r="O40" s="25" t="str">
        <f>VLOOKUP(2,AA38:AK41,6,FALSE) &amp; " - " &amp; VLOOKUP(2,AA38:AK41,7,FALSE)</f>
        <v>2 - 1</v>
      </c>
      <c r="P40" s="54">
        <f>L40*3+M40</f>
        <v>5</v>
      </c>
      <c r="R40" s="47">
        <f>DATE(2022,11,29)+TIME(4,0,0)+gmt_delta</f>
        <v>44894.75</v>
      </c>
      <c r="S40" s="88" t="str">
        <f t="shared" si="3"/>
        <v>Netherlands_lose</v>
      </c>
      <c r="T40" s="88" t="str">
        <f t="shared" si="4"/>
        <v>Qatar_win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-1</v>
      </c>
      <c r="AA40" s="47">
        <f>COUNTIF(AN38:AN41,CONCATENATE("&gt;=",AN40))</f>
        <v>2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2</v>
      </c>
      <c r="AE40" s="47">
        <f>COUNTIF($S$7:$T$54,"=" &amp; AB40 &amp; "_lose")</f>
        <v>0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1</v>
      </c>
      <c r="AH40" s="47">
        <f>(AF40-AG40)*100+AK40*10000+AF40</f>
        <v>50102</v>
      </c>
      <c r="AI40" s="47">
        <f>AF40-AG40</f>
        <v>1</v>
      </c>
      <c r="AJ40" s="47">
        <f>(AI40-AI43)/AI42</f>
        <v>0.5714285714285714</v>
      </c>
      <c r="AK40" s="47">
        <f>AC40*3+AD40</f>
        <v>5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685.00077594000004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0</v>
      </c>
      <c r="H41" s="90" t="str">
        <f>AB14</f>
        <v>England</v>
      </c>
      <c r="J41" s="53" t="str">
        <f>VLOOKUP(3,AA38:AK41,2,FALSE)</f>
        <v>Croatia</v>
      </c>
      <c r="K41" s="25">
        <f>L41+M41+N41</f>
        <v>3</v>
      </c>
      <c r="L41" s="25">
        <f>VLOOKUP(3,AA38:AK41,3,FALSE)</f>
        <v>1</v>
      </c>
      <c r="M41" s="25">
        <f>VLOOKUP(3,AA38:AK41,4,FALSE)</f>
        <v>1</v>
      </c>
      <c r="N41" s="25">
        <f>VLOOKUP(3,AA38:AK41,5,FALSE)</f>
        <v>1</v>
      </c>
      <c r="O41" s="25" t="str">
        <f>VLOOKUP(3,AA38:AK41,6,FALSE) &amp; " - " &amp; VLOOKUP(3,AA38:AK41,7,FALSE)</f>
        <v>3 - 4</v>
      </c>
      <c r="P41" s="54">
        <f>L41*3+M41</f>
        <v>4</v>
      </c>
      <c r="R41" s="47">
        <f>DATE(2022,11,29)+TIME(8,0,0)+gmt_delta</f>
        <v>44894.916666666672</v>
      </c>
      <c r="S41" s="88" t="str">
        <f t="shared" si="3"/>
        <v>Wales_draw</v>
      </c>
      <c r="T41" s="88" t="str">
        <f t="shared" si="4"/>
        <v>England_draw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0</v>
      </c>
      <c r="AA41" s="47">
        <f>COUNTIF(AN38:AN41,CONCATENATE("&gt;=",AN41))</f>
        <v>3</v>
      </c>
      <c r="AB41" s="48" t="str">
        <f>VLOOKUP("Croatia",T,lang,FALSE)</f>
        <v>Croatia</v>
      </c>
      <c r="AC41" s="47">
        <f>COUNTIF($S$7:$T$54,"=" &amp; AB41 &amp; "_win")</f>
        <v>1</v>
      </c>
      <c r="AD41" s="47">
        <f>COUNTIF($S$7:$T$54,"=" &amp; AB41 &amp; "_draw")</f>
        <v>1</v>
      </c>
      <c r="AE41" s="47">
        <f>COUNTIF($S$7:$T$54,"=" &amp; AB41 &amp; "_lose")</f>
        <v>1</v>
      </c>
      <c r="AF41" s="47">
        <f>SUMIF($E$7:$E$54,$AB41,$F$7:$F$54) + SUMIF($H$7:$H$54,$AB41,$G$7:$G$54)</f>
        <v>3</v>
      </c>
      <c r="AG41" s="47">
        <f>SUMIF($E$7:$E$54,$AB41,$G$7:$G$54) + SUMIF($H$7:$H$54,$AB41,$F$7:$F$54)</f>
        <v>4</v>
      </c>
      <c r="AH41" s="47">
        <f>(AF41-AG41)*100+AK41*10000+AF41</f>
        <v>39903</v>
      </c>
      <c r="AI41" s="47">
        <f>AF41-AG41</f>
        <v>-1</v>
      </c>
      <c r="AJ41" s="47">
        <f>(AI41-AI43)/AI42</f>
        <v>0.2857142857142857</v>
      </c>
      <c r="AK41" s="47">
        <f>AC41*3+AD41</f>
        <v>4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532.85795341214293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Cameroon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2</v>
      </c>
      <c r="G42" s="22">
        <v>2</v>
      </c>
      <c r="H42" s="90" t="str">
        <f>AB16</f>
        <v>United States</v>
      </c>
      <c r="J42" s="55" t="str">
        <f>VLOOKUP(4,AA38:AK41,2,FALSE)</f>
        <v>Belgium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4 - 7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3</v>
      </c>
      <c r="AD42" s="47">
        <f t="shared" si="15"/>
        <v>3</v>
      </c>
      <c r="AE42" s="47">
        <f t="shared" si="15"/>
        <v>4</v>
      </c>
      <c r="AF42" s="47">
        <f t="shared" si="15"/>
        <v>7</v>
      </c>
      <c r="AG42" s="47">
        <f t="shared" si="15"/>
        <v>7</v>
      </c>
      <c r="AH42" s="47">
        <f>MAX(AH38:AH41)-AH43+1</f>
        <v>70605</v>
      </c>
      <c r="AI42" s="47">
        <f>MAX(AI38:AI41)-AI43+1</f>
        <v>7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3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Australia_win</v>
      </c>
      <c r="T43" s="88" t="str">
        <f t="shared" si="4"/>
        <v>Denmark_lose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1</v>
      </c>
      <c r="Y43" s="47">
        <f t="shared" si="9"/>
        <v>1</v>
      </c>
      <c r="AH43" s="47">
        <f>MIN(AH38:AH41)</f>
        <v>-296</v>
      </c>
      <c r="AI43" s="47">
        <f>MIN(AI38:AI41)</f>
        <v>-3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4</v>
      </c>
      <c r="G44" s="22">
        <v>1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Tunisia_win</v>
      </c>
      <c r="T44" s="88" t="str">
        <f t="shared" si="4"/>
        <v>France_lose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1</v>
      </c>
      <c r="AA44" s="47">
        <f>COUNTIF(AN44:AN47,CONCATENATE("&gt;=",AN44))</f>
        <v>4</v>
      </c>
      <c r="AB44" s="48" t="str">
        <f>VLOOKUP("Brazil",T,lang,FALSE)</f>
        <v>Brazil</v>
      </c>
      <c r="AC44" s="47">
        <f>COUNTIF($S$7:$T$54,"=" &amp; AB44 &amp; "_win")</f>
        <v>0</v>
      </c>
      <c r="AD44" s="47">
        <f>COUNTIF($S$7:$T$54,"=" &amp; AB44 &amp; "_draw")</f>
        <v>1</v>
      </c>
      <c r="AE44" s="47">
        <f>COUNTIF($S$7:$T$54,"=" &amp; AB44 &amp; "_lose")</f>
        <v>2</v>
      </c>
      <c r="AF44" s="47">
        <f>SUMIF($E$7:$E$54,$AB44,$F$7:$F$54) + SUMIF($H$7:$H$54,$AB44,$G$7:$G$54)</f>
        <v>2</v>
      </c>
      <c r="AG44" s="47">
        <f>SUMIF($E$7:$E$54,$AB44,$G$7:$G$54) + SUMIF($H$7:$H$54,$AB44,$F$7:$F$54)</f>
        <v>6</v>
      </c>
      <c r="AH44" s="47">
        <f>(AF44-AG44)*100+AK44*10000+AF44</f>
        <v>9602</v>
      </c>
      <c r="AI44" s="47">
        <f>AF44-AG44</f>
        <v>-4</v>
      </c>
      <c r="AJ44" s="47">
        <f>(AI44-AI49)/AI48</f>
        <v>0</v>
      </c>
      <c r="AK44" s="47">
        <f>AC44*3+AD44</f>
        <v>1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114.44536078944444</v>
      </c>
      <c r="AO44" s="48" t="str">
        <f>IF(SUM(AC44:AE47)=12,J45,INDEX(T,82,lang))</f>
        <v>Serbia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2</v>
      </c>
      <c r="G45" s="22">
        <v>0</v>
      </c>
      <c r="H45" s="90" t="str">
        <f>AB20</f>
        <v>Argentina</v>
      </c>
      <c r="J45" s="50" t="str">
        <f>VLOOKUP(1,AA44:AK47,2,FALSE)</f>
        <v>Serbia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7 - 2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Poland_win</v>
      </c>
      <c r="T45" s="88" t="str">
        <f t="shared" si="4"/>
        <v>Argentina_lose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0</v>
      </c>
      <c r="Y45" s="47">
        <f t="shared" si="9"/>
        <v>1</v>
      </c>
      <c r="AA45" s="47">
        <f>COUNTIF(AN44:AN47,CONCATENATE("&gt;=",AN45))</f>
        <v>1</v>
      </c>
      <c r="AB45" s="48" t="str">
        <f>VLOOKUP("Serbia",T,lang,FALSE)</f>
        <v>Serbia</v>
      </c>
      <c r="AC45" s="47">
        <f>COUNTIF($S$7:$T$54,"=" &amp; AB45 &amp; "_win")</f>
        <v>3</v>
      </c>
      <c r="AD45" s="47">
        <f>COUNTIF($S$7:$T$54,"=" &amp; AB45 &amp; "_draw")</f>
        <v>0</v>
      </c>
      <c r="AE45" s="47">
        <f>COUNTIF($S$7:$T$54,"=" &amp; AB45 &amp; "_lose")</f>
        <v>0</v>
      </c>
      <c r="AF45" s="47">
        <f>SUMIF($E$7:$E$54,$AB45,$F$7:$F$54) + SUMIF($H$7:$H$54,$AB45,$G$7:$G$54)</f>
        <v>7</v>
      </c>
      <c r="AG45" s="47">
        <f>SUMIF($E$7:$E$54,$AB45,$G$7:$G$54) + SUMIF($H$7:$H$54,$AB45,$F$7:$F$54)</f>
        <v>2</v>
      </c>
      <c r="AH45" s="47">
        <f>(AF45-AG45)*100+AK45*10000+AF45</f>
        <v>90507</v>
      </c>
      <c r="AI45" s="47">
        <f>AF45-AG45</f>
        <v>5</v>
      </c>
      <c r="AJ45" s="47">
        <f>(AI45-AI49)/AI48</f>
        <v>0.9</v>
      </c>
      <c r="AK45" s="47">
        <f>AC45*3+AD45</f>
        <v>9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1101.6674404316668</v>
      </c>
      <c r="AO45" s="48" t="str">
        <f>IF(SUM(AC44:AE47)=12,J46,INDEX(T,83,lang))</f>
        <v>Cameroon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4</v>
      </c>
      <c r="G46" s="22">
        <v>1</v>
      </c>
      <c r="H46" s="90" t="str">
        <f>AB22</f>
        <v>Mexico</v>
      </c>
      <c r="J46" s="53" t="str">
        <f>VLOOKUP(2,AA44:AK47,2,FALSE)</f>
        <v>Cameroon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4 - 5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Arabia_win</v>
      </c>
      <c r="T46" s="88" t="str">
        <f t="shared" si="4"/>
        <v>Mexico_lose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0</v>
      </c>
      <c r="AE46" s="47">
        <f>COUNTIF($S$7:$T$54,"=" &amp; AB46 &amp; "_lose")</f>
        <v>2</v>
      </c>
      <c r="AF46" s="47">
        <f>SUMIF($E$7:$E$54,$AB46,$F$7:$F$54) + SUMIF($H$7:$H$54,$AB46,$G$7:$G$54)</f>
        <v>7</v>
      </c>
      <c r="AG46" s="47">
        <f>SUMIF($E$7:$E$54,$AB46,$G$7:$G$54) + SUMIF($H$7:$H$54,$AB46,$F$7:$F$54)</f>
        <v>7</v>
      </c>
      <c r="AH46" s="47">
        <f>(AF46-AG46)*100+AK46*10000+AF46</f>
        <v>30007</v>
      </c>
      <c r="AI46" s="47">
        <f>AF46-AG46</f>
        <v>0</v>
      </c>
      <c r="AJ46" s="47">
        <f>(AI46-AI49)/AI48</f>
        <v>0.4</v>
      </c>
      <c r="AK46" s="47">
        <f>AC46*3+AD46</f>
        <v>3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385.00081766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0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7 - 7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Croatia_win</v>
      </c>
      <c r="T47" s="88" t="str">
        <f t="shared" si="4"/>
        <v>Belgium_lose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1</v>
      </c>
      <c r="AA47" s="47">
        <f>COUNTIF(AN44:AN47,CONCATENATE("&gt;=",AN47))</f>
        <v>2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1</v>
      </c>
      <c r="AE47" s="47">
        <f>COUNTIF($S$7:$T$54,"=" &amp; AB47 &amp; "_lose")</f>
        <v>1</v>
      </c>
      <c r="AF47" s="47">
        <f>SUMIF($E$7:$E$54,$AB47,$F$7:$F$54) + SUMIF($H$7:$H$54,$AB47,$G$7:$G$54)</f>
        <v>4</v>
      </c>
      <c r="AG47" s="47">
        <f>SUMIF($E$7:$E$54,$AB47,$G$7:$G$54) + SUMIF($H$7:$H$54,$AB47,$F$7:$F$54)</f>
        <v>5</v>
      </c>
      <c r="AH47" s="47">
        <f>(AF47-AG47)*100+AK47*10000+AF47</f>
        <v>39904</v>
      </c>
      <c r="AI47" s="47">
        <f>AF47-AG47</f>
        <v>-1</v>
      </c>
      <c r="AJ47" s="47">
        <f>(AI47-AI49)/AI48</f>
        <v>0.3</v>
      </c>
      <c r="AK47" s="47">
        <f>AC47*3+AD47</f>
        <v>4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481.11185135111117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0</v>
      </c>
      <c r="H48" s="90" t="str">
        <f>AB40</f>
        <v>Morocco</v>
      </c>
      <c r="J48" s="55" t="str">
        <f>VLOOKUP(4,AA44:AK47,2,FALSE)</f>
        <v>Brazil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6</v>
      </c>
      <c r="AG48" s="47">
        <f t="shared" si="16"/>
        <v>6</v>
      </c>
      <c r="AH48" s="47">
        <f>MAX(AH44:AH47)-AH49+1</f>
        <v>80906</v>
      </c>
      <c r="AI48" s="47">
        <f>MAX(AI44:AI47)-AI49+1</f>
        <v>10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3</v>
      </c>
      <c r="G49" s="22">
        <v>0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Japan_win</v>
      </c>
      <c r="T49" s="88" t="str">
        <f t="shared" si="4"/>
        <v>Spain_lose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1</v>
      </c>
      <c r="AH49" s="47">
        <f>MIN(AH44:AH47)</f>
        <v>9602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4</v>
      </c>
      <c r="G50" s="22">
        <v>1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Rica_win</v>
      </c>
      <c r="T50" s="88" t="str">
        <f t="shared" si="4"/>
        <v>Germany_lose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1</v>
      </c>
      <c r="AA50" s="47">
        <f>COUNTIF(AN50:AN53,CONCATENATE("&gt;=",AN50))</f>
        <v>4</v>
      </c>
      <c r="AB50" s="48" t="str">
        <f>VLOOKUP("Portugal",T,lang,FALSE)</f>
        <v>Portugal</v>
      </c>
      <c r="AC50" s="47">
        <f>COUNTIF($S$7:$T$54,"=" &amp; AB50 &amp; "_win")</f>
        <v>0</v>
      </c>
      <c r="AD50" s="47">
        <f>COUNTIF($S$7:$T$54,"=" &amp; AB50 &amp; "_draw")</f>
        <v>1</v>
      </c>
      <c r="AE50" s="47">
        <f>COUNTIF($S$7:$T$54,"=" &amp; AB50 &amp; "_lose")</f>
        <v>2</v>
      </c>
      <c r="AF50" s="47">
        <f>SUMIF($E$7:$E$54,$AB50,$F$7:$F$54) + SUMIF($H$7:$H$54,$AB50,$G$7:$G$54)</f>
        <v>5</v>
      </c>
      <c r="AG50" s="47">
        <f>SUMIF($E$7:$E$54,$AB50,$G$7:$G$54) + SUMIF($H$7:$H$54,$AB50,$F$7:$F$54)</f>
        <v>8</v>
      </c>
      <c r="AH50" s="47">
        <f>(AF50-AG50)*100+AK50*10000+AF50</f>
        <v>9705</v>
      </c>
      <c r="AI50" s="47">
        <f>AF50-AG50</f>
        <v>-3</v>
      </c>
      <c r="AJ50" s="47">
        <f>(AI50-AI55)/AI54</f>
        <v>0</v>
      </c>
      <c r="AK50" s="47">
        <f>AC50*3+AD50</f>
        <v>1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121.11194850111112</v>
      </c>
      <c r="AO50" s="48" t="str">
        <f>IF(SUM(AC50:AE53)=12,J51,INDEX(T,84,lang))</f>
        <v>Korea Republic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2</v>
      </c>
      <c r="G51" s="22">
        <v>2</v>
      </c>
      <c r="H51" s="90" t="str">
        <f>AB52</f>
        <v>Uruguay</v>
      </c>
      <c r="J51" s="50" t="str">
        <f>VLOOKUP(1,AA50:AK53,2,FALSE)</f>
        <v>Korea Republic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8 - 4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Ghana_draw</v>
      </c>
      <c r="T51" s="88" t="str">
        <f t="shared" si="4"/>
        <v>Uruguay_draw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0</v>
      </c>
      <c r="AA51" s="47">
        <f>COUNTIF(AN50:AN53,CONCATENATE("&gt;=",AN51))</f>
        <v>2</v>
      </c>
      <c r="AB51" s="48" t="str">
        <f>VLOOKUP("Ghana",T,lang,FALSE)</f>
        <v>Ghana</v>
      </c>
      <c r="AC51" s="47">
        <f>COUNTIF($S$7:$T$54,"=" &amp; AB51 &amp; "_win")</f>
        <v>1</v>
      </c>
      <c r="AD51" s="47">
        <f>COUNTIF($S$7:$T$54,"=" &amp; AB51 &amp; "_draw")</f>
        <v>1</v>
      </c>
      <c r="AE51" s="47">
        <f>COUNTIF($S$7:$T$54,"=" &amp; AB51 &amp; "_lose")</f>
        <v>1</v>
      </c>
      <c r="AF51" s="47">
        <f>SUMIF($E$7:$E$54,$AB51,$F$7:$F$54) + SUMIF($H$7:$H$54,$AB51,$G$7:$G$54)</f>
        <v>7</v>
      </c>
      <c r="AG51" s="47">
        <f>SUMIF($E$7:$E$54,$AB51,$G$7:$G$54) + SUMIF($H$7:$H$54,$AB51,$F$7:$F$54)</f>
        <v>7</v>
      </c>
      <c r="AH51" s="47">
        <f>(AF51-AG51)*100+AK51*10000+AF51</f>
        <v>40007</v>
      </c>
      <c r="AI51" s="47">
        <f>AF51-AG51</f>
        <v>0</v>
      </c>
      <c r="AJ51" s="47">
        <f>(AI51-AI55)/AI54</f>
        <v>0.375</v>
      </c>
      <c r="AK51" s="47">
        <f>AC51*3+AD51</f>
        <v>4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495.94513812444444</v>
      </c>
      <c r="AO51" s="48" t="str">
        <f>IF(SUM(AC50:AE53)=12,J52,INDEX(T,85,lang))</f>
        <v>Ghana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3</v>
      </c>
      <c r="G52" s="22">
        <v>2</v>
      </c>
      <c r="H52" s="90" t="str">
        <f>AB50</f>
        <v>Portugal</v>
      </c>
      <c r="J52" s="53" t="str">
        <f>VLOOKUP(2,AA50:AK53,2,FALSE)</f>
        <v>Ghana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7 - 7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Republic_win</v>
      </c>
      <c r="T52" s="88" t="str">
        <f t="shared" si="4"/>
        <v>Portugal_lose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1</v>
      </c>
      <c r="AA52" s="47">
        <f>COUNTIF(AN50:AN53,CONCATENATE("&gt;=",AN52))</f>
        <v>3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2</v>
      </c>
      <c r="AE52" s="47">
        <f>COUNTIF($S$7:$T$54,"=" &amp; AB52 &amp; "_lose")</f>
        <v>1</v>
      </c>
      <c r="AF52" s="47">
        <f>SUMIF($E$7:$E$54,$AB52,$F$7:$F$54) + SUMIF($H$7:$H$54,$AB52,$G$7:$G$54)</f>
        <v>4</v>
      </c>
      <c r="AG52" s="47">
        <f>SUMIF($E$7:$E$54,$AB52,$G$7:$G$54) + SUMIF($H$7:$H$54,$AB52,$F$7:$F$54)</f>
        <v>5</v>
      </c>
      <c r="AH52" s="47">
        <f>(AF52-AG52)*100+AK52*10000+AF52</f>
        <v>19904</v>
      </c>
      <c r="AI52" s="47">
        <f>AF52-AG52</f>
        <v>-1</v>
      </c>
      <c r="AJ52" s="47">
        <f>(AI52-AI55)/AI54</f>
        <v>0.25</v>
      </c>
      <c r="AK52" s="47">
        <f>AC52*3+AD52</f>
        <v>2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255.22304008722222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3</v>
      </c>
      <c r="G53" s="22">
        <v>2</v>
      </c>
      <c r="H53" s="90" t="str">
        <f>AB46</f>
        <v>Switzerland</v>
      </c>
      <c r="J53" s="53" t="str">
        <f>VLOOKUP(3,AA50:AK53,2,FALSE)</f>
        <v>Uruguay</v>
      </c>
      <c r="K53" s="25">
        <f>L53+M53+N53</f>
        <v>3</v>
      </c>
      <c r="L53" s="25">
        <f>VLOOKUP(3,AA50:AK53,3,FALSE)</f>
        <v>0</v>
      </c>
      <c r="M53" s="25">
        <f>VLOOKUP(3,AA50:AK53,4,FALSE)</f>
        <v>2</v>
      </c>
      <c r="N53" s="25">
        <f>VLOOKUP(3,AA50:AK53,5,FALSE)</f>
        <v>1</v>
      </c>
      <c r="O53" s="25" t="str">
        <f>VLOOKUP(3,AA50:AK53,6,FALSE) &amp; " - " &amp; VLOOKUP(3,AA50:AK53,7,FALSE)</f>
        <v>4 - 5</v>
      </c>
      <c r="P53" s="54">
        <f>L53*3+M53</f>
        <v>2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1</v>
      </c>
      <c r="AB53" s="48" t="str">
        <f>VLOOKUP("Korea Republic",T,lang,FALSE)</f>
        <v>Korea Republic</v>
      </c>
      <c r="AC53" s="47">
        <f>COUNTIF($S$7:$T$54,"=" &amp; AB53 &amp; "_win")</f>
        <v>3</v>
      </c>
      <c r="AD53" s="47">
        <f>COUNTIF($S$7:$T$54,"=" &amp; AB53 &amp; "_draw")</f>
        <v>0</v>
      </c>
      <c r="AE53" s="47">
        <f>COUNTIF($S$7:$T$54,"=" &amp; AB53 &amp; "_lose")</f>
        <v>0</v>
      </c>
      <c r="AF53" s="47">
        <f>SUMIF($E$7:$E$54,$AB53,$F$7:$F$54) + SUMIF($H$7:$H$54,$AB53,$G$7:$G$54)</f>
        <v>8</v>
      </c>
      <c r="AG53" s="47">
        <f>SUMIF($E$7:$E$54,$AB53,$G$7:$G$54) + SUMIF($H$7:$H$54,$AB53,$F$7:$F$54)</f>
        <v>4</v>
      </c>
      <c r="AH53" s="47">
        <f>(AF53-AG53)*100+AK53*10000+AF53</f>
        <v>90408</v>
      </c>
      <c r="AI53" s="47">
        <f>AF53-AG53</f>
        <v>4</v>
      </c>
      <c r="AJ53" s="47">
        <f>(AI53-AI55)/AI54</f>
        <v>0.875</v>
      </c>
      <c r="AK53" s="47">
        <f>AC53*3+AD53</f>
        <v>9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1103.5007597700001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1</v>
      </c>
      <c r="H54" s="91" t="str">
        <f>AB44</f>
        <v>Brazil</v>
      </c>
      <c r="J54" s="55" t="str">
        <f>VLOOKUP(4,AA50:AK53,2,FALSE)</f>
        <v>Portugal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5 - 8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Cameroon_draw</v>
      </c>
      <c r="T54" s="88" t="str">
        <f t="shared" si="4"/>
        <v>Brazil_draw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0</v>
      </c>
      <c r="AC54" s="47">
        <f t="shared" ref="AC54:AL54" si="17">MAX(AC50:AC53)-MIN(AC50:AC53)+1</f>
        <v>4</v>
      </c>
      <c r="AD54" s="47">
        <f t="shared" si="17"/>
        <v>3</v>
      </c>
      <c r="AE54" s="47">
        <f t="shared" si="17"/>
        <v>3</v>
      </c>
      <c r="AF54" s="47">
        <f t="shared" si="17"/>
        <v>5</v>
      </c>
      <c r="AG54" s="47">
        <f t="shared" si="17"/>
        <v>5</v>
      </c>
      <c r="AH54" s="47">
        <f>MAX(AH50:AH53)-AH55+1</f>
        <v>80704</v>
      </c>
      <c r="AI54" s="47">
        <f>MAX(AI50:AI53)-AI55+1</f>
        <v>8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9705</v>
      </c>
      <c r="AI55" s="47">
        <f>MIN(AI50:AI53)</f>
        <v>-3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Qatar</v>
      </c>
      <c r="T58" s="88" t="str">
        <f>IF(OR(S58="",S58="draw"),INDEX(T,86,lang),S58)</f>
        <v>Qatar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Saudi Arabia</v>
      </c>
      <c r="T59" s="88" t="str">
        <f>IF(OR(S59="",S59="draw"),INDEX(T,87,lang),S59)</f>
        <v>Saudi Arabia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Senegal</v>
      </c>
      <c r="T60" s="88" t="str">
        <f>IF(OR(S60="",S60="draw"),INDEX(T,88,lang),S60)</f>
        <v>Senegal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Tunisia</v>
      </c>
      <c r="T61" s="88" t="str">
        <f>IF(OR(S61="",S61="draw"),INDEX(T,89,lang),S61)</f>
        <v>Tunisia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Morocco</v>
      </c>
      <c r="T62" s="88" t="str">
        <f>IF(OR(S62="",S62="draw"),INDEX(T,90,lang),S62)</f>
        <v>Morocco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Serbia</v>
      </c>
      <c r="T63" s="88" t="str">
        <f>IF(OR(S63="",S63="draw"),INDEX(T,91,lang),S63)</f>
        <v>Serbia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Japan</v>
      </c>
      <c r="T64" s="88" t="str">
        <f>IF(OR(S64="",S64="draw"),INDEX(T,92,lang),S64)</f>
        <v>Japan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Cameroon</v>
      </c>
      <c r="T65" s="88" t="str">
        <f>IF(OR(S65="",S65="draw"),INDEX(T,93,lang),S65)</f>
        <v>Cameroon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Saudi Arabia</v>
      </c>
      <c r="T69" s="88" t="str">
        <f>IF(OR(S69="",S69="draw"),INDEX(T,94,lang),S69)</f>
        <v>Saudi Arabia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Serbia</v>
      </c>
      <c r="T70" s="88" t="str">
        <f>IF(OR(S70="",S70="draw"),INDEX(T,95,lang),S70)</f>
        <v>Serbia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Tunisia</v>
      </c>
      <c r="T71" s="88" t="str">
        <f>IF(OR(S71="",S71="draw"),INDEX(T,96,lang),S71)</f>
        <v>Tunisia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Cameroon</v>
      </c>
      <c r="T72" s="88" t="str">
        <f>IF(OR(S72="",S72="draw"),INDEX(T,97,lang),S72)</f>
        <v>Cameroon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Serbia</v>
      </c>
      <c r="T76" s="88" t="str">
        <f>IF(OR(S76="",S76="draw"),INDEX(T,98,lang),S76)</f>
        <v>Serbia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Saudi Arabia</v>
      </c>
      <c r="Z76" s="88" t="str">
        <f>IF(OR(U76="",U76="draw"),INDEX(T,100,lang),U76)</f>
        <v>Saudi Arabia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Cameroon</v>
      </c>
      <c r="T77" s="88" t="str">
        <f>IF(OR(S77="",S77="draw"),INDEX(T,99,lang),S77)</f>
        <v>Cameroon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Tunisia</v>
      </c>
      <c r="Z77" s="88" t="str">
        <f>IF(OR(U77="",U77="draw"),INDEX(T,101,lang),U77)</f>
        <v>Tunisia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Saudi Arabia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Cameroon</v>
      </c>
      <c r="T85" s="88" t="str">
        <f>S85</f>
        <v>Cameroon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1" sqref="B11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2530</v>
      </c>
    </row>
    <row r="3" spans="1:2" x14ac:dyDescent="0.25">
      <c r="A3" s="100" t="s">
        <v>2519</v>
      </c>
      <c r="B3" s="103" t="s">
        <v>2531</v>
      </c>
    </row>
    <row r="4" spans="1:2" x14ac:dyDescent="0.25">
      <c r="A4" s="103" t="s">
        <v>2520</v>
      </c>
      <c r="B4" s="100" t="s">
        <v>2534</v>
      </c>
    </row>
    <row r="5" spans="1:2" x14ac:dyDescent="0.25">
      <c r="A5" s="100" t="s">
        <v>2529</v>
      </c>
      <c r="B5" s="103" t="s">
        <v>2533</v>
      </c>
    </row>
    <row r="6" spans="1:2" x14ac:dyDescent="0.25">
      <c r="A6" s="103" t="s">
        <v>2521</v>
      </c>
      <c r="B6" s="100" t="s">
        <v>2532</v>
      </c>
    </row>
    <row r="7" spans="1:2" x14ac:dyDescent="0.25">
      <c r="A7" s="100" t="s">
        <v>2522</v>
      </c>
      <c r="B7" s="103" t="s">
        <v>2287</v>
      </c>
    </row>
    <row r="8" spans="1:2" x14ac:dyDescent="0.25">
      <c r="A8" s="103" t="s">
        <v>2523</v>
      </c>
      <c r="B8" s="100" t="s">
        <v>2535</v>
      </c>
    </row>
    <row r="9" spans="1:2" x14ac:dyDescent="0.25">
      <c r="A9" s="100" t="s">
        <v>2524</v>
      </c>
      <c r="B9" s="103" t="s">
        <v>2303</v>
      </c>
    </row>
    <row r="10" spans="1:2" x14ac:dyDescent="0.25">
      <c r="A10" s="103" t="s">
        <v>2525</v>
      </c>
      <c r="B10" s="100" t="s">
        <v>2536</v>
      </c>
    </row>
    <row r="11" spans="1:2" x14ac:dyDescent="0.25">
      <c r="A11" s="100" t="s">
        <v>2528</v>
      </c>
      <c r="B11" s="103" t="s">
        <v>2537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Daniel</cp:lastModifiedBy>
  <cp:lastPrinted>2018-01-03T15:36:04Z</cp:lastPrinted>
  <dcterms:created xsi:type="dcterms:W3CDTF">2017-12-27T19:32:51Z</dcterms:created>
  <dcterms:modified xsi:type="dcterms:W3CDTF">2022-11-20T15:54:58Z</dcterms:modified>
</cp:coreProperties>
</file>