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-Hendrik Karro\Downloads\"/>
    </mc:Choice>
  </mc:AlternateContent>
  <xr:revisionPtr revIDLastSave="0" documentId="13_ncr:1_{780247AD-FC2C-4B89-B680-E75873AAA84D}" xr6:coauthVersionLast="47" xr6:coauthVersionMax="47" xr10:uidLastSave="{00000000-0000-0000-0000-000000000000}"/>
  <bookViews>
    <workbookView xWindow="-120" yWindow="-120" windowWidth="29040" windowHeight="1644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BL41" i="3"/>
  <c r="L14" i="3"/>
  <c r="J44" i="3"/>
  <c r="K8" i="3"/>
  <c r="N32" i="3"/>
  <c r="K38" i="3"/>
  <c r="N20" i="3"/>
  <c r="K50" i="3"/>
  <c r="N14" i="3"/>
  <c r="P20" i="3"/>
  <c r="L38" i="3"/>
  <c r="L44" i="3"/>
  <c r="M8" i="3"/>
  <c r="O14" i="3"/>
  <c r="M38" i="3"/>
  <c r="M44" i="3"/>
  <c r="N8" i="3"/>
  <c r="P14" i="3"/>
  <c r="BT31" i="3"/>
  <c r="N38" i="3"/>
  <c r="A1" i="3"/>
  <c r="BM6" i="3"/>
  <c r="P26" i="3"/>
  <c r="J32" i="3"/>
  <c r="P50" i="3"/>
  <c r="P44" i="3" l="1"/>
  <c r="B48" i="2"/>
  <c r="AB53" i="3"/>
  <c r="AB51" i="3"/>
  <c r="AB46" i="3"/>
  <c r="AB44" i="3"/>
  <c r="AB41" i="3"/>
  <c r="AB39" i="3"/>
  <c r="AB34" i="3"/>
  <c r="AB32" i="3"/>
  <c r="AB29" i="3"/>
  <c r="AB27" i="3"/>
  <c r="AB22" i="3"/>
  <c r="AB20" i="3"/>
  <c r="AB17" i="3"/>
  <c r="AB15" i="3"/>
  <c r="AB10" i="3"/>
  <c r="AB8" i="3"/>
  <c r="B47" i="2"/>
  <c r="B43" i="2"/>
  <c r="B39" i="2"/>
  <c r="B35" i="2"/>
  <c r="B31" i="2"/>
  <c r="B27" i="2"/>
  <c r="B23" i="2"/>
  <c r="B19" i="2"/>
  <c r="B46" i="2"/>
  <c r="B42" i="2"/>
  <c r="B38" i="2"/>
  <c r="B34" i="2"/>
  <c r="B30" i="2"/>
  <c r="B26" i="2"/>
  <c r="B22" i="2"/>
  <c r="B18" i="2"/>
  <c r="AB52" i="3"/>
  <c r="AB50" i="3"/>
  <c r="AB47" i="3"/>
  <c r="AB45" i="3"/>
  <c r="AB40" i="3"/>
  <c r="AB38" i="3"/>
  <c r="AB35" i="3"/>
  <c r="AB33" i="3"/>
  <c r="AB28" i="3"/>
  <c r="AB26" i="3"/>
  <c r="AB23" i="3"/>
  <c r="AB21" i="3"/>
  <c r="AB16" i="3"/>
  <c r="AB14" i="3"/>
  <c r="AB11" i="3"/>
  <c r="AB9" i="3"/>
  <c r="B45" i="2"/>
  <c r="B41" i="2"/>
  <c r="B37" i="2"/>
  <c r="B33" i="2"/>
  <c r="B29" i="2"/>
  <c r="B25" i="2"/>
  <c r="B21" i="2"/>
  <c r="B17" i="2"/>
  <c r="B44" i="2"/>
  <c r="B40" i="2"/>
  <c r="B36" i="2"/>
  <c r="B32" i="2"/>
  <c r="B28" i="2"/>
  <c r="B24" i="2"/>
  <c r="B20" i="2"/>
  <c r="O44" i="3"/>
  <c r="K20" i="3"/>
  <c r="O50" i="3"/>
  <c r="O26" i="3"/>
  <c r="BF6" i="3"/>
  <c r="P32" i="3"/>
  <c r="AY6" i="3"/>
  <c r="O32" i="3"/>
  <c r="L8" i="3"/>
  <c r="L50" i="3"/>
  <c r="L26" i="3"/>
  <c r="M32" i="3"/>
  <c r="L32" i="3"/>
  <c r="R37" i="3"/>
  <c r="R29" i="3"/>
  <c r="R17" i="3"/>
  <c r="R36" i="3"/>
  <c r="R28" i="3"/>
  <c r="R16" i="3"/>
  <c r="R33" i="3"/>
  <c r="R21" i="3"/>
  <c r="R13" i="3"/>
  <c r="R32" i="3"/>
  <c r="R20" i="3"/>
  <c r="R1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6" i="3" l="1"/>
  <c r="AM14" i="3"/>
  <c r="E9" i="3"/>
  <c r="H41" i="3"/>
  <c r="E14" i="3"/>
  <c r="H44" i="3"/>
  <c r="E29" i="3"/>
  <c r="AM26" i="3"/>
  <c r="E18" i="3"/>
  <c r="E32" i="3"/>
  <c r="H47" i="3"/>
  <c r="X47" i="3" s="1"/>
  <c r="AM38" i="3"/>
  <c r="E38" i="3"/>
  <c r="AM50" i="3"/>
  <c r="H52" i="3"/>
  <c r="X52" i="3" s="1"/>
  <c r="E21" i="3"/>
  <c r="E42" i="3"/>
  <c r="H23" i="3"/>
  <c r="H9" i="3"/>
  <c r="AM15" i="3"/>
  <c r="H14" i="3"/>
  <c r="H27" i="3"/>
  <c r="AM27" i="3"/>
  <c r="E43" i="3"/>
  <c r="H18" i="3"/>
  <c r="H33" i="3"/>
  <c r="AM39" i="3"/>
  <c r="E48" i="3"/>
  <c r="H21" i="3"/>
  <c r="E51" i="3"/>
  <c r="AM51" i="3"/>
  <c r="H36" i="3"/>
  <c r="AM16" i="3"/>
  <c r="H42" i="3"/>
  <c r="H26" i="3"/>
  <c r="E10" i="3"/>
  <c r="H29" i="3"/>
  <c r="H43" i="3"/>
  <c r="AM28" i="3"/>
  <c r="E12" i="3"/>
  <c r="H48" i="3"/>
  <c r="H32" i="3"/>
  <c r="E15" i="3"/>
  <c r="AM40" i="3"/>
  <c r="H38" i="3"/>
  <c r="H51" i="3"/>
  <c r="AM52" i="3"/>
  <c r="E20" i="3"/>
  <c r="H10" i="3"/>
  <c r="E41" i="3"/>
  <c r="E23" i="3"/>
  <c r="X23" i="3" s="1"/>
  <c r="AM17" i="3"/>
  <c r="H12" i="3"/>
  <c r="AM29" i="3"/>
  <c r="E44" i="3"/>
  <c r="X44" i="3" s="1"/>
  <c r="E27" i="3"/>
  <c r="E33" i="3"/>
  <c r="E47" i="3"/>
  <c r="AM41" i="3"/>
  <c r="H15" i="3"/>
  <c r="E36" i="3"/>
  <c r="AM53" i="3"/>
  <c r="H20" i="3"/>
  <c r="X20" i="3" s="1"/>
  <c r="E52" i="3"/>
  <c r="AM33" i="3"/>
  <c r="H40" i="3"/>
  <c r="AM9" i="3"/>
  <c r="E24" i="3"/>
  <c r="E7" i="3"/>
  <c r="E46" i="3"/>
  <c r="H11" i="3"/>
  <c r="AM21" i="3"/>
  <c r="H28" i="3"/>
  <c r="E50" i="3"/>
  <c r="H31" i="3"/>
  <c r="H17" i="3"/>
  <c r="AM45" i="3"/>
  <c r="H22" i="3"/>
  <c r="H35" i="3"/>
  <c r="X35" i="3" s="1"/>
  <c r="E53" i="3"/>
  <c r="AM11" i="3"/>
  <c r="E8" i="3"/>
  <c r="AM8" i="3"/>
  <c r="H24" i="3"/>
  <c r="H39" i="3"/>
  <c r="E30" i="3"/>
  <c r="H45" i="3"/>
  <c r="AM20" i="3"/>
  <c r="E11" i="3"/>
  <c r="E34" i="3"/>
  <c r="E17" i="3"/>
  <c r="H49" i="3"/>
  <c r="AM32" i="3"/>
  <c r="H54" i="3"/>
  <c r="E22" i="3"/>
  <c r="AM44" i="3"/>
  <c r="E37" i="3"/>
  <c r="E25" i="3"/>
  <c r="E40" i="3"/>
  <c r="X40" i="3" s="1"/>
  <c r="H8" i="3"/>
  <c r="H13" i="3"/>
  <c r="E28" i="3"/>
  <c r="E45" i="3"/>
  <c r="AM23" i="3"/>
  <c r="E49" i="3"/>
  <c r="H16" i="3"/>
  <c r="E31" i="3"/>
  <c r="AM35" i="3"/>
  <c r="E54" i="3"/>
  <c r="E35" i="3"/>
  <c r="H19" i="3"/>
  <c r="X19" i="3" s="1"/>
  <c r="AM47" i="3"/>
  <c r="H25" i="3"/>
  <c r="H7" i="3"/>
  <c r="E39" i="3"/>
  <c r="AM10" i="3"/>
  <c r="H46" i="3"/>
  <c r="AM22" i="3"/>
  <c r="H30" i="3"/>
  <c r="E13" i="3"/>
  <c r="E16" i="3"/>
  <c r="H34" i="3"/>
  <c r="H50" i="3"/>
  <c r="AM34" i="3"/>
  <c r="H53" i="3"/>
  <c r="E19" i="3"/>
  <c r="AM46" i="3"/>
  <c r="H37" i="3"/>
  <c r="X25" i="3"/>
  <c r="X31" i="3"/>
  <c r="X33" i="3"/>
  <c r="X51" i="3"/>
  <c r="X48" i="3"/>
  <c r="X34" i="3"/>
  <c r="X10" i="3"/>
  <c r="X42" i="3"/>
  <c r="X21" i="3"/>
  <c r="X13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V40" i="3" l="1"/>
  <c r="W40" i="3"/>
  <c r="U39" i="3"/>
  <c r="U24" i="3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V39" i="3" l="1"/>
  <c r="W39" i="3"/>
  <c r="U49" i="3"/>
  <c r="V49" i="3" s="1"/>
  <c r="V24" i="3"/>
  <c r="W24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N33" i="3" s="1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J39" i="3" l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N22" i="3"/>
  <c r="L54" i="3"/>
  <c r="O23" i="3"/>
  <c r="N54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15" i="3" l="1"/>
  <c r="K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<sst xmlns="http://schemas.openxmlformats.org/spreadsheetml/2006/main" count="4373" uniqueCount="2536">
  <si>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</si>
  <si>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</si>
  <si>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</si>
  <si>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</si>
  <si>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</si>
  <si>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</si>
  <si>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</si>
  <si>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</si>
  <si>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</si>
  <si>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</si>
  <si>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</si>
  <si>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</si>
  <si>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</si>
  <si>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</si>
  <si>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</si>
  <si>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</si>
  <si>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</si>
  <si>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</si>
  <si>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</si>
  <si>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</si>
  <si>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</si>
  <si>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</si>
  <si>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</si>
  <si>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</si>
  <si>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</si>
  <si>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</si>
  <si>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</si>
  <si>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</si>
  <si>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</si>
  <si>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</si>
  <si>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</si>
  <si>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</si>
  <si>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</si>
  <si>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</si>
  <si>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</si>
  <si>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</si>
  <si>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</si>
  <si>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</si>
  <si>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</si>
  <si>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</si>
  <si>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</si>
  <si>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</si>
  <si>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</si>
  <si>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</si>
  <si>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</si>
  <si>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</si>
  <si>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</si>
  <si>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</si>
  <si>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</si>
  <si>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</si>
  <si>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</si>
  <si>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</si>
  <si>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</si>
  <si>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</si>
  <si>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</si>
  <si>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</si>
  <si>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</si>
  <si>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</si>
  <si>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</si>
  <si>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</si>
  <si>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</si>
  <si>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</si>
  <si>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</si>
  <si>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</si>
  <si>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</si>
  <si>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</si>
  <si>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</si>
  <si>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</si>
  <si>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</si>
  <si>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</si>
  <si>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</si>
  <si>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</si>
  <si>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</si>
  <si>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</si>
  <si>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</si>
  <si>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</si>
  <si>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</si>
  <si>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</si>
  <si>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</si>
  <si>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</si>
  <si>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</si>
  <si>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</si>
  <si>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</si>
  <si>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</si>
  <si>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</si>
  <si>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</si>
  <si>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</si>
  <si>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</si>
  <si>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</si>
  <si>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</si>
  <si>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</si>
  <si>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</si>
  <si>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</si>
  <si>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</si>
  <si>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</si>
  <si>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</si>
  <si>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</si>
  <si>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</si>
  <si>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</si>
  <si>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</si>
  <si>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</si>
  <si>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</si>
  <si>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</si>
  <si>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</si>
  <si>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</si>
  <si>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</si>
  <si>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</si>
  <si>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</si>
  <si>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</si>
  <si>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</si>
  <si>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</si>
  <si>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</si>
  <si>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</si>
  <si>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</si>
  <si>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</si>
  <si>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</si>
  <si>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</si>
  <si>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</si>
  <si>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</si>
  <si>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</si>
  <si>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</si>
  <si>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</si>
  <si>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</si>
  <si>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</si>
  <si>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</si>
  <si>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</si>
  <si>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</si>
  <si>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</si>
  <si>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</si>
  <si>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</si>
  <si>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</si>
  <si>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</si>
  <si>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</si>
  <si>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</si>
  <si>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</si>
  <si>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</si>
  <si>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</si>
  <si>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</si>
  <si>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</si>
  <si>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</si>
  <si>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</si>
  <si>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</si>
  <si>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</si>
  <si>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</si>
  <si>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</si>
  <si>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</si>
  <si>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</si>
  <si>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</si>
  <si>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</si>
  <si>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</si>
  <si>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</si>
  <si>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</si>
  <si>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</si>
  <si>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</si>
  <si>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</si>
  <si>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</si>
  <si>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</si>
  <si>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</si>
  <si>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</si>
  <si>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</si>
  <si>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</si>
  <si>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</si>
  <si>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</si>
  <si>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</si>
  <si>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</si>
  <si>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</si>
  <si>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</si>
  <si>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</si>
  <si>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</si>
  <si>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</si>
  <si>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</si>
  <si>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</si>
  <si>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</si>
  <si>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</si>
  <si>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</si>
  <si>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</si>
  <si>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</si>
  <si>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</si>
  <si>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</si>
  <si>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</si>
  <si>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</si>
  <si>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</si>
  <si>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</si>
  <si>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</si>
  <si>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</si>
  <si>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</si>
  <si>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</si>
  <si>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</si>
  <si>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</si>
  <si>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</si>
  <si>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</si>
  <si>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</si>
  <si>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</si>
  <si>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</si>
  <si>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</si>
  <si>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</si>
  <si>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</si>
  <si>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</si>
  <si>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</si>
  <si>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</si>
  <si>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</si>
  <si>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</si>
  <si>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</si>
  <si>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</si>
  <si>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</si>
  <si>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</si>
  <si>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</si>
  <si>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</si>
  <si>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</si>
  <si>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</si>
  <si>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</si>
  <si>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</si>
  <si>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</si>
  <si>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</si>
  <si>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</si>
  <si>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</si>
  <si>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</si>
  <si>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</si>
  <si>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</si>
  <si>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</si>
  <si>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</si>
  <si>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</si>
  <si>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</si>
  <si>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</si>
  <si>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</si>
  <si>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</si>
  <si>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</si>
  <si>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</si>
  <si>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</si>
  <si>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</si>
  <si>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</si>
  <si>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</si>
  <si>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</si>
  <si>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</si>
  <si>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</si>
  <si>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</si>
  <si>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</si>
  <si>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</si>
  <si>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</si>
  <si>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</si>
  <si>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</si>
  <si>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</si>
  <si>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</si>
  <si>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</si>
  <si>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</si>
  <si>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</si>
  <si>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</si>
  <si>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</si>
  <si>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</si>
  <si>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</si>
  <si>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</si>
  <si>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</si>
  <si>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</si>
  <si>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</si>
  <si>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</si>
  <si>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</si>
  <si>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</si>
  <si>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</si>
  <si>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</si>
  <si>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</si>
  <si>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</si>
  <si>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</si>
  <si>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</si>
  <si>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</si>
  <si>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</si>
  <si>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</si>
  <si>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</si>
  <si>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</si>
  <si>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</si>
  <si>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</si>
  <si>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</si>
  <si>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</si>
  <si>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</si>
  <si>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</si>
  <si>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</si>
  <si>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</si>
  <si>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</si>
  <si>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</si>
  <si>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</si>
  <si>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</si>
  <si>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</si>
  <si>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</si>
  <si>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</si>
  <si>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</si>
  <si>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</si>
  <si>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</si>
  <si>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</si>
  <si>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</si>
  <si>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</si>
  <si>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</si>
  <si>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</si>
  <si>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</si>
  <si>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</si>
  <si>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</si>
  <si>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</si>
  <si>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</si>
  <si>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</si>
  <si>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</si>
  <si>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</si>
  <si>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</si>
  <si>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</si>
  <si>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</si>
  <si>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</si>
  <si>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</si>
  <si>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</si>
  <si>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</si>
  <si>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</si>
  <si>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</si>
  <si>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</si>
  <si>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</si>
  <si>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</si>
  <si>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</si>
  <si>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</si>
  <si>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</si>
  <si>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</si>
  <si>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</si>
  <si>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</si>
  <si>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</si>
  <si>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</si>
  <si>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</si>
  <si>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</si>
  <si>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</si>
  <si>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</si>
  <si>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</si>
  <si>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</si>
  <si>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</si>
  <si>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</si>
  <si>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</si>
  <si>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</si>
  <si>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</si>
  <si>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</si>
  <si>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</si>
  <si>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</si>
  <si>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</si>
  <si>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</si>
  <si>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</si>
  <si>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</si>
  <si>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</si>
  <si>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</si>
  <si>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</si>
  <si>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</si>
  <si>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</si>
  <si>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</si>
  <si>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</si>
  <si>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</si>
  <si>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</si>
  <si>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</si>
  <si>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</si>
  <si>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</si>
  <si>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</si>
  <si>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</si>
  <si>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</si>
  <si>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</si>
  <si>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</si>
  <si>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</si>
  <si>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</si>
  <si>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</si>
  <si>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</si>
  <si>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</si>
  <si>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</si>
  <si>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</si>
  <si>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</si>
  <si>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</si>
  <si>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</si>
  <si>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</si>
  <si>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</si>
  <si>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</si>
  <si>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</si>
  <si>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</si>
  <si>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</si>
  <si>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</si>
  <si>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</si>
  <si>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</si>
  <si>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</si>
  <si>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</si>
  <si>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</si>
  <si>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</si>
  <si>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</si>
  <si>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</si>
  <si>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</si>
  <si>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</si>
  <si>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</si>
  <si>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</si>
  <si>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</si>
  <si>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</si>
  <si>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</si>
  <si>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</si>
  <si>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</si>
  <si>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</si>
  <si>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</si>
  <si>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</si>
  <si>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</si>
  <si>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</si>
  <si>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</si>
  <si>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</si>
  <si>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</si>
  <si>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</si>
  <si>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</si>
  <si>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</si>
  <si>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</si>
  <si>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</si>
  <si>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</si>
  <si>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</si>
  <si>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</si>
  <si>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</si>
  <si>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</si>
  <si>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</si>
  <si>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</si>
  <si>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</si>
  <si>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</si>
  <si>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</si>
  <si>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</si>
  <si>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</si>
  <si>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</si>
  <si>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</si>
  <si>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</si>
  <si>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</si>
  <si>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</si>
  <si>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</si>
  <si>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</si>
  <si>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</si>
  <si>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</si>
  <si>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</si>
  <si>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</si>
  <si>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</si>
  <si>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</si>
  <si>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</si>
  <si>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</si>
  <si>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</si>
  <si>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</si>
  <si>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</si>
  <si>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</si>
  <si>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</si>
  <si>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</si>
  <si>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</si>
  <si>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</si>
  <si>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</si>
  <si>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</si>
  <si>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</si>
  <si>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</si>
  <si>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</si>
  <si>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</si>
  <si>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</si>
  <si>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</si>
  <si>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</si>
  <si>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</si>
  <si>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</si>
  <si>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</si>
  <si>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</si>
  <si>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</si>
  <si>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</si>
  <si>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</si>
  <si>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</si>
  <si>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</si>
  <si>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</si>
  <si>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</si>
  <si>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</si>
  <si>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</si>
  <si>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</si>
  <si>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</si>
  <si>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</si>
  <si>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</si>
  <si>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</si>
  <si>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</si>
  <si>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</si>
  <si>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</si>
  <si>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</si>
  <si>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</si>
  <si>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</si>
  <si>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</si>
  <si>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</si>
  <si>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</si>
  <si>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</si>
  <si>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</si>
  <si>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</si>
  <si>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</si>
  <si>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</si>
  <si>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</si>
  <si>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</si>
  <si>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</si>
  <si>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</si>
  <si>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</si>
  <si>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</si>
  <si>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</si>
  <si>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</si>
  <si>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</si>
  <si>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</si>
  <si>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</si>
  <si>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</si>
  <si>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</si>
  <si>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</si>
  <si>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</si>
  <si>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</si>
  <si>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</si>
  <si>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</si>
  <si>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</si>
  <si>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</si>
  <si>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</si>
  <si>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</si>
  <si>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</si>
  <si>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</si>
  <si>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</si>
  <si>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</si>
  <si>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</si>
  <si>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</si>
  <si>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</si>
  <si>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</si>
  <si>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</si>
  <si>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</si>
  <si>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</si>
  <si>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</si>
  <si>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</si>
  <si>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</si>
  <si>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</si>
  <si>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</si>
  <si>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</si>
  <si>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</si>
  <si>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</si>
  <si>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</si>
  <si>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</si>
  <si>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</si>
  <si>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</si>
  <si>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</si>
  <si>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</si>
  <si>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</si>
  <si>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</si>
  <si>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</si>
  <si>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</si>
  <si>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</si>
  <si>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</si>
  <si>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</si>
  <si>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</si>
  <si>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</si>
  <si>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</si>
  <si>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</si>
  <si>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</si>
  <si>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</si>
  <si>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</si>
  <si>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</si>
  <si>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</si>
  <si>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</si>
  <si>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</si>
  <si>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</si>
  <si>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</si>
  <si>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</si>
  <si>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</si>
  <si>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</si>
  <si>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</si>
  <si>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</si>
  <si>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</si>
  <si>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</si>
  <si>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</si>
  <si>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</si>
  <si>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</si>
  <si>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</si>
  <si>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</si>
  <si>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</si>
  <si>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</si>
  <si>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</si>
  <si>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</si>
  <si>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</si>
  <si>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</si>
  <si>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</si>
  <si>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</si>
  <si>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</si>
  <si>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</si>
  <si>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</si>
  <si>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</si>
  <si>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</si>
  <si>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</si>
  <si>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</si>
  <si>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</si>
  <si>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</si>
  <si>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</si>
  <si>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</si>
  <si>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</si>
  <si>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</si>
  <si>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</si>
  <si>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</si>
  <si>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</si>
  <si>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</si>
  <si>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</si>
  <si>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</si>
  <si>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</si>
  <si>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</si>
  <si>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</si>
  <si>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</si>
  <si>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</si>
  <si>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</si>
  <si>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</si>
  <si>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</si>
  <si>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</si>
  <si>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</si>
  <si>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</si>
  <si>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</si>
  <si>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</si>
  <si>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</si>
  <si>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</si>
  <si>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</si>
  <si>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</si>
  <si>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</si>
  <si>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</si>
  <si>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</si>
  <si>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</si>
  <si>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</si>
  <si>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</si>
  <si>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</si>
  <si>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</si>
  <si>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</si>
  <si>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</si>
  <si>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</si>
  <si>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</si>
  <si>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</si>
  <si>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</si>
  <si>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</si>
  <si>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</si>
  <si>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</si>
  <si>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</si>
  <si>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</si>
  <si>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</si>
  <si>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</si>
  <si>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</si>
  <si>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</si>
  <si>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</si>
  <si>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</si>
  <si>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</si>
  <si>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</si>
  <si>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</si>
  <si>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</si>
  <si>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</si>
  <si>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</si>
  <si>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</si>
  <si>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</si>
  <si>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</si>
  <si>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</si>
  <si>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</si>
  <si>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</si>
  <si>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</si>
  <si>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</si>
  <si>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</si>
  <si>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</si>
  <si>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</si>
  <si>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</si>
  <si>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</si>
  <si>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</si>
  <si>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</si>
  <si>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</si>
  <si>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</si>
  <si>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</si>
  <si>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</si>
  <si>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</si>
  <si>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</si>
  <si>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</si>
  <si>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</si>
  <si>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</si>
  <si>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</si>
  <si>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</si>
  <si>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</si>
  <si>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</si>
  <si>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</si>
  <si>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</si>
  <si>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</si>
  <si>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</si>
  <si>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</si>
  <si>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</si>
  <si>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</si>
  <si>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</si>
  <si>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</si>
  <si>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</si>
  <si>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</si>
  <si>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</si>
  <si>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</si>
  <si>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</si>
  <si>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</si>
  <si>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</si>
  <si>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</si>
  <si>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</si>
  <si>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</si>
  <si>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</si>
  <si>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</si>
  <si>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</si>
  <si>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</si>
  <si>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</si>
  <si>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</si>
  <si>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</si>
  <si>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</si>
  <si>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</si>
  <si>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</si>
  <si>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</si>
  <si>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</si>
  <si>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</si>
  <si>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</si>
  <si>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</si>
  <si>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</si>
  <si>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</si>
  <si>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</si>
  <si>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</si>
  <si>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</si>
  <si>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</si>
  <si>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</si>
  <si>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</si>
  <si>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</si>
  <si>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</si>
  <si>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</si>
  <si>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</si>
  <si>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</si>
  <si>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</si>
  <si>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</si>
  <si>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</si>
  <si>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</si>
  <si>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</si>
  <si>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</si>
  <si>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</si>
  <si>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</si>
  <si>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</si>
  <si>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</si>
  <si>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</si>
  <si>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</si>
  <si>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</si>
  <si>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</si>
  <si>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</si>
  <si>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</si>
  <si>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</si>
  <si>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</si>
  <si>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</si>
  <si>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</si>
  <si>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</si>
  <si>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</si>
  <si>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</si>
  <si>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</si>
  <si>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</si>
  <si>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</si>
  <si>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</si>
  <si>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</si>
  <si>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</si>
  <si>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</si>
  <si>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</si>
  <si>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</si>
  <si>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</si>
  <si>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</si>
  <si>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</si>
  <si>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</si>
  <si>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</si>
  <si>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</si>
  <si>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</si>
  <si>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</si>
  <si>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</si>
  <si>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</si>
  <si>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</si>
  <si>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</si>
  <si>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</si>
  <si>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</si>
  <si>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</si>
  <si>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</si>
  <si>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</si>
  <si>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</si>
  <si>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</si>
  <si>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</si>
  <si>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</si>
  <si>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</si>
  <si>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</si>
  <si>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</si>
  <si>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</si>
  <si>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</si>
  <si>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</si>
  <si>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</si>
  <si>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</si>
  <si>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</si>
  <si>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</si>
  <si>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</si>
  <si>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</si>
  <si>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</si>
  <si>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</si>
  <si>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</si>
  <si>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</si>
  <si>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</si>
  <si>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</si>
  <si>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</si>
  <si>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</si>
  <si>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</si>
  <si>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</si>
  <si>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</si>
  <si>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</si>
  <si>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</si>
  <si>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</si>
  <si>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</si>
  <si>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</si>
  <si>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</si>
  <si>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</si>
  <si>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</si>
  <si>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</si>
  <si>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</si>
  <si>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</si>
  <si>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</si>
  <si>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</si>
  <si>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</si>
  <si>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</si>
  <si>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</si>
  <si>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</si>
  <si>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</si>
  <si>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</si>
  <si>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</si>
  <si>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</si>
  <si>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</si>
  <si>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</si>
  <si>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</si>
  <si>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</si>
  <si>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</si>
  <si>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</si>
  <si>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</si>
  <si>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</si>
  <si>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</si>
  <si>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</si>
  <si>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</si>
  <si>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</si>
  <si>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</si>
  <si>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</si>
  <si>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</si>
  <si>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</si>
  <si>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</si>
  <si>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</si>
  <si>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</si>
  <si>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</si>
  <si>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</si>
  <si>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</si>
  <si>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</si>
  <si>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</si>
  <si>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</si>
  <si>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</si>
  <si>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</si>
  <si>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</si>
  <si>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</si>
  <si>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</si>
  <si>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</si>
  <si>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</si>
  <si>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</si>
  <si>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</si>
  <si>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</si>
  <si>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</si>
  <si>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</si>
  <si>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</si>
  <si>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</si>
  <si>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</si>
  <si>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</si>
  <si>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</si>
  <si>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</si>
  <si>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</si>
  <si>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</si>
  <si>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</si>
  <si>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</si>
  <si>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</si>
  <si>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</si>
  <si>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</si>
  <si>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</si>
  <si>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</si>
  <si>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</si>
  <si>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</si>
  <si>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</si>
  <si>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</si>
  <si>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</si>
  <si>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</si>
  <si>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</si>
  <si>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</si>
  <si>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</si>
  <si>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</si>
  <si>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</si>
  <si>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</si>
  <si>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</si>
  <si>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</si>
  <si>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</si>
  <si>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</si>
  <si>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</si>
  <si>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</si>
  <si>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</si>
  <si>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</si>
  <si>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</si>
  <si>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</si>
  <si>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</si>
  <si>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</si>
  <si>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</si>
  <si>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</si>
  <si>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</si>
  <si>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</si>
  <si>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</si>
  <si>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</si>
  <si>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</si>
  <si>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</si>
  <si>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</si>
  <si>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</si>
  <si>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</si>
  <si>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</si>
  <si>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</si>
  <si>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</si>
  <si>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</si>
  <si>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</si>
  <si>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</si>
  <si>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</si>
  <si>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</si>
  <si>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</si>
  <si>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</si>
  <si>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</si>
  <si>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</si>
  <si>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</si>
  <si>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</si>
  <si>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</si>
  <si>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</si>
  <si>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</si>
  <si>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</si>
  <si>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</si>
  <si>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</si>
  <si>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</si>
  <si>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</si>
  <si>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</si>
  <si>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</si>
  <si>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</si>
  <si>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</si>
  <si>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</si>
  <si>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</si>
  <si>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</si>
  <si>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</si>
  <si>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</si>
  <si>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</si>
  <si>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</si>
  <si>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</si>
  <si>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</si>
  <si>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</si>
  <si>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</si>
  <si>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</si>
  <si>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</si>
  <si>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</si>
  <si>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</si>
  <si>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</si>
  <si>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</si>
  <si>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</si>
  <si>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</si>
  <si>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</si>
  <si>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</si>
  <si>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</si>
  <si>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</si>
  <si>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</si>
  <si>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</si>
  <si>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</si>
  <si>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</si>
  <si>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</si>
  <si>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</si>
  <si>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</si>
  <si>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</si>
  <si>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</si>
  <si>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</si>
  <si>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</si>
  <si>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</si>
  <si>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</si>
  <si>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</si>
  <si>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</si>
  <si>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</si>
  <si>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</si>
  <si>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</si>
  <si>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</si>
  <si>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</si>
  <si>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</si>
  <si>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</si>
  <si>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</si>
  <si>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</si>
  <si>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</si>
  <si>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</si>
  <si>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</si>
  <si>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</si>
  <si>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</si>
  <si>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</si>
  <si>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</si>
  <si>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</si>
  <si>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</si>
  <si>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</si>
  <si>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</si>
  <si>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</si>
  <si>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</si>
  <si>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</si>
  <si>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</si>
  <si>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</si>
  <si>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</si>
  <si>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</si>
  <si>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</si>
  <si>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</si>
  <si>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</si>
  <si>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</si>
  <si>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</si>
  <si>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</si>
  <si>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</si>
  <si>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</si>
  <si>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</si>
  <si>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</si>
  <si>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</si>
  <si>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</si>
  <si>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</si>
  <si>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</si>
  <si>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</si>
  <si>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</si>
  <si>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</si>
  <si>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</si>
  <si>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</si>
  <si>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</si>
  <si>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</si>
  <si>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</si>
  <si>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</si>
  <si>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</si>
  <si>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</si>
  <si>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</si>
  <si>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</si>
  <si>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</si>
  <si>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</si>
  <si>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</si>
  <si>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</si>
  <si>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</si>
  <si>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</si>
  <si>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</si>
  <si>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</si>
  <si>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</si>
  <si>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</si>
  <si>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</si>
  <si>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</si>
  <si>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</si>
  <si>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</si>
  <si>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</si>
  <si>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</si>
  <si>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</si>
  <si>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</si>
  <si>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</si>
  <si>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</si>
  <si>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</si>
  <si>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</si>
  <si>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</si>
  <si>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</si>
  <si>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</si>
  <si>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</si>
  <si>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</si>
  <si>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</si>
  <si>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</si>
  <si>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</si>
  <si>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</si>
  <si>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</si>
  <si>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</si>
  <si>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</si>
  <si>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</si>
  <si>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</si>
  <si>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</si>
  <si>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</si>
  <si>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</si>
  <si>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</si>
  <si>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</si>
  <si>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</si>
  <si>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</si>
  <si>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</si>
  <si>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</si>
  <si>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</si>
  <si>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</si>
  <si>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</si>
  <si>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</si>
  <si>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</si>
  <si>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</si>
  <si>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</si>
  <si>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</si>
  <si>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</si>
  <si>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</si>
  <si>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</si>
  <si>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</si>
  <si>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</si>
  <si>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</si>
  <si>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</si>
  <si>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</si>
  <si>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</si>
  <si>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</si>
  <si>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</si>
  <si>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</si>
  <si>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</si>
  <si>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</si>
  <si>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</si>
  <si>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</si>
  <si>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</si>
  <si>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</si>
  <si>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</si>
  <si>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</si>
  <si>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</si>
  <si>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</si>
  <si>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</si>
  <si>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</si>
  <si>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</si>
  <si>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</si>
  <si>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</si>
  <si>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</si>
  <si>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</si>
  <si>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</si>
  <si>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</si>
  <si>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</si>
  <si>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</si>
  <si>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</si>
  <si>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</si>
  <si>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</si>
  <si>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</si>
  <si>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</si>
  <si>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</si>
  <si>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</si>
  <si>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</si>
  <si>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</si>
  <si>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</si>
  <si>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</si>
  <si>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</si>
  <si>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</si>
  <si>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</si>
  <si>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</si>
  <si>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</si>
  <si>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</si>
  <si>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</si>
  <si>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</si>
  <si>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</si>
  <si>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</si>
  <si>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</si>
  <si>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</si>
  <si>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</si>
  <si>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</si>
  <si>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</si>
  <si>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</si>
  <si>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</si>
  <si>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</si>
  <si>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</si>
  <si>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</si>
  <si>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</si>
  <si>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</si>
  <si>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</si>
  <si>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</si>
  <si>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</si>
  <si>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</si>
  <si>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</si>
  <si>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</si>
  <si>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</si>
  <si>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</si>
  <si>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</si>
  <si>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</si>
  <si>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</si>
  <si>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</si>
  <si>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</si>
  <si>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</si>
  <si>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</si>
  <si>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</si>
  <si>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</si>
  <si>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</si>
  <si>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</si>
  <si>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</si>
  <si>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</si>
  <si>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</si>
  <si>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</si>
  <si>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</si>
  <si>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</si>
  <si>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</si>
  <si>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</si>
  <si>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</si>
  <si>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</si>
  <si>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</si>
  <si>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</si>
  <si>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</si>
  <si>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</si>
  <si>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</si>
  <si>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</si>
  <si>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</si>
  <si>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</si>
  <si>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</si>
  <si>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</si>
  <si>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</si>
  <si>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</si>
  <si>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</si>
  <si>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</si>
  <si>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</si>
  <si>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</si>
  <si>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</si>
  <si>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</si>
  <si>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</si>
  <si>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</si>
  <si>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</si>
  <si>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</si>
  <si>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</si>
  <si>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</si>
  <si>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</si>
  <si>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</si>
  <si>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</si>
  <si>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</si>
  <si>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</si>
  <si>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</si>
  <si>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</si>
  <si>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</si>
  <si>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</si>
  <si>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</si>
  <si>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</si>
  <si>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</si>
  <si>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</si>
  <si>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</si>
  <si>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</si>
  <si>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</si>
  <si>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</si>
  <si>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</si>
  <si>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</si>
  <si>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</si>
  <si>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</si>
  <si>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</si>
  <si>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</si>
  <si>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</si>
  <si>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</si>
  <si>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</si>
  <si>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</si>
  <si>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</si>
  <si>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</si>
  <si>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</si>
  <si>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</si>
  <si>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</si>
  <si>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</si>
  <si>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</si>
  <si>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</si>
  <si>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</si>
  <si>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</si>
  <si>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</si>
  <si>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</si>
  <si>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</si>
  <si>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</si>
  <si>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</si>
  <si>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</si>
  <si>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</si>
  <si>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</si>
  <si>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</si>
  <si>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</si>
  <si>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</si>
  <si>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</si>
  <si>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</si>
  <si>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</si>
  <si>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</si>
  <si>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</si>
  <si>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</si>
  <si>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</si>
  <si>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</si>
  <si>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</si>
  <si>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</si>
  <si>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</si>
  <si>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</si>
  <si>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</si>
  <si>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</si>
  <si>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</si>
  <si>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</si>
  <si>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</si>
  <si>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</si>
  <si>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</si>
  <si>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</si>
  <si>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</si>
  <si>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</si>
  <si>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</si>
  <si>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</si>
  <si>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</si>
  <si>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</si>
  <si>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</si>
  <si>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</si>
  <si>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</si>
  <si>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</si>
  <si>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</si>
  <si>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</si>
  <si>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</si>
  <si>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</si>
  <si>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</si>
  <si>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</si>
  <si>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</si>
  <si>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</si>
  <si>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</si>
  <si>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</si>
  <si>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</si>
  <si>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</si>
  <si>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</si>
  <si>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</si>
  <si>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</si>
  <si>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</si>
  <si>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</si>
  <si>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</si>
  <si>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</si>
  <si>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</si>
  <si>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</si>
  <si>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</si>
  <si>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</si>
  <si>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</si>
  <si>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</si>
  <si>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</si>
  <si>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</si>
  <si>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</si>
  <si>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</si>
  <si>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</si>
  <si>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</si>
  <si>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</si>
  <si>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</si>
  <si>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</si>
  <si>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</si>
  <si>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</si>
  <si>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</si>
  <si>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</si>
  <si>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</si>
  <si>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</si>
  <si>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</si>
  <si>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</si>
  <si>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</si>
  <si>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</si>
  <si>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</si>
  <si>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</si>
  <si>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</si>
  <si>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</si>
  <si>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</si>
  <si>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</si>
  <si>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</si>
  <si>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</si>
  <si>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</si>
  <si>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</si>
  <si>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</si>
  <si>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</si>
  <si>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</si>
  <si>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</si>
  <si>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</si>
  <si>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</si>
  <si>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</si>
  <si>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</si>
  <si>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</si>
  <si>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</si>
  <si>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</si>
  <si>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</si>
  <si>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</si>
  <si>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</si>
  <si>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</si>
  <si>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</si>
  <si>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</si>
  <si>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</si>
  <si>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</si>
  <si>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</si>
  <si>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</si>
  <si>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</si>
  <si>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</si>
  <si>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</si>
  <si>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</si>
  <si>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</si>
  <si>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</si>
  <si>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</si>
  <si>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</si>
  <si>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</si>
  <si>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</si>
  <si>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</si>
  <si>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</si>
  <si>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</si>
  <si>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</si>
  <si>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</si>
  <si>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</si>
  <si>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</si>
  <si>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</si>
  <si>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</si>
  <si>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</si>
  <si>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</si>
  <si>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</si>
  <si>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</si>
  <si>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</si>
  <si>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</si>
  <si>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</si>
  <si>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</si>
  <si>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</si>
  <si>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</si>
  <si>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</si>
  <si>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</si>
  <si>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</si>
  <si>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</si>
  <si>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</si>
  <si>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</si>
  <si>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</si>
  <si>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</si>
  <si>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</si>
  <si>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</si>
  <si>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</si>
  <si>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</si>
  <si>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</si>
  <si>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</si>
  <si>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</si>
  <si>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</si>
  <si>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</si>
  <si>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</si>
  <si>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</si>
  <si>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</si>
  <si>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</si>
  <si>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</si>
  <si>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</si>
  <si>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</si>
  <si>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</si>
  <si>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</si>
  <si>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</si>
  <si>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</si>
  <si>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</si>
  <si>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</si>
  <si>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</si>
  <si>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</si>
  <si>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</si>
  <si>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</si>
  <si>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</si>
  <si>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</si>
  <si>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</si>
  <si>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</si>
  <si>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</si>
  <si>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</si>
  <si>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</si>
  <si>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</si>
  <si>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</si>
  <si>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</si>
  <si>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</si>
  <si>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</si>
  <si>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</si>
  <si>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</si>
  <si>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</si>
  <si>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</si>
  <si>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</si>
  <si>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</si>
  <si>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</si>
  <si>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</si>
  <si>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</si>
  <si>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</si>
  <si>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</si>
  <si>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</si>
  <si>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</si>
  <si>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</si>
  <si>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</si>
  <si>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</si>
  <si>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</si>
  <si>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</si>
  <si>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</si>
  <si>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</si>
  <si>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</si>
  <si>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</si>
  <si>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</si>
  <si>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</si>
  <si>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</si>
  <si>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</si>
  <si>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</si>
  <si>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</si>
  <si>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</si>
  <si>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</si>
  <si>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</si>
  <si>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</si>
  <si>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</si>
  <si>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</si>
  <si>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</si>
  <si>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</si>
  <si>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</si>
  <si>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</si>
  <si>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</si>
  <si>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</si>
  <si>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</si>
  <si>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</si>
  <si>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</si>
  <si>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</si>
  <si>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</si>
  <si>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</si>
  <si>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</si>
  <si>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</si>
  <si>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</si>
  <si>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</si>
  <si>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</si>
  <si>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</si>
  <si>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</si>
  <si>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</si>
  <si>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</si>
  <si>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</si>
  <si>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</si>
  <si>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</si>
  <si>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</si>
  <si>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</si>
  <si>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</si>
  <si>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</si>
  <si>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</si>
  <si>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</si>
  <si>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</si>
  <si>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</si>
  <si>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</si>
  <si>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</si>
  <si>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</si>
  <si>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</si>
  <si>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</si>
  <si>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</si>
  <si>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</si>
  <si>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</si>
  <si>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</si>
  <si>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</si>
  <si>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</si>
  <si>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</si>
  <si>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</si>
  <si>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</si>
  <si>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</si>
  <si>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</si>
  <si>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</si>
  <si>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</si>
  <si>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</si>
  <si>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</si>
  <si>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</si>
  <si>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</si>
  <si>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</si>
  <si>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</si>
  <si>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</si>
  <si>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</si>
  <si>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</si>
  <si>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</si>
  <si>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</si>
  <si>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</si>
  <si>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</si>
  <si>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</si>
  <si>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</si>
  <si>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</si>
  <si>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</si>
  <si>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</si>
  <si>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</si>
  <si>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</si>
  <si>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</si>
  <si>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</si>
  <si>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</si>
  <si>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</si>
  <si>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</si>
  <si>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</si>
  <si>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</si>
  <si>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</si>
  <si>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</si>
  <si>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</si>
  <si>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</si>
  <si>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</si>
  <si>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</si>
  <si>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</si>
  <si>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</si>
  <si>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</si>
  <si>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</si>
  <si>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</si>
  <si>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</si>
  <si>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</si>
  <si>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</si>
  <si>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</si>
  <si>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</si>
  <si>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</si>
  <si>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</si>
  <si>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</si>
  <si>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</si>
  <si>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</si>
  <si>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</si>
  <si>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</si>
  <si>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</si>
  <si>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</si>
  <si>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</si>
  <si>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</si>
  <si>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</si>
  <si>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</si>
  <si>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</si>
  <si>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</si>
  <si>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</si>
  <si>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</si>
  <si>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</si>
  <si>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</si>
  <si>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</si>
  <si>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</si>
  <si>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</si>
  <si>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</si>
  <si>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</si>
  <si>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</si>
  <si>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</si>
  <si>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</si>
  <si>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</si>
  <si>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</si>
  <si>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</si>
  <si>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</si>
  <si>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</si>
  <si>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</si>
  <si>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</si>
  <si>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</si>
  <si>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</si>
  <si>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</si>
  <si>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</si>
  <si>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</si>
  <si>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</si>
  <si>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</si>
  <si>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</si>
  <si>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</si>
  <si>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</si>
  <si>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</si>
  <si>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</si>
  <si>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</si>
  <si>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</si>
  <si>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</si>
  <si>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</si>
  <si>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</si>
  <si>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</si>
  <si>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</si>
  <si>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</si>
  <si>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</si>
  <si>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</si>
  <si>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</si>
  <si>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</si>
  <si>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</si>
  <si>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</si>
  <si>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</si>
  <si>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</si>
  <si>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</si>
  <si>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</si>
  <si>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</si>
  <si>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</si>
  <si>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</si>
  <si>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</si>
  <si>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</si>
  <si>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</si>
  <si>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</si>
  <si>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</si>
  <si>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</si>
  <si>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</si>
  <si>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</si>
  <si>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</si>
  <si>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</si>
  <si>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</si>
  <si>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</si>
  <si>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</si>
  <si>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</si>
  <si>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</si>
  <si>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</si>
  <si>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</si>
  <si>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</si>
  <si>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</si>
  <si>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</si>
  <si>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</si>
  <si>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</si>
  <si>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</si>
  <si>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</si>
  <si>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</si>
  <si>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</si>
  <si>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</si>
  <si>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</si>
  <si>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</si>
  <si>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</si>
  <si>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</si>
  <si>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</si>
  <si>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</si>
  <si>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</si>
  <si>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</si>
  <si>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</si>
  <si>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</si>
  <si>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</si>
  <si>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</si>
  <si>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</si>
  <si>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</si>
  <si>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</si>
  <si>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</si>
  <si>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</si>
  <si>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</si>
  <si>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</si>
  <si>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</si>
  <si>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</si>
  <si>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</si>
  <si>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</si>
  <si>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</si>
  <si>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</si>
  <si>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</si>
  <si>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</si>
  <si>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</si>
  <si>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</si>
  <si>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</si>
  <si>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</si>
  <si>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</si>
  <si>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</si>
  <si>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</si>
  <si>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</si>
  <si>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</si>
  <si>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</si>
  <si>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</si>
  <si>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</si>
  <si>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</si>
  <si>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</si>
  <si>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</si>
  <si>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</si>
  <si>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</si>
  <si>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</si>
  <si>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</si>
  <si>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</si>
  <si>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</si>
  <si>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</si>
  <si>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</si>
  <si>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</si>
  <si>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</si>
  <si>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</si>
  <si>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</si>
  <si>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</si>
  <si>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</si>
  <si>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</si>
  <si>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</si>
  <si>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</si>
  <si>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</si>
  <si>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</si>
  <si>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</si>
  <si>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</si>
  <si>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</si>
  <si>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</si>
  <si>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</si>
  <si>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</si>
  <si>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</si>
  <si>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</si>
  <si>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</si>
  <si>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</si>
  <si>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</si>
  <si>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</si>
  <si>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</si>
  <si>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</si>
  <si>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</si>
  <si>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</si>
  <si>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</si>
  <si>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</si>
  <si>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</si>
  <si>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</si>
  <si>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</si>
  <si>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</si>
  <si>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</si>
  <si>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</si>
  <si>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</si>
  <si>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</si>
  <si>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</si>
  <si>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</si>
  <si>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</si>
  <si>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</si>
  <si>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</si>
  <si>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</si>
  <si>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</si>
  <si>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</si>
  <si>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</si>
  <si>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</si>
  <si>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</si>
  <si>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</si>
  <si>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</si>
  <si>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</si>
  <si>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</si>
  <si>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</si>
  <si>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</si>
  <si>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</si>
  <si>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</si>
  <si>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</si>
  <si>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</si>
  <si>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</si>
  <si>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</si>
  <si>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</si>
  <si>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</si>
  <si>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</si>
  <si>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</si>
  <si>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</si>
  <si>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</si>
  <si>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</si>
  <si>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</si>
  <si>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</si>
  <si>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</si>
  <si>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</si>
  <si>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</si>
  <si>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</si>
  <si>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</si>
  <si>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</si>
  <si>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</si>
  <si>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</si>
  <si>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</si>
  <si>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</si>
  <si>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</si>
  <si>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</si>
  <si>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</si>
  <si>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</si>
  <si>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</si>
  <si>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</si>
  <si>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</si>
  <si>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</si>
  <si>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</si>
  <si>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</si>
  <si>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</si>
  <si>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</si>
  <si>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</si>
  <si>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</si>
  <si>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</si>
  <si>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</si>
  <si>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</si>
  <si>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</si>
  <si>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</si>
  <si>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</si>
  <si>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</si>
  <si>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</si>
  <si>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</si>
  <si>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</si>
  <si>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</si>
  <si>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</si>
  <si>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</si>
  <si>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</si>
  <si>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</si>
  <si>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</si>
  <si>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</si>
  <si>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</si>
  <si>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</si>
  <si>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</si>
  <si>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</si>
  <si>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</si>
  <si>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</si>
  <si>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</si>
  <si>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</si>
  <si>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</si>
  <si>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</si>
  <si>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</si>
  <si>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</si>
  <si>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</si>
  <si>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</si>
  <si>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</si>
  <si>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</si>
  <si>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</si>
  <si>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</si>
  <si>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</si>
  <si>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</si>
  <si>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</si>
  <si>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</si>
  <si>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</si>
  <si>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</si>
  <si>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</si>
  <si>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</si>
  <si>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</si>
  <si>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</si>
  <si>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</si>
  <si>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</si>
  <si>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</si>
  <si>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</si>
  <si>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</si>
  <si>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</si>
  <si>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</si>
  <si>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</si>
  <si>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</si>
  <si>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</si>
  <si>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</si>
  <si>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</si>
  <si>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</si>
  <si>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</si>
  <si>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</si>
  <si>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</si>
  <si>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</si>
  <si>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</si>
  <si>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</si>
  <si>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</si>
  <si>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</si>
  <si>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</si>
  <si>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</si>
  <si>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</si>
  <si>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</si>
  <si>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</si>
  <si>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</si>
  <si>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</si>
  <si>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</si>
  <si>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</si>
  <si>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</si>
  <si>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</si>
  <si>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</si>
  <si>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</si>
  <si>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</si>
  <si>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</si>
  <si>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</si>
  <si>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</si>
  <si>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</si>
  <si>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</si>
  <si>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</si>
  <si>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</si>
  <si>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</si>
  <si>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</si>
  <si>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</si>
  <si>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</si>
  <si>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</si>
  <si>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</si>
  <si>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</si>
  <si>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</si>
  <si>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</si>
  <si>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</si>
  <si>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</si>
  <si>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</si>
  <si>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</si>
  <si>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</si>
  <si>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</si>
  <si>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</si>
  <si>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</si>
  <si>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</si>
  <si>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</si>
  <si>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</si>
  <si>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</si>
  <si>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</si>
  <si>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</si>
  <si>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</si>
  <si>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</si>
  <si>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</si>
  <si>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</si>
  <si>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</si>
  <si>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</si>
  <si>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</si>
  <si>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</si>
  <si>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</si>
  <si>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</si>
  <si>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</si>
  <si>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</si>
  <si>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</si>
  <si>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</si>
  <si>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</si>
  <si>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</si>
  <si>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</si>
  <si>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</si>
  <si>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</si>
  <si>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</si>
  <si>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</si>
  <si>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</si>
  <si>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</si>
  <si>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</si>
  <si>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</si>
  <si>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</si>
  <si>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</si>
  <si>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</si>
  <si>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</si>
  <si>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</si>
  <si>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</si>
  <si>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</si>
  <si>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</si>
  <si>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</si>
  <si>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</si>
  <si>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</si>
  <si>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</si>
  <si>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</si>
  <si>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</si>
  <si>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</si>
  <si>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</si>
  <si>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</si>
  <si>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</si>
  <si>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</si>
  <si>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</si>
  <si>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</si>
  <si>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</si>
  <si>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</si>
  <si>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</si>
  <si>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</si>
  <si>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</si>
  <si>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</si>
  <si>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</si>
  <si>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</si>
  <si>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</si>
  <si>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</si>
  <si>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</si>
  <si>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</si>
  <si>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</si>
  <si>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</si>
  <si>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</si>
  <si>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</si>
  <si>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</si>
  <si>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</si>
  <si>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</si>
  <si>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</si>
  <si>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</si>
  <si>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</si>
  <si>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</si>
  <si>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</si>
  <si>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</si>
  <si>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</si>
  <si>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</si>
  <si>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</si>
  <si>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</si>
  <si>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</si>
  <si>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</si>
  <si>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</si>
  <si>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</si>
  <si>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</si>
  <si>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</si>
  <si>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</si>
  <si>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</si>
  <si>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</si>
  <si>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</si>
  <si>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</si>
  <si>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</si>
  <si>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</si>
  <si>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</si>
  <si>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</si>
  <si>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</si>
  <si>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</si>
  <si>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</si>
  <si>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</si>
  <si>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</si>
  <si>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</si>
  <si>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</si>
  <si>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</si>
  <si>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</si>
  <si>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</si>
  <si>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</si>
  <si>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</si>
  <si>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</si>
  <si>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</si>
  <si>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</si>
  <si>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</si>
  <si>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</si>
  <si>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</si>
  <si>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</si>
  <si>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</si>
  <si>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</si>
  <si>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</si>
  <si>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</si>
  <si>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</si>
  <si>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</si>
  <si>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</si>
  <si>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</si>
  <si>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</si>
  <si>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</si>
  <si>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</si>
  <si>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</si>
  <si>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</si>
  <si>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</si>
  <si>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</si>
  <si>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</si>
  <si>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</si>
  <si>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</si>
  <si>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</si>
  <si>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</si>
  <si>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</si>
  <si>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</si>
  <si>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</si>
  <si>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</si>
  <si>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</si>
  <si>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</si>
  <si>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</si>
  <si>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</si>
  <si>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</si>
  <si>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</si>
  <si>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</si>
  <si>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</si>
  <si>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</si>
  <si>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</si>
  <si>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</si>
  <si>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</si>
  <si>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</si>
  <si>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</si>
  <si>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</si>
  <si>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</si>
  <si>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</si>
  <si>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</si>
  <si>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</si>
  <si>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</si>
  <si>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</si>
  <si>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</si>
  <si>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</si>
  <si>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</si>
  <si>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</si>
  <si>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</si>
  <si>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</si>
  <si>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</si>
  <si>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</si>
  <si>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</si>
  <si>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</si>
  <si>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</si>
  <si>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</si>
  <si>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</si>
  <si>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</si>
  <si>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</si>
  <si>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</si>
  <si>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</si>
  <si>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</si>
  <si>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</si>
  <si>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</si>
  <si>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</si>
  <si>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</si>
  <si>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</si>
  <si>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</si>
  <si>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</si>
  <si>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</si>
  <si>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</si>
  <si>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</si>
  <si>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</si>
  <si>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</si>
  <si>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</si>
  <si>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</si>
  <si>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</si>
  <si>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</si>
  <si>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</si>
  <si>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</si>
  <si>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</si>
  <si>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</si>
  <si>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</si>
  <si>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</si>
  <si>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</si>
  <si>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</si>
  <si>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</si>
  <si>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</si>
  <si>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</si>
  <si>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</si>
  <si>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</si>
  <si>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</si>
  <si>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</si>
  <si>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</si>
  <si>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</si>
  <si>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</si>
  <si>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</si>
  <si>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</si>
  <si>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</si>
  <si>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</si>
  <si>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</si>
  <si>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</si>
  <si>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</si>
  <si>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</si>
  <si>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</si>
  <si>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</si>
  <si>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</si>
  <si>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</si>
  <si>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</si>
  <si>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</si>
  <si>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</si>
  <si>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</si>
  <si>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</si>
  <si>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</si>
  <si>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</si>
  <si>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</si>
  <si>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</si>
  <si>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</si>
  <si>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</si>
  <si>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</si>
  <si>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</si>
  <si>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</si>
  <si>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</si>
  <si>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</si>
  <si>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</si>
  <si>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</si>
  <si>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</si>
  <si>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</si>
  <si>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</si>
  <si>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</si>
  <si>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</si>
  <si>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</si>
  <si>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</si>
  <si>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</si>
  <si>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</si>
  <si>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</si>
  <si>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</si>
  <si>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</si>
  <si>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</si>
  <si>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</si>
  <si>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</si>
  <si>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</si>
  <si>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</si>
  <si>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</si>
  <si>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</si>
  <si>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</si>
  <si>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</si>
  <si>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</si>
  <si>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</si>
  <si>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</si>
  <si>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</si>
  <si>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</si>
  <si>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</si>
  <si>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</si>
  <si>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</si>
  <si>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</si>
  <si>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</si>
  <si>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</si>
  <si>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</si>
  <si>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</si>
  <si>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</si>
  <si>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</si>
  <si>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</si>
  <si>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</si>
  <si>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</si>
  <si>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</si>
  <si>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</si>
  <si>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</si>
  <si>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</si>
  <si>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</si>
  <si>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</si>
  <si>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</si>
  <si>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</si>
  <si>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</si>
  <si>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</si>
  <si>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</si>
  <si>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</si>
  <si>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</si>
  <si>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</si>
  <si>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</si>
  <si>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</si>
  <si>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</si>
  <si>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</si>
  <si>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</si>
  <si>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</si>
  <si>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</si>
  <si>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</si>
  <si>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</si>
  <si>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</si>
  <si>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</si>
  <si>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</si>
  <si>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</si>
  <si>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</si>
  <si>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</si>
  <si>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</si>
  <si>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</si>
  <si>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</si>
  <si>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</si>
  <si>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</si>
  <si>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</si>
  <si>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</si>
  <si>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</si>
  <si>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</si>
  <si>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</si>
  <si>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</si>
  <si>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</si>
  <si>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</si>
  <si>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</si>
  <si>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</si>
  <si>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</si>
  <si>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</si>
  <si>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</si>
  <si>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</si>
  <si>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</si>
  <si>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</si>
  <si>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</si>
  <si>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</si>
  <si>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</si>
  <si>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</si>
  <si>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</si>
  <si>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</si>
  <si>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</si>
  <si>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</si>
  <si>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</si>
  <si>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</si>
  <si>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</si>
  <si>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</si>
  <si>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</si>
  <si>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</si>
  <si>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</si>
  <si>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</si>
  <si>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</si>
  <si>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</si>
  <si>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</si>
  <si>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</si>
  <si>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</si>
  <si>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</si>
  <si>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</si>
  <si>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</si>
  <si>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</si>
  <si>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</si>
  <si>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</si>
  <si>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</si>
  <si>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</si>
  <si>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</si>
  <si>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</si>
  <si>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</si>
  <si>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</si>
  <si>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</si>
  <si>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</si>
  <si>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</si>
  <si>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</si>
  <si>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</si>
  <si>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</si>
  <si>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</si>
  <si>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</si>
  <si>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</si>
  <si>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</si>
  <si>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</si>
  <si>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</si>
  <si>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</si>
  <si>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</si>
  <si>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</si>
  <si>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</si>
  <si>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</si>
  <si>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</si>
  <si>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</si>
  <si>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</si>
  <si>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</si>
  <si>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</si>
  <si>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</si>
  <si>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</si>
  <si>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</si>
  <si>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</si>
  <si>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</si>
  <si>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</si>
  <si>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</si>
  <si>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</si>
  <si>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</si>
  <si>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</si>
  <si>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</si>
  <si>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</si>
  <si>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</si>
  <si>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</si>
  <si>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</si>
  <si>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</si>
  <si>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</si>
  <si>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</si>
  <si>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</si>
  <si>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</si>
  <si>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</si>
  <si>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</si>
  <si>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</si>
  <si>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</si>
  <si>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</si>
  <si>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</si>
  <si>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</si>
  <si>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</si>
  <si>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</si>
  <si>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</si>
  <si>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</si>
  <si>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</si>
  <si>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</si>
  <si>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</si>
  <si>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</si>
  <si>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</si>
  <si>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</si>
  <si>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</si>
  <si>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</si>
  <si>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</si>
  <si>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</si>
  <si>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</si>
  <si>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</si>
  <si>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</si>
  <si>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</si>
  <si>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</si>
  <si>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</si>
  <si>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</si>
  <si>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</si>
  <si>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</si>
  <si>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</si>
  <si>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</si>
  <si>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</si>
  <si>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</si>
  <si>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</si>
  <si>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</si>
  <si>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</si>
  <si>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</si>
  <si>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</si>
  <si>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</si>
  <si>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</si>
  <si>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</si>
  <si>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</si>
  <si>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</si>
  <si>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</si>
  <si>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</si>
  <si>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</si>
  <si>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</si>
  <si>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</si>
  <si>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</si>
  <si>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</si>
  <si>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</si>
  <si>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</si>
  <si>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</si>
  <si>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</si>
  <si>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</si>
  <si>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</si>
  <si>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</si>
  <si>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</si>
  <si>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</si>
  <si>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</si>
  <si>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</si>
  <si>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</si>
  <si>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</si>
  <si>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</si>
  <si>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</si>
  <si>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</si>
  <si>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</si>
  <si>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</si>
  <si>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</si>
  <si>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</si>
  <si>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</si>
  <si>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</si>
  <si>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</si>
  <si>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</si>
  <si>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</si>
  <si>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</si>
  <si>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</si>
  <si>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</si>
  <si>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</si>
  <si>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</si>
  <si>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</si>
  <si>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</si>
  <si>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</si>
  <si>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</si>
  <si>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</si>
  <si>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</si>
  <si>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</si>
  <si>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</si>
  <si>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</si>
  <si>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</si>
  <si>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</si>
  <si>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</si>
  <si>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</si>
  <si>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</si>
  <si>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</si>
  <si>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</si>
  <si>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</si>
  <si>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</si>
  <si>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</si>
  <si>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</si>
  <si>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</si>
  <si>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</si>
  <si>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</si>
  <si>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</si>
  <si>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</si>
  <si>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</si>
  <si>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</si>
  <si>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</si>
  <si>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</si>
  <si>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</si>
  <si>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</si>
  <si>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</si>
  <si>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</si>
  <si>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</si>
  <si>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</si>
  <si>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</si>
  <si>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</si>
  <si>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</si>
  <si>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</si>
  <si>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</si>
  <si>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</si>
  <si>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</si>
  <si>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</si>
  <si>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</si>
  <si>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</si>
  <si>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</si>
  <si>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</si>
  <si>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</si>
  <si>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</si>
  <si>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</si>
  <si>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</si>
  <si>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</si>
  <si>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</si>
  <si>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</si>
  <si>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</si>
  <si>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</si>
  <si>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</si>
  <si>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</si>
  <si>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</si>
  <si>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</si>
  <si>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</si>
  <si>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</si>
  <si>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</si>
  <si>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</si>
  <si>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</si>
  <si>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</si>
  <si>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</si>
  <si>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</si>
  <si>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</si>
  <si>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</si>
  <si>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</si>
  <si>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</si>
  <si>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</si>
  <si>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</si>
  <si>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</si>
  <si>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</si>
  <si>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</si>
  <si>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</si>
  <si>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</si>
  <si>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</si>
  <si>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</si>
  <si>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</si>
  <si>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</si>
  <si>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</si>
  <si>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</si>
  <si>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</si>
  <si>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</si>
  <si>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</si>
  <si>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</si>
  <si>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</si>
  <si>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</si>
  <si>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</si>
  <si>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</si>
  <si>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</si>
  <si>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</si>
  <si>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</si>
  <si>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</si>
  <si>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</si>
  <si>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</si>
  <si>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</si>
  <si>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</si>
  <si>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</si>
  <si>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</si>
  <si>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</si>
  <si>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</si>
  <si>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</si>
  <si>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</si>
  <si>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</si>
  <si>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</si>
  <si>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</si>
  <si>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</si>
  <si>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</si>
  <si>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</si>
  <si>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</si>
  <si>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</si>
  <si>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</si>
  <si>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</si>
  <si>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</si>
  <si>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</si>
  <si>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</si>
  <si>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</si>
  <si>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</si>
  <si>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</si>
  <si>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</si>
  <si>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</si>
  <si>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</si>
  <si>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</si>
  <si>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</si>
  <si>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</si>
  <si>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</si>
  <si>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</si>
  <si>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</si>
  <si>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</si>
  <si>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</si>
  <si>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</si>
  <si>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</si>
  <si>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</si>
  <si>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</si>
  <si>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</si>
  <si>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</si>
  <si>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</si>
  <si>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</si>
  <si>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</si>
  <si>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</si>
  <si>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</si>
  <si>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</si>
  <si>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</si>
  <si>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</si>
  <si>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</si>
  <si>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</si>
  <si>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</si>
  <si>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</si>
  <si>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</si>
  <si>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</si>
  <si>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</si>
  <si>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</si>
  <si>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</si>
  <si>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</si>
  <si>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</si>
  <si>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</si>
  <si>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</si>
  <si>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</si>
  <si>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</si>
  <si>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</si>
  <si>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</si>
  <si>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</si>
  <si>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</si>
  <si>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Messi</t>
  </si>
  <si>
    <t>Argentiina</t>
  </si>
  <si>
    <t>Saudi Araabia</t>
  </si>
  <si>
    <t>Taani</t>
  </si>
  <si>
    <t>Neymar</t>
  </si>
  <si>
    <t>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</si>
</sst>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0" fillId="12" borderId="0" xfId="0" applyFill="1" applyAlignment="1">
      <alignment horizontal="left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51</xdr:row>
      <xdr:rowOff>804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G15" sqref="G15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zoomScale="70" zoomScaleNormal="70" workbookViewId="0">
      <selection activeCell="BU27" sqref="BU27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3</v>
      </c>
      <c r="AH8" s="47">
        <f>(AF8-AG8)*100+AK8*10000+AF8</f>
        <v>60104</v>
      </c>
      <c r="AI8" s="47">
        <f>AF8-AG8</f>
        <v>1</v>
      </c>
      <c r="AJ8" s="47">
        <f>(AI8-AI13)/AI12</f>
        <v>0.5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654.00079208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9 - 1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7</v>
      </c>
      <c r="AH9" s="47">
        <f>(AF9-AG9)*100+AK9*10000+AF9</f>
        <v>-700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1</v>
      </c>
      <c r="V10" s="47">
        <f t="shared" si="6"/>
        <v>1</v>
      </c>
      <c r="W10" s="47">
        <f t="shared" si="7"/>
        <v>1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29803</v>
      </c>
      <c r="AI10" s="47">
        <f>AF10-AG10</f>
        <v>-2</v>
      </c>
      <c r="AJ10" s="47">
        <f>(AI10-AI13)/AI12</f>
        <v>0.3125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334.25072649999998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1</v>
      </c>
      <c r="AH11" s="47">
        <f>(AF11-AG11)*100+AK11*10000+AF11</f>
        <v>90809</v>
      </c>
      <c r="AI11" s="47">
        <f>AF11-AG11</f>
        <v>8</v>
      </c>
      <c r="AJ11" s="47">
        <f>(AI11-AI13)/AI12</f>
        <v>0.9375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1002.75082933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10</v>
      </c>
      <c r="AG12" s="47">
        <f t="shared" si="10"/>
        <v>7</v>
      </c>
      <c r="AH12" s="47">
        <f>MAX(AH8:AH11)-AH13+1</f>
        <v>91510</v>
      </c>
      <c r="AI12" s="47">
        <f>MAX(AI8:AI11)-AI13+1</f>
        <v>16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-700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4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1000.9099719090909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6</v>
      </c>
      <c r="AH15" s="47">
        <f>(AF15-AG15)*100+AK15*10000+AF15</f>
        <v>-499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1.4293534285714287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4</v>
      </c>
      <c r="AH16" s="47">
        <f>(AF16-AG16)*100+AK16*10000+AF16</f>
        <v>40004</v>
      </c>
      <c r="AI16" s="47">
        <f>AF16-AG16</f>
        <v>0</v>
      </c>
      <c r="AJ16" s="47">
        <f>(AI16-AI19)/AI18</f>
        <v>0.45454545454545453</v>
      </c>
      <c r="AK16" s="47">
        <f>AC16*3+AD16</f>
        <v>4</v>
      </c>
      <c r="AL16" s="47">
        <f>AP16/AP18*1000+AQ16/AQ18*100+AT16/AT18*10+AR16/AR18</f>
        <v>50.5</v>
      </c>
      <c r="AM16" s="47">
        <f>VLOOKUP(AB16,db_fifarank,2,FALSE)/2000000</f>
        <v>8.1685999999999998E-4</v>
      </c>
      <c r="AN16" s="48">
        <f>1000*AK16/AK18+100*AJ16+10*AF16/AF18+1*AL16/AL18+AM16</f>
        <v>452.15023055310297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1</v>
      </c>
      <c r="AR16" s="47">
        <f>SUMPRODUCT(($E$7:$E$54=AB16)*($U$7:$U$54)*($F$7:$F$54))+SUMPRODUCT(($H$7:$H$54=AB16)*($U$7:$U$54)*($G$7:$G$54))</f>
        <v>1</v>
      </c>
      <c r="AS16" s="47">
        <f>SUMPRODUCT(($E$7:$E$54=AB16)*($U$7:$U$54)*($G$7:$G$54))+SUMPRODUCT(($H$7:$H$54=AB16)*($U$7:$U$54)*($F$7:$F$54))</f>
        <v>1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4 - 4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4</v>
      </c>
      <c r="AH17" s="47">
        <f>(AF17-AG17)*100+AK17*10000+AF17</f>
        <v>40004</v>
      </c>
      <c r="AI17" s="47">
        <f>AF17-AG17</f>
        <v>0</v>
      </c>
      <c r="AJ17" s="47">
        <f>(AI17-AI19)/AI18</f>
        <v>0.45454545454545453</v>
      </c>
      <c r="AK17" s="47">
        <f>AC17*3+AD17</f>
        <v>4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452.15020475810297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5</v>
      </c>
      <c r="AH18" s="47">
        <f>MAX(AH14:AH17)-AH19+1</f>
        <v>91007</v>
      </c>
      <c r="AI18" s="47">
        <f>MAX(AI14:AI17)-AI19+1</f>
        <v>11</v>
      </c>
      <c r="AK18" s="47">
        <f t="shared" si="11"/>
        <v>10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1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-499</v>
      </c>
      <c r="AI19" s="47">
        <f>MIN(AI14:AI17)</f>
        <v>-5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2</v>
      </c>
      <c r="AH20" s="47">
        <f>(AF20-AG20)*100+AK20*10000+AF20</f>
        <v>90810</v>
      </c>
      <c r="AI20" s="47">
        <f>AF20-AG20</f>
        <v>8</v>
      </c>
      <c r="AJ20" s="47">
        <f>(AI20-AI25)/AI24</f>
        <v>0.94117647058823528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1003.2094386497326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8</v>
      </c>
      <c r="AH21" s="47">
        <f>(AF21-AG21)*100+AK21*10000+AF21</f>
        <v>-800</v>
      </c>
      <c r="AI21" s="47">
        <f>AF21-AG21</f>
        <v>-8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4</v>
      </c>
      <c r="AH22" s="47">
        <f>(AF22-AG22)*100+AK22*10000+AF22</f>
        <v>60105</v>
      </c>
      <c r="AI22" s="47">
        <f>AF22-AG22</f>
        <v>1</v>
      </c>
      <c r="AJ22" s="47">
        <f>(AI22-AI25)/AI24</f>
        <v>0.52941176470588236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657.48746042604284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>
        <v>2</v>
      </c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5</v>
      </c>
      <c r="AH23" s="47">
        <f>(AF23-AG23)*100+AK23*10000+AF23</f>
        <v>29904</v>
      </c>
      <c r="AI23" s="47">
        <f>AF23-AG23</f>
        <v>-1</v>
      </c>
      <c r="AJ23" s="47">
        <f>(AI23-AI25)/AI24</f>
        <v>0.41176470588235292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344.81360622459891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Portugal</v>
      </c>
      <c r="BA23" s="85">
        <v>1</v>
      </c>
      <c r="BB23" s="87">
        <v>1</v>
      </c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11</v>
      </c>
      <c r="AG24" s="47">
        <f t="shared" si="12"/>
        <v>7</v>
      </c>
      <c r="AH24" s="47">
        <f>MAX(AH20:AH23)-AH25+1</f>
        <v>91611</v>
      </c>
      <c r="AI24" s="47">
        <f>MAX(AI20:AI23)-AI25+1</f>
        <v>17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1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-800</v>
      </c>
      <c r="AI25" s="47">
        <f>MIN(AI20:AI23)</f>
        <v>-8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1</v>
      </c>
      <c r="AH26" s="47">
        <f>(AF26-AG26)*100+AK26*10000+AF26</f>
        <v>90809</v>
      </c>
      <c r="AI26" s="47">
        <f>AF26-AG26</f>
        <v>8</v>
      </c>
      <c r="AJ26" s="47">
        <f>(AI26-AI31)/AI30</f>
        <v>0.9285714285714286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1102.8580378571428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1</v>
      </c>
      <c r="W27" s="47">
        <f t="shared" si="7"/>
        <v>1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6</v>
      </c>
      <c r="AH27" s="47">
        <f>(AF27-AG27)*100+AK27*10000+AF27</f>
        <v>9501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50.5</v>
      </c>
      <c r="AM27" s="47">
        <f>VLOOKUP(AB27,db_fifarank,2,FALSE)/2000000</f>
        <v>7.4186499999999997E-4</v>
      </c>
      <c r="AN27" s="48">
        <f>1000*AK27/AK30+100*AJ27+10*AF27/AF30+1*AL27/AL30+AM27</f>
        <v>113.20354661149406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1</v>
      </c>
      <c r="AS27" s="47">
        <f>SUMPRODUCT(($E$7:$E$54=AB27)*($U$7:$U$54)*($G$7:$G$54))+SUMPRODUCT(($H$7:$H$54=AB27)*($U$7:$U$54)*($F$7:$F$54))</f>
        <v>1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4 - 2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4</v>
      </c>
      <c r="AG28" s="47">
        <f>SUMIF($E$7:$E$54,$AB28,$G$7:$G$54) + SUMIF($H$7:$H$54,$AB28,$F$7:$F$54)</f>
        <v>2</v>
      </c>
      <c r="AH28" s="47">
        <f>(AF28-AG28)*100+AK28*10000+AF28</f>
        <v>60204</v>
      </c>
      <c r="AI28" s="47">
        <f>AF28-AG28</f>
        <v>2</v>
      </c>
      <c r="AJ28" s="47">
        <f>(AI28-AI31)/AI30</f>
        <v>0.5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721.11193791111111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>
        <v>1</v>
      </c>
      <c r="BJ28" s="27">
        <v>3</v>
      </c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6</v>
      </c>
      <c r="AH29" s="47">
        <f>(AF29-AG29)*100+AK29*10000+AF29</f>
        <v>9501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50.5</v>
      </c>
      <c r="AM29" s="47">
        <f>VLOOKUP(AB29,db_fifarank,2,FALSE)/2000000</f>
        <v>7.4989999999999996E-4</v>
      </c>
      <c r="AN29" s="48">
        <f>1000*AK29/AK30+100*AJ29+10*AF29/AF30+1*AL29/AL30+AM29</f>
        <v>113.20355464649407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1</v>
      </c>
      <c r="AS29" s="47">
        <f>SUMPRODUCT(($E$7:$E$54=AB29)*($U$7:$U$54)*($G$7:$G$54))+SUMPRODUCT(($H$7:$H$54=AB29)*($U$7:$U$54)*($F$7:$F$54))</f>
        <v>1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>
        <v>1</v>
      </c>
      <c r="BJ29" s="30">
        <v>4</v>
      </c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6</v>
      </c>
      <c r="AH30" s="47">
        <f>MAX(AH26:AH29)-AH31+1</f>
        <v>81309</v>
      </c>
      <c r="AI30" s="47">
        <f>MAX(AI26:AI29)-AI31+1</f>
        <v>14</v>
      </c>
      <c r="AK30" s="47">
        <f t="shared" si="13"/>
        <v>9</v>
      </c>
      <c r="AL30" s="47">
        <f t="shared" si="13"/>
        <v>51.5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2</v>
      </c>
      <c r="AS30" s="47">
        <f>MAX(AS26:AS29)-MIN(AS26:AS29)+1</f>
        <v>2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9501</v>
      </c>
      <c r="AI31" s="47">
        <f>MIN(AI26:AI29)</f>
        <v>-5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2</v>
      </c>
      <c r="AH32" s="47">
        <f>(AF32-AG32)*100+AK32*10000+AF32</f>
        <v>60406</v>
      </c>
      <c r="AI32" s="47">
        <f>AF32-AG32</f>
        <v>4</v>
      </c>
      <c r="AJ32" s="47">
        <f>(AI32-AI37)/AI36</f>
        <v>0.8571428571428571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693.21514021428561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3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8</v>
      </c>
      <c r="AH33" s="47">
        <f>(AF33-AG33)*100+AK33*10000+AF33</f>
        <v>-800</v>
      </c>
      <c r="AI33" s="47">
        <f>AF33-AG33</f>
        <v>-8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Uruguay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6 - 2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2</v>
      </c>
      <c r="AH34" s="47">
        <f>(AF34-AG34)*100+AK34*10000+AF34</f>
        <v>90507</v>
      </c>
      <c r="AI34" s="47">
        <f>AF34-AG34</f>
        <v>5</v>
      </c>
      <c r="AJ34" s="47">
        <f>(AI34-AI37)/AI36</f>
        <v>0.9285714285714286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1001.6079681221429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0</v>
      </c>
      <c r="BB34" s="86">
        <v>0</v>
      </c>
      <c r="BC34" s="27">
        <v>3</v>
      </c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3 - 4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4</v>
      </c>
      <c r="AH35" s="47">
        <f>(AF35-AG35)*100+AK35*10000+AF35</f>
        <v>29903</v>
      </c>
      <c r="AI35" s="47">
        <f>AF35-AG35</f>
        <v>-1</v>
      </c>
      <c r="AJ35" s="47">
        <f>(AI35-AI37)/AI36</f>
        <v>0.5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353.75077671999998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0</v>
      </c>
      <c r="BB35" s="87">
        <v>0</v>
      </c>
      <c r="BC35" s="30">
        <v>4</v>
      </c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0 - 8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8</v>
      </c>
      <c r="AG36" s="47">
        <f t="shared" si="14"/>
        <v>7</v>
      </c>
      <c r="AH36" s="47">
        <f>MAX(AH32:AH35)-AH37+1</f>
        <v>91308</v>
      </c>
      <c r="AI36" s="47">
        <f>MAX(AI32:AI35)-AI37+1</f>
        <v>14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Uruguay</v>
      </c>
      <c r="BV36" s="85">
        <v>0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2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-800</v>
      </c>
      <c r="AI37" s="47">
        <f>MIN(AI32:AI35)</f>
        <v>-8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Uruguay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0</v>
      </c>
      <c r="AH38" s="47">
        <f>(AF38-AG38)*100+AK38*10000+AF38</f>
        <v>90707</v>
      </c>
      <c r="AI38" s="47">
        <f>AF38-AG38</f>
        <v>7</v>
      </c>
      <c r="AJ38" s="47">
        <f>(AI38-AI43)/AI42</f>
        <v>0.92307692307692313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1101.0586058076924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Uruguay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7 - 0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3</v>
      </c>
      <c r="AH39" s="47">
        <f>(AF39-AG39)*100+AK39*10000+AF39</f>
        <v>9700</v>
      </c>
      <c r="AI39" s="47">
        <f>AF39-AG39</f>
        <v>-3</v>
      </c>
      <c r="AJ39" s="47">
        <f>(AI39-AI43)/AI42</f>
        <v>0.15384615384615385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126.4964659957265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3 - 2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5</v>
      </c>
      <c r="AH40" s="47">
        <f>(AF40-AG40)*100+AK40*10000+AF40</f>
        <v>9500</v>
      </c>
      <c r="AI40" s="47">
        <f>AF40-AG40</f>
        <v>-5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111.11188705111111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0 - 3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3</v>
      </c>
      <c r="AG41" s="47">
        <f>SUMIF($E$7:$E$54,$AB41,$G$7:$G$54) + SUMIF($H$7:$H$54,$AB41,$F$7:$F$54)</f>
        <v>2</v>
      </c>
      <c r="AH41" s="47">
        <f>(AF41-AG41)*100+AK41*10000+AF41</f>
        <v>60103</v>
      </c>
      <c r="AI41" s="47">
        <f>AF41-AG41</f>
        <v>1</v>
      </c>
      <c r="AJ41" s="47">
        <f>(AI41-AI43)/AI42</f>
        <v>0.46153846153846156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716.57132337551286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0 - 5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8</v>
      </c>
      <c r="AG42" s="47">
        <f t="shared" si="15"/>
        <v>6</v>
      </c>
      <c r="AH42" s="47">
        <f>MAX(AH38:AH41)-AH43+1</f>
        <v>81208</v>
      </c>
      <c r="AI42" s="47">
        <f>MAX(AI38:AI41)-AI43+1</f>
        <v>13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9500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1002.8580592021428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2</v>
      </c>
      <c r="AH45" s="47">
        <f>(AF45-AG45)*100+AK45*10000+AF45</f>
        <v>60002</v>
      </c>
      <c r="AI45" s="47">
        <f>AF45-AG45</f>
        <v>0</v>
      </c>
      <c r="AJ45" s="47">
        <f>(AI45-AI49)/AI48</f>
        <v>0.42857142857142855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645.08013884436502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2 - 2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4</v>
      </c>
      <c r="AG46" s="47">
        <f>SUMIF($E$7:$E$54,$AB46,$G$7:$G$54) + SUMIF($H$7:$H$54,$AB46,$F$7:$F$54)</f>
        <v>5</v>
      </c>
      <c r="AH46" s="47">
        <f>(AF46-AG46)*100+AK46*10000+AF46</f>
        <v>29904</v>
      </c>
      <c r="AI46" s="47">
        <f>AF46-AG46</f>
        <v>-1</v>
      </c>
      <c r="AJ46" s="47">
        <f>(AI46-AI49)/AI48</f>
        <v>0.35714285714285715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340.15954781873018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0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7</v>
      </c>
      <c r="AH47" s="47">
        <f>(AF47-AG47)*100+AK47*10000+AF47</f>
        <v>-599</v>
      </c>
      <c r="AI47" s="47">
        <f>AF47-AG47</f>
        <v>-6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1.1118513511111112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1 - 7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9</v>
      </c>
      <c r="AG48" s="47">
        <f t="shared" si="16"/>
        <v>6</v>
      </c>
      <c r="AH48" s="47">
        <f>MAX(AH44:AH47)-AH49+1</f>
        <v>91309</v>
      </c>
      <c r="AI48" s="47">
        <f>MAX(AI44:AI47)-AI49+1</f>
        <v>14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-599</v>
      </c>
      <c r="AI49" s="47">
        <f>MIN(AI44:AI47)</f>
        <v>-6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2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5</v>
      </c>
      <c r="AG50" s="47">
        <f>SUMIF($E$7:$E$54,$AB50,$G$7:$G$54) + SUMIF($H$7:$H$54,$AB50,$F$7:$F$54)</f>
        <v>2</v>
      </c>
      <c r="AH50" s="47">
        <f>(AF50-AG50)*100+AK50*10000+AF50</f>
        <v>70305</v>
      </c>
      <c r="AI50" s="47">
        <f>AF50-AG50</f>
        <v>3</v>
      </c>
      <c r="AJ50" s="47">
        <f>(AI50-AI55)/AI54</f>
        <v>0.72727272727272729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1079.8709672601299</v>
      </c>
      <c r="AO50" s="48" t="str">
        <f>IF(SUM(AC50:AE53)=12,J51,INDEX(T,84,lang))</f>
        <v>Uruguay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Uruguay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7 - 2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4</v>
      </c>
      <c r="AH51" s="47">
        <f>(AF51-AG51)*100+AK51*10000+AF51</f>
        <v>9701</v>
      </c>
      <c r="AI51" s="47">
        <f>AF51-AG51</f>
        <v>-3</v>
      </c>
      <c r="AJ51" s="47">
        <f>(AI51-AI55)/AI54</f>
        <v>0.18181818181818182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162.46822614753248</v>
      </c>
      <c r="AO51" s="48" t="str">
        <f>IF(SUM(AC50:AE53)=12,J52,INDEX(T,85,lang))</f>
        <v>Portugal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Portugal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5 - 2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1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2</v>
      </c>
      <c r="AH52" s="47">
        <f>(AF52-AG52)*100+AK52*10000+AF52</f>
        <v>70507</v>
      </c>
      <c r="AI52" s="47">
        <f>AF52-AG52</f>
        <v>5</v>
      </c>
      <c r="AJ52" s="47">
        <f>(AI52-AI55)/AI54</f>
        <v>0.90909090909090906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1100.909908774091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0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1 - 4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6</v>
      </c>
      <c r="AH53" s="47">
        <f>(AF53-AG53)*100+AK53*10000+AF53</f>
        <v>9501</v>
      </c>
      <c r="AI53" s="47">
        <f>AF53-AG53</f>
        <v>-5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144.28647405571428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4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1 - 6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1</v>
      </c>
      <c r="AE54" s="47">
        <f t="shared" si="17"/>
        <v>3</v>
      </c>
      <c r="AF54" s="47">
        <f t="shared" si="17"/>
        <v>7</v>
      </c>
      <c r="AG54" s="47">
        <f t="shared" si="17"/>
        <v>5</v>
      </c>
      <c r="AH54" s="47">
        <f>MAX(AH50:AH53)-AH55+1</f>
        <v>61007</v>
      </c>
      <c r="AI54" s="47">
        <f>MAX(AI50:AI53)-AI55+1</f>
        <v>11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9501</v>
      </c>
      <c r="AI55" s="47">
        <f>MIN(AI50:AI53)</f>
        <v>-5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Uruguay</v>
      </c>
      <c r="T65" s="88" t="str">
        <f>IF(OR(S65="",S65="draw"),INDEX(T,93,lang),S65)</f>
        <v>Uruguay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Uruguay</v>
      </c>
      <c r="T72" s="88" t="str">
        <f>IF(OR(S72="",S72="draw"),INDEX(T,97,lang),S72)</f>
        <v>Uruguay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Uruguay</v>
      </c>
      <c r="Z77" s="88" t="str">
        <f>IF(OR(U77="",U77="draw"),INDEX(T,101,lang),U77)</f>
        <v>Uruguay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zoomScale="145" zoomScaleNormal="145" workbookViewId="0">
      <selection activeCell="A15" sqref="A15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1392</v>
      </c>
    </row>
    <row r="4" spans="1:2" x14ac:dyDescent="0.25">
      <c r="A4" s="103" t="s">
        <v>2520</v>
      </c>
      <c r="B4" s="100" t="s">
        <v>2531</v>
      </c>
    </row>
    <row r="5" spans="1:2" x14ac:dyDescent="0.25">
      <c r="A5" s="100" t="s">
        <v>2529</v>
      </c>
      <c r="B5" s="145">
        <v>1</v>
      </c>
    </row>
    <row r="6" spans="1:2" x14ac:dyDescent="0.25">
      <c r="A6" s="103" t="s">
        <v>2521</v>
      </c>
      <c r="B6" s="100" t="s">
        <v>2530</v>
      </c>
    </row>
    <row r="7" spans="1:2" x14ac:dyDescent="0.25">
      <c r="A7" s="100" t="s">
        <v>2522</v>
      </c>
      <c r="B7" s="103" t="s">
        <v>2531</v>
      </c>
    </row>
    <row r="8" spans="1:2" x14ac:dyDescent="0.25">
      <c r="A8" s="103" t="s">
        <v>2523</v>
      </c>
      <c r="B8" s="100" t="s">
        <v>2532</v>
      </c>
    </row>
    <row r="9" spans="1:2" x14ac:dyDescent="0.25">
      <c r="A9" s="100" t="s">
        <v>2524</v>
      </c>
      <c r="B9" s="103" t="s">
        <v>2533</v>
      </c>
    </row>
    <row r="10" spans="1:2" x14ac:dyDescent="0.25">
      <c r="A10" s="103" t="s">
        <v>2525</v>
      </c>
      <c r="B10" s="100" t="s">
        <v>2534</v>
      </c>
    </row>
    <row r="11" spans="1:2" x14ac:dyDescent="0.25">
      <c r="A11" s="100" t="s">
        <v>2528</v>
      </c>
      <c r="B11" s="103" t="s">
        <v>2535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Hans-Hendrik Karro</cp:lastModifiedBy>
  <cp:lastPrinted>2018-01-03T15:36:04Z</cp:lastPrinted>
  <dcterms:created xsi:type="dcterms:W3CDTF">2017-12-27T19:32:51Z</dcterms:created>
  <dcterms:modified xsi:type="dcterms:W3CDTF">2022-11-19T21:05:50Z</dcterms:modified>
</cp:coreProperties>
</file>