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xr:revisionPtr revIDLastSave="0" documentId="8_{625C315D-27F0-4CAA-95A4-AE4751FA61FF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2" l="1"/>
  <c r="R37" i="3"/>
  <c r="R36" i="3"/>
  <c r="R33" i="3"/>
  <c r="R32" i="3"/>
  <c r="R29" i="3"/>
  <c r="R28" i="3"/>
  <c r="R21" i="3"/>
  <c r="R20" i="3"/>
  <c r="R17" i="3"/>
  <c r="R16" i="3"/>
  <c r="R13" i="3"/>
  <c r="R12" i="3"/>
  <c r="Y54" i="3"/>
  <c r="G15" i="2"/>
  <c r="AB53" i="3"/>
  <c r="Y53" i="3"/>
  <c r="AB52" i="3"/>
  <c r="H38" i="3"/>
  <c r="Y52" i="3"/>
  <c r="AB51" i="3"/>
  <c r="H21" i="3"/>
  <c r="Y51" i="3"/>
  <c r="AB50" i="3"/>
  <c r="E38" i="3"/>
  <c r="Y50" i="3"/>
  <c r="Y49" i="3"/>
  <c r="Y48" i="3"/>
  <c r="AB47" i="3"/>
  <c r="E54" i="3"/>
  <c r="Y47" i="3"/>
  <c r="AB46" i="3"/>
  <c r="H53" i="3"/>
  <c r="Y46" i="3"/>
  <c r="AB45" i="3"/>
  <c r="Y45" i="3"/>
  <c r="AB44" i="3"/>
  <c r="H54" i="3"/>
  <c r="Y44" i="3"/>
  <c r="Y43" i="3"/>
  <c r="Y42" i="3"/>
  <c r="AB41" i="3"/>
  <c r="E33" i="3"/>
  <c r="Y41" i="3"/>
  <c r="AB40" i="3"/>
  <c r="H48" i="3"/>
  <c r="Y40" i="3"/>
  <c r="AB39" i="3"/>
  <c r="H18" i="3"/>
  <c r="Y39" i="3"/>
  <c r="AB38" i="3"/>
  <c r="E18" i="3"/>
  <c r="Y38" i="3"/>
  <c r="Y37" i="3"/>
  <c r="Y36" i="3"/>
  <c r="AB35" i="3"/>
  <c r="E49" i="3"/>
  <c r="Y35" i="3"/>
  <c r="AB34" i="3"/>
  <c r="E16" i="3"/>
  <c r="Y34" i="3"/>
  <c r="AB33" i="3"/>
  <c r="E50" i="3"/>
  <c r="Y33" i="3"/>
  <c r="AB32" i="3"/>
  <c r="E34" i="3"/>
  <c r="Y32" i="3"/>
  <c r="Y31" i="3"/>
  <c r="Y30" i="3"/>
  <c r="AB29" i="3"/>
  <c r="H12" i="3"/>
  <c r="Y29" i="3"/>
  <c r="AB28" i="3"/>
  <c r="H29" i="3"/>
  <c r="Y28" i="3"/>
  <c r="AB27" i="3"/>
  <c r="H14" i="3"/>
  <c r="Y27" i="3"/>
  <c r="AB26" i="3"/>
  <c r="E14" i="3"/>
  <c r="Y26" i="3"/>
  <c r="Y25" i="3"/>
  <c r="Y24" i="3"/>
  <c r="AB23" i="3"/>
  <c r="Y23" i="3"/>
  <c r="AB22" i="3"/>
  <c r="H46" i="3"/>
  <c r="Y22" i="3"/>
  <c r="AB21" i="3"/>
  <c r="E46" i="3"/>
  <c r="Y21" i="3"/>
  <c r="AB20" i="3"/>
  <c r="E30" i="3"/>
  <c r="Y20" i="3"/>
  <c r="Y19" i="3"/>
  <c r="Y18" i="3"/>
  <c r="AB17" i="3"/>
  <c r="H10" i="3"/>
  <c r="Y17" i="3"/>
  <c r="AB16" i="3"/>
  <c r="Y16" i="3"/>
  <c r="AB15" i="3"/>
  <c r="E42" i="3"/>
  <c r="Y15" i="3"/>
  <c r="AB14" i="3"/>
  <c r="E26" i="3"/>
  <c r="Y14" i="3"/>
  <c r="Y13" i="3"/>
  <c r="Y12" i="3"/>
  <c r="AB11" i="3"/>
  <c r="E25" i="3"/>
  <c r="Y11" i="3"/>
  <c r="AB10" i="3"/>
  <c r="H25" i="3"/>
  <c r="Y10" i="3"/>
  <c r="AB9" i="3"/>
  <c r="H40" i="3"/>
  <c r="Y9" i="3"/>
  <c r="AB8" i="3"/>
  <c r="E8" i="3"/>
  <c r="Y8" i="3"/>
  <c r="Y7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7" i="2"/>
  <c r="B18" i="2"/>
  <c r="AM11" i="3"/>
  <c r="AM33" i="3"/>
  <c r="AM16" i="3"/>
  <c r="AM20" i="3"/>
  <c r="AM28" i="3"/>
  <c r="AM40" i="3"/>
  <c r="AM45" i="3"/>
  <c r="AM52" i="3"/>
  <c r="E11" i="3"/>
  <c r="E15" i="3"/>
  <c r="E19" i="3"/>
  <c r="E23" i="3"/>
  <c r="E27" i="3"/>
  <c r="E31" i="3"/>
  <c r="E35" i="3"/>
  <c r="E39" i="3"/>
  <c r="E43" i="3"/>
  <c r="E47" i="3"/>
  <c r="E51" i="3"/>
  <c r="AM8" i="3"/>
  <c r="AM23" i="3"/>
  <c r="AM35" i="3"/>
  <c r="H11" i="3"/>
  <c r="H15" i="3"/>
  <c r="H19" i="3"/>
  <c r="H23" i="3"/>
  <c r="H27" i="3"/>
  <c r="H31" i="3"/>
  <c r="H35" i="3"/>
  <c r="H39" i="3"/>
  <c r="H43" i="3"/>
  <c r="H47" i="3"/>
  <c r="H51" i="3"/>
  <c r="E7" i="3"/>
  <c r="AM9" i="3"/>
  <c r="AM53" i="3"/>
  <c r="E12" i="3"/>
  <c r="E20" i="3"/>
  <c r="E24" i="3"/>
  <c r="E28" i="3"/>
  <c r="E32" i="3"/>
  <c r="E36" i="3"/>
  <c r="E40" i="3"/>
  <c r="E44" i="3"/>
  <c r="E48" i="3"/>
  <c r="E52" i="3"/>
  <c r="H8" i="3"/>
  <c r="AM17" i="3"/>
  <c r="AM29" i="3"/>
  <c r="AM46" i="3"/>
  <c r="H16" i="3"/>
  <c r="H20" i="3"/>
  <c r="H24" i="3"/>
  <c r="H28" i="3"/>
  <c r="H32" i="3"/>
  <c r="H36" i="3"/>
  <c r="H44" i="3"/>
  <c r="H52" i="3"/>
  <c r="H7" i="3"/>
  <c r="AM34" i="3"/>
  <c r="E9" i="3"/>
  <c r="E13" i="3"/>
  <c r="E17" i="3"/>
  <c r="E21" i="3"/>
  <c r="E29" i="3"/>
  <c r="E37" i="3"/>
  <c r="E41" i="3"/>
  <c r="E45" i="3"/>
  <c r="E53" i="3"/>
  <c r="AM22" i="3"/>
  <c r="AM51" i="3"/>
  <c r="H9" i="3"/>
  <c r="H13" i="3"/>
  <c r="H17" i="3"/>
  <c r="H33" i="3"/>
  <c r="H37" i="3"/>
  <c r="H41" i="3"/>
  <c r="H45" i="3"/>
  <c r="H49" i="3"/>
  <c r="AM15" i="3"/>
  <c r="AM47" i="3"/>
  <c r="E10" i="3"/>
  <c r="E22" i="3"/>
  <c r="H22" i="3"/>
  <c r="H26" i="3"/>
  <c r="H30" i="3"/>
  <c r="H34" i="3"/>
  <c r="H42" i="3"/>
  <c r="H50" i="3"/>
  <c r="AM32" i="3"/>
  <c r="AM14" i="3"/>
  <c r="AM10" i="3"/>
  <c r="AM21" i="3"/>
  <c r="AM41" i="3"/>
  <c r="AM39" i="3"/>
  <c r="AM26" i="3"/>
  <c r="AM27" i="3"/>
  <c r="AM38" i="3"/>
  <c r="AM50" i="3"/>
  <c r="AM44" i="3"/>
  <c r="O3" i="3"/>
  <c r="G48" i="2"/>
  <c r="P44" i="3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R25" i="3"/>
  <c r="R24" i="3"/>
  <c r="R7" i="3"/>
  <c r="R60" i="3"/>
  <c r="AY25" i="3"/>
  <c r="R42" i="3"/>
  <c r="R34" i="3"/>
  <c r="R23" i="3"/>
  <c r="R10" i="3"/>
  <c r="R22" i="3"/>
  <c r="R71" i="3"/>
  <c r="R53" i="3"/>
  <c r="R18" i="3"/>
  <c r="R65" i="3"/>
  <c r="AY37" i="3"/>
  <c r="R59" i="3"/>
  <c r="AY13" i="3"/>
  <c r="R45" i="3"/>
  <c r="R31" i="3"/>
  <c r="R26" i="3"/>
  <c r="R14" i="3"/>
  <c r="R85" i="3"/>
  <c r="BT22" i="3"/>
  <c r="R64" i="3"/>
  <c r="AY33" i="3"/>
  <c r="R58" i="3"/>
  <c r="AY9" i="3"/>
  <c r="R50" i="3"/>
  <c r="R47" i="3"/>
  <c r="R39" i="3"/>
  <c r="R15" i="3"/>
  <c r="R38" i="3"/>
  <c r="R40" i="3"/>
  <c r="R76" i="3"/>
  <c r="BM15" i="3"/>
  <c r="R63" i="3"/>
  <c r="AY21" i="3"/>
  <c r="R52" i="3"/>
  <c r="R41" i="3"/>
  <c r="R30" i="3"/>
  <c r="R9" i="3"/>
  <c r="R35" i="3"/>
  <c r="R11" i="3"/>
  <c r="R8" i="3"/>
  <c r="R81" i="3"/>
  <c r="BT34" i="3"/>
  <c r="R72" i="3"/>
  <c r="BF35" i="3"/>
  <c r="R62" i="3"/>
  <c r="AY17" i="3"/>
  <c r="R54" i="3"/>
  <c r="R49" i="3"/>
  <c r="R44" i="3"/>
  <c r="R19" i="3"/>
  <c r="R70" i="3"/>
  <c r="BF19" i="3"/>
  <c r="R61" i="3"/>
  <c r="AY29" i="3"/>
  <c r="R48" i="3"/>
  <c r="R46" i="3"/>
  <c r="R43" i="3"/>
  <c r="R27" i="3"/>
  <c r="R77" i="3"/>
  <c r="BM31" i="3"/>
  <c r="R69" i="3"/>
  <c r="BF11" i="3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AF39" i="3"/>
  <c r="J8" i="3"/>
  <c r="J50" i="3"/>
  <c r="J14" i="3"/>
  <c r="P8" i="3"/>
  <c r="I15" i="2"/>
  <c r="X7" i="3"/>
  <c r="BF27" i="3"/>
  <c r="L20" i="3"/>
  <c r="AF28" i="3"/>
  <c r="M14" i="3"/>
  <c r="J38" i="3"/>
  <c r="M20" i="3"/>
  <c r="K14" i="3"/>
  <c r="P38" i="3"/>
  <c r="X25" i="3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I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12" i="3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41" i="3"/>
  <c r="T49" i="3"/>
  <c r="T50" i="3"/>
  <c r="T53" i="3"/>
  <c r="T54" i="3"/>
  <c r="AC11" i="3"/>
  <c r="AD11" i="3"/>
  <c r="AK11" i="3"/>
  <c r="AH11" i="3"/>
  <c r="AC9" i="3"/>
  <c r="AD9" i="3"/>
  <c r="AK9" i="3"/>
  <c r="AH9" i="3"/>
  <c r="U40" i="3"/>
  <c r="T30" i="3"/>
  <c r="T39" i="3"/>
  <c r="AG18" i="3"/>
  <c r="T16" i="3"/>
  <c r="T28" i="3"/>
  <c r="T37" i="3"/>
  <c r="AC8" i="3"/>
  <c r="AD8" i="3"/>
  <c r="AK8" i="3"/>
  <c r="AH8" i="3"/>
  <c r="U24" i="3"/>
  <c r="AI11" i="3"/>
  <c r="AI47" i="3"/>
  <c r="AI21" i="3"/>
  <c r="T15" i="3"/>
  <c r="AI27" i="3"/>
  <c r="AI20" i="3"/>
  <c r="AF24" i="3"/>
  <c r="AF36" i="3"/>
  <c r="AI32" i="3"/>
  <c r="AI17" i="3"/>
  <c r="AG36" i="3"/>
  <c r="T9" i="3"/>
  <c r="AI39" i="3"/>
  <c r="AI15" i="3"/>
  <c r="AF54" i="3"/>
  <c r="AI50" i="3"/>
  <c r="AG42" i="3"/>
  <c r="AG30" i="3"/>
  <c r="AG24" i="3"/>
  <c r="AI33" i="3"/>
  <c r="T17" i="3"/>
  <c r="AC23" i="3"/>
  <c r="AC50" i="3"/>
  <c r="AD33" i="3"/>
  <c r="AD46" i="3"/>
  <c r="AE34" i="3"/>
  <c r="AE44" i="3"/>
  <c r="AE8" i="3"/>
  <c r="W24" i="3"/>
  <c r="V24" i="3"/>
  <c r="AC38" i="3"/>
  <c r="AI43" i="3"/>
  <c r="AI42" i="3"/>
  <c r="AD47" i="3"/>
  <c r="AC52" i="3"/>
  <c r="AC53" i="3"/>
  <c r="AE32" i="3"/>
  <c r="AC10" i="3"/>
  <c r="AI49" i="3"/>
  <c r="AI48" i="3"/>
  <c r="AE9" i="3"/>
  <c r="AD14" i="3"/>
  <c r="AE46" i="3"/>
  <c r="AE21" i="3"/>
  <c r="AE16" i="3"/>
  <c r="AD41" i="3"/>
  <c r="AI37" i="3"/>
  <c r="AI36" i="3"/>
  <c r="AE51" i="3"/>
  <c r="AD27" i="3"/>
  <c r="AD34" i="3"/>
  <c r="AC28" i="3"/>
  <c r="W40" i="3"/>
  <c r="V40" i="3"/>
  <c r="AE38" i="3"/>
  <c r="AE52" i="3"/>
  <c r="AE39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/>
  <c r="AE26" i="3"/>
  <c r="AD44" i="3"/>
  <c r="AC27" i="3"/>
  <c r="AE33" i="3"/>
  <c r="AE11" i="3"/>
  <c r="AC40" i="3"/>
  <c r="AD20" i="3"/>
  <c r="AD35" i="3"/>
  <c r="AD16" i="3"/>
  <c r="AC51" i="3"/>
  <c r="AC16" i="3"/>
  <c r="AD32" i="3"/>
  <c r="AE10" i="3"/>
  <c r="AC47" i="3"/>
  <c r="AE17" i="3"/>
  <c r="AE20" i="3"/>
  <c r="AD52" i="3"/>
  <c r="AD21" i="3"/>
  <c r="AC32" i="3"/>
  <c r="U8" i="3"/>
  <c r="AI31" i="3"/>
  <c r="AC21" i="3"/>
  <c r="AD29" i="3"/>
  <c r="AC41" i="3"/>
  <c r="AI55" i="3"/>
  <c r="AI54" i="3"/>
  <c r="AD51" i="3"/>
  <c r="AE45" i="3"/>
  <c r="AD26" i="3"/>
  <c r="AE14" i="3"/>
  <c r="AC20" i="3"/>
  <c r="AC26" i="3"/>
  <c r="AE22" i="3"/>
  <c r="AC34" i="3"/>
  <c r="AK34" i="3"/>
  <c r="AD39" i="3"/>
  <c r="AC46" i="3"/>
  <c r="AE15" i="3"/>
  <c r="AC44" i="3"/>
  <c r="AD23" i="3"/>
  <c r="AK23" i="3"/>
  <c r="AH23" i="3"/>
  <c r="AC45" i="3"/>
  <c r="AC14" i="3"/>
  <c r="AD15" i="3"/>
  <c r="AC39" i="3"/>
  <c r="AD10" i="3"/>
  <c r="AK10" i="3"/>
  <c r="AH10" i="3"/>
  <c r="U39" i="3"/>
  <c r="AE28" i="3"/>
  <c r="AI13" i="3"/>
  <c r="AI12" i="3"/>
  <c r="AC17" i="3"/>
  <c r="AD28" i="3"/>
  <c r="AC15" i="3"/>
  <c r="AE47" i="3"/>
  <c r="AI25" i="3"/>
  <c r="AI24" i="3"/>
  <c r="AC22" i="3"/>
  <c r="AK22" i="3"/>
  <c r="AH22" i="3"/>
  <c r="AE53" i="3"/>
  <c r="AE27" i="3"/>
  <c r="U7" i="3"/>
  <c r="AE23" i="3"/>
  <c r="AE35" i="3"/>
  <c r="AE41" i="3"/>
  <c r="AD40" i="3"/>
  <c r="AE29" i="3"/>
  <c r="AK39" i="3"/>
  <c r="AH39" i="3"/>
  <c r="AD12" i="3"/>
  <c r="AK46" i="3"/>
  <c r="AH46" i="3"/>
  <c r="AK27" i="3"/>
  <c r="AH27" i="3"/>
  <c r="AJ40" i="3"/>
  <c r="AJ39" i="3"/>
  <c r="AJ16" i="3"/>
  <c r="AJ50" i="3"/>
  <c r="AD36" i="3"/>
  <c r="AK35" i="3"/>
  <c r="AK33" i="3"/>
  <c r="AH33" i="3"/>
  <c r="AJ53" i="3"/>
  <c r="AK41" i="3"/>
  <c r="AH41" i="3"/>
  <c r="AK17" i="3"/>
  <c r="AH17" i="3"/>
  <c r="AJ41" i="3"/>
  <c r="AE42" i="3"/>
  <c r="AJ8" i="3"/>
  <c r="AK16" i="3"/>
  <c r="AH16" i="3"/>
  <c r="AJ45" i="3"/>
  <c r="AD30" i="3"/>
  <c r="AJ47" i="3"/>
  <c r="AE48" i="3"/>
  <c r="AE12" i="3"/>
  <c r="AJ10" i="3"/>
  <c r="AJ46" i="3"/>
  <c r="AJ14" i="3"/>
  <c r="AJ44" i="3"/>
  <c r="AH34" i="3"/>
  <c r="AI30" i="3"/>
  <c r="AJ29" i="3"/>
  <c r="AC18" i="3"/>
  <c r="AK14" i="3"/>
  <c r="AH14" i="3"/>
  <c r="AJ15" i="3"/>
  <c r="AJ22" i="3"/>
  <c r="AJ23" i="3"/>
  <c r="AK45" i="3"/>
  <c r="AK26" i="3"/>
  <c r="AH26" i="3"/>
  <c r="AC30" i="3"/>
  <c r="W8" i="3"/>
  <c r="V8" i="3"/>
  <c r="AK51" i="3"/>
  <c r="AK50" i="3"/>
  <c r="AE54" i="3"/>
  <c r="AC24" i="3"/>
  <c r="AK20" i="3"/>
  <c r="AH20" i="3"/>
  <c r="AC36" i="3"/>
  <c r="AK32" i="3"/>
  <c r="AE24" i="3"/>
  <c r="AK29" i="3"/>
  <c r="AH29" i="3"/>
  <c r="AK28" i="3"/>
  <c r="AH28" i="3"/>
  <c r="AJ17" i="3"/>
  <c r="AJ38" i="3"/>
  <c r="AH35" i="3"/>
  <c r="W39" i="3"/>
  <c r="V39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/>
  <c r="AJ11" i="3"/>
  <c r="AH13" i="3"/>
  <c r="AH12" i="3"/>
  <c r="AC12" i="3"/>
  <c r="AJ33" i="3"/>
  <c r="AD24" i="3"/>
  <c r="AD48" i="3"/>
  <c r="AJ51" i="3"/>
  <c r="AJ9" i="3"/>
  <c r="AK53" i="3"/>
  <c r="W7" i="3"/>
  <c r="V7" i="3"/>
  <c r="AJ20" i="3"/>
  <c r="AJ21" i="3"/>
  <c r="AK21" i="3"/>
  <c r="AH21" i="3"/>
  <c r="AJ52" i="3"/>
  <c r="AK40" i="3"/>
  <c r="AE30" i="3"/>
  <c r="AD42" i="3"/>
  <c r="AJ32" i="3"/>
  <c r="AD18" i="3"/>
  <c r="AK52" i="3"/>
  <c r="AJ26" i="3"/>
  <c r="AJ28" i="3"/>
  <c r="AJ27" i="3"/>
  <c r="AH52" i="3"/>
  <c r="AH53" i="3"/>
  <c r="U20" i="3"/>
  <c r="U46" i="3"/>
  <c r="U43" i="3"/>
  <c r="AH47" i="3"/>
  <c r="AH32" i="3"/>
  <c r="U34" i="3"/>
  <c r="U41" i="3"/>
  <c r="U26" i="3"/>
  <c r="U10" i="3"/>
  <c r="AH40" i="3"/>
  <c r="AK30" i="3"/>
  <c r="AK12" i="3"/>
  <c r="U42" i="3"/>
  <c r="U50" i="3"/>
  <c r="AK24" i="3"/>
  <c r="U16" i="3"/>
  <c r="U44" i="3"/>
  <c r="AK54" i="3"/>
  <c r="AH50" i="3"/>
  <c r="AH45" i="3"/>
  <c r="AK42" i="3"/>
  <c r="AH38" i="3"/>
  <c r="U49" i="3"/>
  <c r="AK48" i="3"/>
  <c r="AH44" i="3"/>
  <c r="AK36" i="3"/>
  <c r="AH51" i="3"/>
  <c r="AK18" i="3"/>
  <c r="U54" i="3"/>
  <c r="W54" i="3"/>
  <c r="U52" i="3"/>
  <c r="V52" i="3"/>
  <c r="U12" i="3"/>
  <c r="U18" i="3"/>
  <c r="W18" i="3"/>
  <c r="U32" i="3"/>
  <c r="V32" i="3"/>
  <c r="U48" i="3"/>
  <c r="U23" i="3"/>
  <c r="W49" i="3"/>
  <c r="V49" i="3"/>
  <c r="AH37" i="3"/>
  <c r="AH36" i="3"/>
  <c r="U31" i="3"/>
  <c r="U15" i="3"/>
  <c r="U38" i="3"/>
  <c r="U53" i="3"/>
  <c r="U45" i="3"/>
  <c r="U30" i="3"/>
  <c r="V41" i="3"/>
  <c r="W41" i="3"/>
  <c r="U22" i="3"/>
  <c r="AH31" i="3"/>
  <c r="AH30" i="3"/>
  <c r="U13" i="3"/>
  <c r="U29" i="3"/>
  <c r="U14" i="3"/>
  <c r="V34" i="3"/>
  <c r="W34" i="3"/>
  <c r="AH49" i="3"/>
  <c r="AH48" i="3"/>
  <c r="U19" i="3"/>
  <c r="U35" i="3"/>
  <c r="W43" i="3"/>
  <c r="V43" i="3"/>
  <c r="V16" i="3"/>
  <c r="W16" i="3"/>
  <c r="U28" i="3"/>
  <c r="W44" i="3"/>
  <c r="V44" i="3"/>
  <c r="AH19" i="3"/>
  <c r="AH18" i="3"/>
  <c r="U25" i="3"/>
  <c r="U9" i="3"/>
  <c r="U47" i="3"/>
  <c r="W50" i="3"/>
  <c r="V50" i="3"/>
  <c r="AH55" i="3"/>
  <c r="AH54" i="3"/>
  <c r="U21" i="3"/>
  <c r="U37" i="3"/>
  <c r="AH25" i="3"/>
  <c r="AH24" i="3"/>
  <c r="U27" i="3"/>
  <c r="U11" i="3"/>
  <c r="W42" i="3"/>
  <c r="V42" i="3"/>
  <c r="U51" i="3"/>
  <c r="U36" i="3"/>
  <c r="AH43" i="3"/>
  <c r="AH42" i="3"/>
  <c r="U33" i="3"/>
  <c r="U17" i="3"/>
  <c r="V10" i="3"/>
  <c r="W10" i="3"/>
  <c r="W46" i="3"/>
  <c r="V46" i="3"/>
  <c r="W26" i="3"/>
  <c r="V26" i="3"/>
  <c r="W20" i="3"/>
  <c r="V20" i="3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Q18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/>
  <c r="AL14" i="3"/>
  <c r="AT36" i="3"/>
  <c r="AL33" i="3"/>
  <c r="AT42" i="3"/>
  <c r="AL39" i="3"/>
  <c r="AT48" i="3"/>
  <c r="AL45" i="3"/>
  <c r="AT24" i="3"/>
  <c r="AT54" i="3"/>
  <c r="AL52" i="3"/>
  <c r="AT30" i="3"/>
  <c r="AL27" i="3"/>
  <c r="AT12" i="3"/>
  <c r="AL11" i="3"/>
  <c r="AL16" i="3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/>
  <c r="AN15" i="3"/>
  <c r="AL36" i="3"/>
  <c r="AN35" i="3"/>
  <c r="AL42" i="3"/>
  <c r="AN40" i="3"/>
  <c r="AL48" i="3"/>
  <c r="AN45" i="3"/>
  <c r="AL12" i="3"/>
  <c r="AN11" i="3"/>
  <c r="AL24" i="3"/>
  <c r="AN23" i="3"/>
  <c r="AL54" i="3"/>
  <c r="AN52" i="3"/>
  <c r="AL30" i="3"/>
  <c r="AN27" i="3"/>
  <c r="AN34" i="3"/>
  <c r="AN32" i="3"/>
  <c r="AN16" i="3"/>
  <c r="AN17" i="3"/>
  <c r="AN14" i="3"/>
  <c r="AA17" i="3"/>
  <c r="AN41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40" i="3"/>
  <c r="AA8" i="3"/>
  <c r="AA32" i="3"/>
  <c r="AA33" i="3"/>
  <c r="AA34" i="3"/>
  <c r="N33" i="3"/>
  <c r="AA16" i="3"/>
  <c r="AA9" i="3"/>
  <c r="AA41" i="3"/>
  <c r="AA15" i="3"/>
  <c r="AA14" i="3"/>
  <c r="O15" i="3"/>
  <c r="AA35" i="3"/>
  <c r="AA46" i="3"/>
  <c r="AA53" i="3"/>
  <c r="AA28" i="3"/>
  <c r="AA39" i="3"/>
  <c r="AA21" i="3"/>
  <c r="AA38" i="3"/>
  <c r="J39" i="3"/>
  <c r="AA45" i="3"/>
  <c r="AA20" i="3"/>
  <c r="AA22" i="3"/>
  <c r="AA23" i="3"/>
  <c r="L21" i="3"/>
  <c r="AA47" i="3"/>
  <c r="AA44" i="3"/>
  <c r="AA11" i="3"/>
  <c r="AA29" i="3"/>
  <c r="AA50" i="3"/>
  <c r="AA10" i="3"/>
  <c r="J33" i="3"/>
  <c r="AO32" i="3"/>
  <c r="AZ18" i="3"/>
  <c r="S62" i="3"/>
  <c r="T62" i="3"/>
  <c r="AA27" i="3"/>
  <c r="AA52" i="3"/>
  <c r="J34" i="3"/>
  <c r="AO33" i="3"/>
  <c r="AZ35" i="3"/>
  <c r="AA26" i="3"/>
  <c r="AA51" i="3"/>
  <c r="L15" i="3"/>
  <c r="M15" i="3"/>
  <c r="P15" i="3"/>
  <c r="J17" i="3"/>
  <c r="N15" i="3"/>
  <c r="M16" i="3"/>
  <c r="O17" i="3"/>
  <c r="J15" i="3"/>
  <c r="AO14" i="3"/>
  <c r="AZ26" i="3"/>
  <c r="L17" i="3"/>
  <c r="L11" i="3"/>
  <c r="N17" i="3"/>
  <c r="J16" i="3"/>
  <c r="AO15" i="3"/>
  <c r="AZ11" i="3"/>
  <c r="L33" i="3"/>
  <c r="M11" i="3"/>
  <c r="M18" i="3"/>
  <c r="O33" i="3"/>
  <c r="M33" i="3"/>
  <c r="J36" i="3"/>
  <c r="O10" i="3"/>
  <c r="L10" i="3"/>
  <c r="J12" i="3"/>
  <c r="N12" i="3"/>
  <c r="N10" i="3"/>
  <c r="M10" i="3"/>
  <c r="J10" i="3"/>
  <c r="AO9" i="3"/>
  <c r="N39" i="3"/>
  <c r="N16" i="3"/>
  <c r="M35" i="3"/>
  <c r="O16" i="3"/>
  <c r="J18" i="3"/>
  <c r="L16" i="3"/>
  <c r="P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K15" i="3"/>
  <c r="N51" i="3"/>
  <c r="O54" i="3"/>
  <c r="M21" i="3"/>
  <c r="P21" i="3"/>
  <c r="O12" i="3"/>
  <c r="M54" i="3"/>
  <c r="N23" i="3"/>
  <c r="J22" i="3"/>
  <c r="N22" i="3"/>
  <c r="L54" i="3"/>
  <c r="O23" i="3"/>
  <c r="N54" i="3"/>
  <c r="BG20" i="3"/>
  <c r="N52" i="3"/>
  <c r="O53" i="3"/>
  <c r="J52" i="3"/>
  <c r="M52" i="3"/>
  <c r="AO21" i="3"/>
  <c r="AZ31" i="3"/>
  <c r="M9" i="3"/>
  <c r="L12" i="3"/>
  <c r="AO44" i="3"/>
  <c r="AZ22" i="3"/>
  <c r="S63" i="3"/>
  <c r="T63" i="3"/>
  <c r="L51" i="3"/>
  <c r="M51" i="3"/>
  <c r="AO39" i="3"/>
  <c r="AZ19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/>
  <c r="S64" i="3"/>
  <c r="T64" i="3"/>
  <c r="M53" i="3"/>
  <c r="L53" i="3"/>
  <c r="O51" i="3"/>
  <c r="AO20" i="3"/>
  <c r="AZ14" i="3"/>
  <c r="S59" i="3"/>
  <c r="T59" i="3"/>
  <c r="J9" i="3"/>
  <c r="AO45" i="3"/>
  <c r="L9" i="3"/>
  <c r="O52" i="3"/>
  <c r="N53" i="3"/>
  <c r="J51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/>
  <c r="T60" i="3"/>
  <c r="BG28" i="3"/>
  <c r="AZ39" i="3"/>
  <c r="S65" i="3"/>
  <c r="T65" i="3"/>
  <c r="BG37" i="3"/>
  <c r="S72" i="3"/>
  <c r="T72" i="3"/>
  <c r="BG21" i="3"/>
  <c r="S70" i="3"/>
  <c r="T70" i="3"/>
  <c r="BG36" i="3"/>
  <c r="K29" i="3"/>
  <c r="P29" i="3"/>
  <c r="K51" i="3"/>
  <c r="P51" i="3"/>
  <c r="AO51" i="3"/>
  <c r="AZ23" i="3"/>
  <c r="AO50" i="3"/>
  <c r="AZ38" i="3"/>
  <c r="P9" i="3"/>
  <c r="K9" i="3"/>
  <c r="K30" i="3"/>
  <c r="P30" i="3"/>
  <c r="AO27" i="3"/>
  <c r="AZ15" i="3"/>
  <c r="AO26" i="3"/>
  <c r="P12" i="3"/>
  <c r="K12" i="3"/>
  <c r="BG13" i="3"/>
  <c r="S69" i="3"/>
  <c r="T69" i="3"/>
  <c r="K53" i="3"/>
  <c r="P53" i="3"/>
  <c r="P28" i="3"/>
  <c r="K28" i="3"/>
  <c r="AO8" i="3"/>
  <c r="AZ10" i="3"/>
  <c r="S58" i="3"/>
  <c r="T58" i="3"/>
  <c r="K27" i="3"/>
  <c r="P27" i="3"/>
  <c r="K52" i="3"/>
  <c r="P52" i="3"/>
  <c r="BN33" i="3"/>
  <c r="U77" i="3"/>
  <c r="Z77" i="3"/>
  <c r="BU36" i="3"/>
  <c r="AZ30" i="3"/>
  <c r="S61" i="3"/>
  <c r="T61" i="3"/>
  <c r="BG29" i="3"/>
  <c r="BN17" i="3"/>
  <c r="BG12" i="3"/>
  <c r="BN16" i="3"/>
  <c r="S71" i="3"/>
  <c r="T71" i="3"/>
  <c r="BN32" i="3"/>
  <c r="S77" i="3"/>
  <c r="T77" i="3"/>
  <c r="BU24" i="3"/>
  <c r="U76" i="3"/>
  <c r="Z76" i="3"/>
  <c r="BU35" i="3"/>
  <c r="T81" i="3"/>
  <c r="S76" i="3"/>
  <c r="T76" i="3"/>
  <c r="BU23" i="3"/>
  <c r="S85" i="3"/>
  <c r="T85" i="3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<sst xmlns="http://schemas.openxmlformats.org/spreadsheetml/2006/main" count="4374" uniqueCount="2540">
  <si>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</si>
  <si>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</si>
  <si>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</si>
  <si>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</si>
  <si>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</si>
  <si>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</si>
  <si>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</si>
  <si>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</si>
  <si>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</si>
  <si>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</si>
  <si>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</si>
  <si>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</si>
  <si>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</si>
  <si>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</si>
  <si>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</si>
  <si>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</si>
  <si>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</si>
  <si>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</si>
  <si>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</si>
  <si>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</si>
  <si>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</si>
  <si>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</si>
  <si>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</si>
  <si>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</si>
  <si>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</si>
  <si>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</si>
  <si>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</si>
  <si>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</si>
  <si>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</si>
  <si>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</si>
  <si>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</si>
  <si>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</si>
  <si>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</si>
  <si>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</si>
  <si>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</si>
  <si>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</si>
  <si>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</si>
  <si>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</si>
  <si>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</si>
  <si>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</si>
  <si>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</si>
  <si>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</si>
  <si>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</si>
  <si>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</si>
  <si>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</si>
  <si>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</si>
  <si>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</si>
  <si>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</si>
  <si>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</si>
  <si>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</si>
  <si>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</si>
  <si>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</si>
  <si>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</si>
  <si>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</si>
  <si>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</si>
  <si>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</si>
  <si>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</si>
  <si>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</si>
  <si>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</si>
  <si>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</si>
  <si>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</si>
  <si>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</si>
  <si>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</si>
  <si>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</si>
  <si>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</si>
  <si>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</si>
  <si>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</si>
  <si>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</si>
  <si>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</si>
  <si>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</si>
  <si>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</si>
  <si>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</si>
  <si>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</si>
  <si>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</si>
  <si>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</si>
  <si>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</si>
  <si>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</si>
  <si>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</si>
  <si>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</si>
  <si>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</si>
  <si>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</si>
  <si>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</si>
  <si>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</si>
  <si>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</si>
  <si>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</si>
  <si>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</si>
  <si>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</si>
  <si>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</si>
  <si>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</si>
  <si>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</si>
  <si>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</si>
  <si>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</si>
  <si>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</si>
  <si>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</si>
  <si>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</si>
  <si>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</si>
  <si>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</si>
  <si>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</si>
  <si>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</si>
  <si>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</si>
  <si>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</si>
  <si>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</si>
  <si>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</si>
  <si>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</si>
  <si>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</si>
  <si>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</si>
  <si>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</si>
  <si>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</si>
  <si>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</si>
  <si>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</si>
  <si>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</si>
  <si>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</si>
  <si>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</si>
  <si>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</si>
  <si>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</si>
  <si>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</si>
  <si>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</si>
  <si>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</si>
  <si>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</si>
  <si>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</si>
  <si>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</si>
  <si>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</si>
  <si>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</si>
  <si>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</si>
  <si>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</si>
  <si>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</si>
  <si>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</si>
  <si>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</si>
  <si>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</si>
  <si>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</si>
  <si>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</si>
  <si>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</si>
  <si>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</si>
  <si>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</si>
  <si>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</si>
  <si>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</si>
  <si>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</si>
  <si>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</si>
  <si>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</si>
  <si>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</si>
  <si>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</si>
  <si>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</si>
  <si>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</si>
  <si>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</si>
  <si>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</si>
  <si>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</si>
  <si>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</si>
  <si>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</si>
  <si>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</si>
  <si>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</si>
  <si>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</si>
  <si>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</si>
  <si>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</si>
  <si>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</si>
  <si>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</si>
  <si>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</si>
  <si>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</si>
  <si>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</si>
  <si>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</si>
  <si>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</si>
  <si>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</si>
  <si>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</si>
  <si>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</si>
  <si>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</si>
  <si>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</si>
  <si>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</si>
  <si>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</si>
  <si>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</si>
  <si>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</si>
  <si>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</si>
  <si>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</si>
  <si>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</si>
  <si>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</si>
  <si>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</si>
  <si>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</si>
  <si>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</si>
  <si>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</si>
  <si>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</si>
  <si>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</si>
  <si>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</si>
  <si>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</si>
  <si>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</si>
  <si>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</si>
  <si>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</si>
  <si>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</si>
  <si>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</si>
  <si>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</si>
  <si>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</si>
  <si>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</si>
  <si>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</si>
  <si>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</si>
  <si>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</si>
  <si>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</si>
  <si>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</si>
  <si>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</si>
  <si>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</si>
  <si>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</si>
  <si>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</si>
  <si>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</si>
  <si>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</si>
  <si>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</si>
  <si>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</si>
  <si>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</si>
  <si>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</si>
  <si>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</si>
  <si>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</si>
  <si>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</si>
  <si>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</si>
  <si>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</si>
  <si>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</si>
  <si>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</si>
  <si>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</si>
  <si>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</si>
  <si>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</si>
  <si>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</si>
  <si>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</si>
  <si>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</si>
  <si>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</si>
  <si>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</si>
  <si>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</si>
  <si>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</si>
  <si>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</si>
  <si>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</si>
  <si>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</si>
  <si>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</si>
  <si>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</si>
  <si>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</si>
  <si>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</si>
  <si>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</si>
  <si>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</si>
  <si>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</si>
  <si>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</si>
  <si>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</si>
  <si>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</si>
  <si>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</si>
  <si>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</si>
  <si>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</si>
  <si>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</si>
  <si>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</si>
  <si>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</si>
  <si>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</si>
  <si>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</si>
  <si>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</si>
  <si>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</si>
  <si>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</si>
  <si>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</si>
  <si>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</si>
  <si>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</si>
  <si>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</si>
  <si>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</si>
  <si>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</si>
  <si>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</si>
  <si>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</si>
  <si>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</si>
  <si>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</si>
  <si>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</si>
  <si>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</si>
  <si>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</si>
  <si>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</si>
  <si>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</si>
  <si>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</si>
  <si>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</si>
  <si>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</si>
  <si>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</si>
  <si>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</si>
  <si>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</si>
  <si>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</si>
  <si>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</si>
  <si>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</si>
  <si>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</si>
  <si>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</si>
  <si>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</si>
  <si>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</si>
  <si>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</si>
  <si>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</si>
  <si>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</si>
  <si>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</si>
  <si>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</si>
  <si>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</si>
  <si>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</si>
  <si>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</si>
  <si>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</si>
  <si>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</si>
  <si>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</si>
  <si>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</si>
  <si>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</si>
  <si>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</si>
  <si>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</si>
  <si>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</si>
  <si>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</si>
  <si>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</si>
  <si>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</si>
  <si>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</si>
  <si>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</si>
  <si>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</si>
  <si>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</si>
  <si>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</si>
  <si>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</si>
  <si>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</si>
  <si>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</si>
  <si>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</si>
  <si>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</si>
  <si>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</si>
  <si>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</si>
  <si>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</si>
  <si>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</si>
  <si>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</si>
  <si>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</si>
  <si>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</si>
  <si>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</si>
  <si>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</si>
  <si>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</si>
  <si>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</si>
  <si>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</si>
  <si>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</si>
  <si>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</si>
  <si>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</si>
  <si>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</si>
  <si>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</si>
  <si>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</si>
  <si>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</si>
  <si>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</si>
  <si>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</si>
  <si>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</si>
  <si>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</si>
  <si>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</si>
  <si>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</si>
  <si>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</si>
  <si>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</si>
  <si>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</si>
  <si>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</si>
  <si>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</si>
  <si>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</si>
  <si>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</si>
  <si>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</si>
  <si>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</si>
  <si>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</si>
  <si>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</si>
  <si>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</si>
  <si>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</si>
  <si>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</si>
  <si>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</si>
  <si>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</si>
  <si>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</si>
  <si>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</si>
  <si>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</si>
  <si>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</si>
  <si>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</si>
  <si>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</si>
  <si>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</si>
  <si>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</si>
  <si>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</si>
  <si>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</si>
  <si>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</si>
  <si>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</si>
  <si>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</si>
  <si>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</si>
  <si>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</si>
  <si>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</si>
  <si>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</si>
  <si>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</si>
  <si>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</si>
  <si>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</si>
  <si>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</si>
  <si>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</si>
  <si>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</si>
  <si>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</si>
  <si>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</si>
  <si>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</si>
  <si>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</si>
  <si>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</si>
  <si>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</si>
  <si>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</si>
  <si>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</si>
  <si>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</si>
  <si>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</si>
  <si>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</si>
  <si>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</si>
  <si>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</si>
  <si>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</si>
  <si>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</si>
  <si>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</si>
  <si>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</si>
  <si>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</si>
  <si>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</si>
  <si>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</si>
  <si>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</si>
  <si>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</si>
  <si>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</si>
  <si>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</si>
  <si>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</si>
  <si>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</si>
  <si>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</si>
  <si>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</si>
  <si>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</si>
  <si>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</si>
  <si>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</si>
  <si>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</si>
  <si>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</si>
  <si>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</si>
  <si>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</si>
  <si>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</si>
  <si>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</si>
  <si>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</si>
  <si>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</si>
  <si>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</si>
  <si>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</si>
  <si>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</si>
  <si>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</si>
  <si>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</si>
  <si>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</si>
  <si>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</si>
  <si>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</si>
  <si>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</si>
  <si>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</si>
  <si>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</si>
  <si>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</si>
  <si>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</si>
  <si>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</si>
  <si>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</si>
  <si>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</si>
  <si>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</si>
  <si>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</si>
  <si>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</si>
  <si>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</si>
  <si>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</si>
  <si>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</si>
  <si>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</si>
  <si>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</si>
  <si>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</si>
  <si>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</si>
  <si>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</si>
  <si>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</si>
  <si>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</si>
  <si>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</si>
  <si>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</si>
  <si>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</si>
  <si>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</si>
  <si>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</si>
  <si>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</si>
  <si>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</si>
  <si>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</si>
  <si>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</si>
  <si>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</si>
  <si>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</si>
  <si>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</si>
  <si>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</si>
  <si>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</si>
  <si>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</si>
  <si>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</si>
  <si>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</si>
  <si>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</si>
  <si>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</si>
  <si>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</si>
  <si>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</si>
  <si>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</si>
  <si>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</si>
  <si>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</si>
  <si>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</si>
  <si>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</si>
  <si>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</si>
  <si>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</si>
  <si>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</si>
  <si>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</si>
  <si>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</si>
  <si>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</si>
  <si>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</si>
  <si>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</si>
  <si>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</si>
  <si>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</si>
  <si>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</si>
  <si>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</si>
  <si>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</si>
  <si>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</si>
  <si>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</si>
  <si>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</si>
  <si>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</si>
  <si>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</si>
  <si>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</si>
  <si>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</si>
  <si>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</si>
  <si>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</si>
  <si>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</si>
  <si>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</si>
  <si>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</si>
  <si>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</si>
  <si>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</si>
  <si>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</si>
  <si>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</si>
  <si>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</si>
  <si>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</si>
  <si>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</si>
  <si>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</si>
  <si>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</si>
  <si>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</si>
  <si>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</si>
  <si>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</si>
  <si>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</si>
  <si>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</si>
  <si>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</si>
  <si>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</si>
  <si>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</si>
  <si>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</si>
  <si>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</si>
  <si>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</si>
  <si>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</si>
  <si>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</si>
  <si>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</si>
  <si>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</si>
  <si>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</si>
  <si>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</si>
  <si>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</si>
  <si>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</si>
  <si>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</si>
  <si>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</si>
  <si>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</si>
  <si>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</si>
  <si>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</si>
  <si>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</si>
  <si>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</si>
  <si>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</si>
  <si>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</si>
  <si>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</si>
  <si>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</si>
  <si>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</si>
  <si>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</si>
  <si>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</si>
  <si>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</si>
  <si>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</si>
  <si>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</si>
  <si>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</si>
  <si>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</si>
  <si>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</si>
  <si>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</si>
  <si>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</si>
  <si>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</si>
  <si>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</si>
  <si>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</si>
  <si>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</si>
  <si>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</si>
  <si>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</si>
  <si>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</si>
  <si>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</si>
  <si>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</si>
  <si>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</si>
  <si>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</si>
  <si>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</si>
  <si>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</si>
  <si>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</si>
  <si>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</si>
  <si>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</si>
  <si>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</si>
  <si>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</si>
  <si>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</si>
  <si>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</si>
  <si>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</si>
  <si>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</si>
  <si>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</si>
  <si>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</si>
  <si>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</si>
  <si>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</si>
  <si>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</si>
  <si>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</si>
  <si>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</si>
  <si>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</si>
  <si>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</si>
  <si>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</si>
  <si>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</si>
  <si>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</si>
  <si>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</si>
  <si>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</si>
  <si>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</si>
  <si>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</si>
  <si>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</si>
  <si>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</si>
  <si>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</si>
  <si>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</si>
  <si>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</si>
  <si>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</si>
  <si>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</si>
  <si>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</si>
  <si>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</si>
  <si>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</si>
  <si>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</si>
  <si>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</si>
  <si>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</si>
  <si>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</si>
  <si>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</si>
  <si>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</si>
  <si>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</si>
  <si>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</si>
  <si>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</si>
  <si>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</si>
  <si>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</si>
  <si>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</si>
  <si>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</si>
  <si>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</si>
  <si>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</si>
  <si>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</si>
  <si>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</si>
  <si>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</si>
  <si>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</si>
  <si>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</si>
  <si>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</si>
  <si>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</si>
  <si>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</si>
  <si>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</si>
  <si>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</si>
  <si>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</si>
  <si>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</si>
  <si>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</si>
  <si>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</si>
  <si>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</si>
  <si>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</si>
  <si>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</si>
  <si>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</si>
  <si>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</si>
  <si>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</si>
  <si>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</si>
  <si>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</si>
  <si>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</si>
  <si>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</si>
  <si>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</si>
  <si>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</si>
  <si>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</si>
  <si>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</si>
  <si>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</si>
  <si>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</si>
  <si>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</si>
  <si>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</si>
  <si>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</si>
  <si>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</si>
  <si>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</si>
  <si>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</si>
  <si>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</si>
  <si>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</si>
  <si>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</si>
  <si>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</si>
  <si>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</si>
  <si>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</si>
  <si>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</si>
  <si>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</si>
  <si>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</si>
  <si>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</si>
  <si>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</si>
  <si>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</si>
  <si>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</si>
  <si>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</si>
  <si>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</si>
  <si>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</si>
  <si>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</si>
  <si>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</si>
  <si>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</si>
  <si>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</si>
  <si>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</si>
  <si>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</si>
  <si>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</si>
  <si>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</si>
  <si>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</si>
  <si>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</si>
  <si>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</si>
  <si>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</si>
  <si>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</si>
  <si>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</si>
  <si>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</si>
  <si>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</si>
  <si>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</si>
  <si>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</si>
  <si>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</si>
  <si>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</si>
  <si>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</si>
  <si>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</si>
  <si>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</si>
  <si>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</si>
  <si>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</si>
  <si>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</si>
  <si>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</si>
  <si>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</si>
  <si>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</si>
  <si>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</si>
  <si>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</si>
  <si>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</si>
  <si>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</si>
  <si>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</si>
  <si>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</si>
  <si>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</si>
  <si>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</si>
  <si>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</si>
  <si>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</si>
  <si>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</si>
  <si>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</si>
  <si>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</si>
  <si>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</si>
  <si>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</si>
  <si>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</si>
  <si>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</si>
  <si>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</si>
  <si>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</si>
  <si>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</si>
  <si>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</si>
  <si>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</si>
  <si>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</si>
  <si>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</si>
  <si>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</si>
  <si>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</si>
  <si>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</si>
  <si>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</si>
  <si>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</si>
  <si>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</si>
  <si>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</si>
  <si>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</si>
  <si>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</si>
  <si>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</si>
  <si>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</si>
  <si>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</si>
  <si>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</si>
  <si>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</si>
  <si>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</si>
  <si>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</si>
  <si>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</si>
  <si>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</si>
  <si>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</si>
  <si>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</si>
  <si>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</si>
  <si>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</si>
  <si>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</si>
  <si>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</si>
  <si>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</si>
  <si>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</si>
  <si>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</si>
  <si>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</si>
  <si>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</si>
  <si>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</si>
  <si>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</si>
  <si>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</si>
  <si>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</si>
  <si>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</si>
  <si>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</si>
  <si>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</si>
  <si>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</si>
  <si>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</si>
  <si>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</si>
  <si>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</si>
  <si>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</si>
  <si>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</si>
  <si>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</si>
  <si>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</si>
  <si>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</si>
  <si>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</si>
  <si>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</si>
  <si>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</si>
  <si>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</si>
  <si>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</si>
  <si>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</si>
  <si>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</si>
  <si>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</si>
  <si>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</si>
  <si>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</si>
  <si>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</si>
  <si>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</si>
  <si>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</si>
  <si>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</si>
  <si>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</si>
  <si>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</si>
  <si>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</si>
  <si>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</si>
  <si>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</si>
  <si>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</si>
  <si>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</si>
  <si>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</si>
  <si>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</si>
  <si>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</si>
  <si>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</si>
  <si>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</si>
  <si>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</si>
  <si>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</si>
  <si>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</si>
  <si>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</si>
  <si>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</si>
  <si>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</si>
  <si>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</si>
  <si>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</si>
  <si>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</si>
  <si>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</si>
  <si>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</si>
  <si>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</si>
  <si>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</si>
  <si>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</si>
  <si>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</si>
  <si>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</si>
  <si>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</si>
  <si>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</si>
  <si>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</si>
  <si>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</si>
  <si>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</si>
  <si>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</si>
  <si>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</si>
  <si>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</si>
  <si>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</si>
  <si>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</si>
  <si>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</si>
  <si>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</si>
  <si>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</si>
  <si>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</si>
  <si>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</si>
  <si>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</si>
  <si>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</si>
  <si>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</si>
  <si>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</si>
  <si>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</si>
  <si>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</si>
  <si>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</si>
  <si>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</si>
  <si>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</si>
  <si>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</si>
  <si>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</si>
  <si>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</si>
  <si>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</si>
  <si>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</si>
  <si>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</si>
  <si>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</si>
  <si>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</si>
  <si>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</si>
  <si>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</si>
  <si>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</si>
  <si>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</si>
  <si>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</si>
  <si>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</si>
  <si>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</si>
  <si>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</si>
  <si>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</si>
  <si>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</si>
  <si>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</si>
  <si>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</si>
  <si>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</si>
  <si>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</si>
  <si>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</si>
  <si>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</si>
  <si>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</si>
  <si>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</si>
  <si>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</si>
  <si>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</si>
  <si>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</si>
  <si>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</si>
  <si>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</si>
  <si>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</si>
  <si>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</si>
  <si>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</si>
  <si>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</si>
  <si>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</si>
  <si>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</si>
  <si>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</si>
  <si>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</si>
  <si>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</si>
  <si>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</si>
  <si>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</si>
  <si>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</si>
  <si>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</si>
  <si>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</si>
  <si>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</si>
  <si>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</si>
  <si>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</si>
  <si>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</si>
  <si>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</si>
  <si>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</si>
  <si>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</si>
  <si>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</si>
  <si>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</si>
  <si>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</si>
  <si>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</si>
  <si>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</si>
  <si>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</si>
  <si>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</si>
  <si>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</si>
  <si>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</si>
  <si>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</si>
  <si>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</si>
  <si>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</si>
  <si>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</si>
  <si>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</si>
  <si>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</si>
  <si>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</si>
  <si>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</si>
  <si>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</si>
  <si>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</si>
  <si>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</si>
  <si>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</si>
  <si>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</si>
  <si>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</si>
  <si>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</si>
  <si>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</si>
  <si>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</si>
  <si>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</si>
  <si>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</si>
  <si>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</si>
  <si>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</si>
  <si>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</si>
  <si>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</si>
  <si>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</si>
  <si>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</si>
  <si>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</si>
  <si>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</si>
  <si>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</si>
  <si>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</si>
  <si>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</si>
  <si>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</si>
  <si>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</si>
  <si>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</si>
  <si>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</si>
  <si>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</si>
  <si>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</si>
  <si>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</si>
  <si>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</si>
  <si>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</si>
  <si>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</si>
  <si>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</si>
  <si>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</si>
  <si>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</si>
  <si>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</si>
  <si>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</si>
  <si>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</si>
  <si>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</si>
  <si>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</si>
  <si>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</si>
  <si>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</si>
  <si>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</si>
  <si>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</si>
  <si>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</si>
  <si>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</si>
  <si>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</si>
  <si>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</si>
  <si>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</si>
  <si>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</si>
  <si>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</si>
  <si>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</si>
  <si>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</si>
  <si>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</si>
  <si>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</si>
  <si>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</si>
  <si>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</si>
  <si>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</si>
  <si>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</si>
  <si>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</si>
  <si>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</si>
  <si>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</si>
  <si>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</si>
  <si>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</si>
  <si>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</si>
  <si>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</si>
  <si>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</si>
  <si>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</si>
  <si>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</si>
  <si>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</si>
  <si>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</si>
  <si>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</si>
  <si>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</si>
  <si>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</si>
  <si>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</si>
  <si>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</si>
  <si>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</si>
  <si>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</si>
  <si>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</si>
  <si>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</si>
  <si>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</si>
  <si>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</si>
  <si>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</si>
  <si>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</si>
  <si>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</si>
  <si>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</si>
  <si>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</si>
  <si>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</si>
  <si>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</si>
  <si>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</si>
  <si>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</si>
  <si>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</si>
  <si>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</si>
  <si>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</si>
  <si>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</si>
  <si>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</si>
  <si>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</si>
  <si>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</si>
  <si>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</si>
  <si>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</si>
  <si>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</si>
  <si>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</si>
  <si>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</si>
  <si>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</si>
  <si>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</si>
  <si>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</si>
  <si>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</si>
  <si>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</si>
  <si>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</si>
  <si>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</si>
  <si>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</si>
  <si>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</si>
  <si>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</si>
  <si>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</si>
  <si>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</si>
  <si>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</si>
  <si>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</si>
  <si>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</si>
  <si>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</si>
  <si>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</si>
  <si>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</si>
  <si>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</si>
  <si>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</si>
  <si>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</si>
  <si>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</si>
  <si>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</si>
  <si>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</si>
  <si>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</si>
  <si>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</si>
  <si>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</si>
  <si>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</si>
  <si>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</si>
  <si>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</si>
  <si>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</si>
  <si>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</si>
  <si>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</si>
  <si>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</si>
  <si>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</si>
  <si>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</si>
  <si>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</si>
  <si>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</si>
  <si>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</si>
  <si>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</si>
  <si>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</si>
  <si>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</si>
  <si>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</si>
  <si>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</si>
  <si>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</si>
  <si>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</si>
  <si>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</si>
  <si>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</si>
  <si>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</si>
  <si>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</si>
  <si>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</si>
  <si>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</si>
  <si>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</si>
  <si>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</si>
  <si>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</si>
  <si>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</si>
  <si>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</si>
  <si>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</si>
  <si>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</si>
  <si>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</si>
  <si>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</si>
  <si>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</si>
  <si>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</si>
  <si>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</si>
  <si>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</si>
  <si>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</si>
  <si>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</si>
  <si>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</si>
  <si>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</si>
  <si>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</si>
  <si>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</si>
  <si>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</si>
  <si>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</si>
  <si>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</si>
  <si>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</si>
  <si>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</si>
  <si>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</si>
  <si>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</si>
  <si>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</si>
  <si>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</si>
  <si>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</si>
  <si>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</si>
  <si>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</si>
  <si>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</si>
  <si>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</si>
  <si>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</si>
  <si>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</si>
  <si>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</si>
  <si>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</si>
  <si>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</si>
  <si>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</si>
  <si>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</si>
  <si>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</si>
  <si>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</si>
  <si>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</si>
  <si>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</si>
  <si>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</si>
  <si>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</si>
  <si>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</si>
  <si>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</si>
  <si>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</si>
  <si>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</si>
  <si>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</si>
  <si>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</si>
  <si>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</si>
  <si>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</si>
  <si>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</si>
  <si>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</si>
  <si>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</si>
  <si>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</si>
  <si>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</si>
  <si>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</si>
  <si>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</si>
  <si>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</si>
  <si>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</si>
  <si>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</si>
  <si>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</si>
  <si>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</si>
  <si>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</si>
  <si>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</si>
  <si>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</si>
  <si>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</si>
  <si>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</si>
  <si>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</si>
  <si>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</si>
  <si>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</si>
  <si>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</si>
  <si>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</si>
  <si>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</si>
  <si>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</si>
  <si>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</si>
  <si>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</si>
  <si>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</si>
  <si>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</si>
  <si>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</si>
  <si>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</si>
  <si>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</si>
  <si>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</si>
  <si>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</si>
  <si>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</si>
  <si>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</si>
  <si>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</si>
  <si>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</si>
  <si>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</si>
  <si>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</si>
  <si>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</si>
  <si>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</si>
  <si>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</si>
  <si>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</si>
  <si>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</si>
  <si>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</si>
  <si>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</si>
  <si>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</si>
  <si>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</si>
  <si>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</si>
  <si>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</si>
  <si>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</si>
  <si>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</si>
  <si>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</si>
  <si>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</si>
  <si>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</si>
  <si>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</si>
  <si>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</si>
  <si>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</si>
  <si>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</si>
  <si>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</si>
  <si>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</si>
  <si>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</si>
  <si>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</si>
  <si>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</si>
  <si>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</si>
  <si>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</si>
  <si>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</si>
  <si>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</si>
  <si>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</si>
  <si>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</si>
  <si>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</si>
  <si>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</si>
  <si>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</si>
  <si>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</si>
  <si>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</si>
  <si>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</si>
  <si>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</si>
  <si>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</si>
  <si>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</si>
  <si>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</si>
  <si>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</si>
  <si>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</si>
  <si>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</si>
  <si>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</si>
  <si>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</si>
  <si>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</si>
  <si>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</si>
  <si>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</si>
  <si>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</si>
  <si>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</si>
  <si>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</si>
  <si>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</si>
  <si>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</si>
  <si>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</si>
  <si>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</si>
  <si>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</si>
  <si>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</si>
  <si>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</si>
  <si>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</si>
  <si>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</si>
  <si>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</si>
  <si>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</si>
  <si>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</si>
  <si>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</si>
  <si>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</si>
  <si>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</si>
  <si>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</si>
  <si>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</si>
  <si>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</si>
  <si>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</si>
  <si>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</si>
  <si>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</si>
  <si>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</si>
  <si>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</si>
  <si>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</si>
  <si>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</si>
  <si>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</si>
  <si>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</si>
  <si>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</si>
  <si>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</si>
  <si>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</si>
  <si>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</si>
  <si>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</si>
  <si>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</si>
  <si>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</si>
  <si>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</si>
  <si>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</si>
  <si>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</si>
  <si>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</si>
  <si>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</si>
  <si>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</si>
  <si>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</si>
  <si>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</si>
  <si>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</si>
  <si>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</si>
  <si>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</si>
  <si>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</si>
  <si>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</si>
  <si>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</si>
  <si>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</si>
  <si>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</si>
  <si>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</si>
  <si>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</si>
  <si>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</si>
  <si>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</si>
  <si>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</si>
  <si>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</si>
  <si>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</si>
  <si>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</si>
  <si>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</si>
  <si>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</si>
  <si>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</si>
  <si>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</si>
  <si>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</si>
  <si>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</si>
  <si>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</si>
  <si>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</si>
  <si>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</si>
  <si>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</si>
  <si>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</si>
  <si>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</si>
  <si>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</si>
  <si>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</si>
  <si>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</si>
  <si>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</si>
  <si>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</si>
  <si>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</si>
  <si>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</si>
  <si>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</si>
  <si>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</si>
  <si>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</si>
  <si>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</si>
  <si>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</si>
  <si>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</si>
  <si>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</si>
  <si>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</si>
  <si>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</si>
  <si>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</si>
  <si>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</si>
  <si>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</si>
  <si>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</si>
  <si>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</si>
  <si>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</si>
  <si>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</si>
  <si>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</si>
  <si>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</si>
  <si>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</si>
  <si>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</si>
  <si>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</si>
  <si>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</si>
  <si>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</si>
  <si>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</si>
  <si>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</si>
  <si>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</si>
  <si>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</si>
  <si>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</si>
  <si>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</si>
  <si>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</si>
  <si>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</si>
  <si>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</si>
  <si>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</si>
  <si>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</si>
  <si>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</si>
  <si>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</si>
  <si>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</si>
  <si>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</si>
  <si>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</si>
  <si>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</si>
  <si>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</si>
  <si>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</si>
  <si>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</si>
  <si>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</si>
  <si>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</si>
  <si>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</si>
  <si>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</si>
  <si>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</si>
  <si>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</si>
  <si>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</si>
  <si>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</si>
  <si>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</si>
  <si>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</si>
  <si>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</si>
  <si>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</si>
  <si>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</si>
  <si>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</si>
  <si>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</si>
  <si>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</si>
  <si>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</si>
  <si>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</si>
  <si>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</si>
  <si>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</si>
  <si>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</si>
  <si>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</si>
  <si>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</si>
  <si>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</si>
  <si>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</si>
  <si>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</si>
  <si>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</si>
  <si>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</si>
  <si>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</si>
  <si>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</si>
  <si>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</si>
  <si>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</si>
  <si>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</si>
  <si>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</si>
  <si>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</si>
  <si>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</si>
  <si>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</si>
  <si>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</si>
  <si>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</si>
  <si>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</si>
  <si>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</si>
  <si>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</si>
  <si>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</si>
  <si>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</si>
  <si>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</si>
  <si>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</si>
  <si>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</si>
  <si>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</si>
  <si>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</si>
  <si>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</si>
  <si>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</si>
  <si>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</si>
  <si>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</si>
  <si>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</si>
  <si>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</si>
  <si>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</si>
  <si>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</si>
  <si>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</si>
  <si>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</si>
  <si>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</si>
  <si>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</si>
  <si>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</si>
  <si>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</si>
  <si>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</si>
  <si>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</si>
  <si>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</si>
  <si>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</si>
  <si>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</si>
  <si>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</si>
  <si>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</si>
  <si>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</si>
  <si>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</si>
  <si>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</si>
  <si>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</si>
  <si>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</si>
  <si>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</si>
  <si>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</si>
  <si>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</si>
  <si>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</si>
  <si>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</si>
  <si>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</si>
  <si>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</si>
  <si>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</si>
  <si>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</si>
  <si>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</si>
  <si>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</si>
  <si>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</si>
  <si>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</si>
  <si>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</si>
  <si>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</si>
  <si>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</si>
  <si>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</si>
  <si>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</si>
  <si>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</si>
  <si>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</si>
  <si>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</si>
  <si>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</si>
  <si>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</si>
  <si>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</si>
  <si>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</si>
  <si>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</si>
  <si>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</si>
  <si>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</si>
  <si>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</si>
  <si>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</si>
  <si>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</si>
  <si>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</si>
  <si>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</si>
  <si>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</si>
  <si>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</si>
  <si>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</si>
  <si>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</si>
  <si>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</si>
  <si>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</si>
  <si>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</si>
  <si>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</si>
  <si>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</si>
  <si>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</si>
  <si>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</si>
  <si>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</si>
  <si>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</si>
  <si>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</si>
  <si>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</si>
  <si>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</si>
  <si>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</si>
  <si>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</si>
  <si>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</si>
  <si>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</si>
  <si>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</si>
  <si>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</si>
  <si>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</si>
  <si>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</si>
  <si>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</si>
  <si>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</si>
  <si>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</si>
  <si>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</si>
  <si>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</si>
  <si>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</si>
  <si>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</si>
  <si>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</si>
  <si>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</si>
  <si>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</si>
  <si>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</si>
  <si>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</si>
  <si>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</si>
  <si>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</si>
  <si>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</si>
  <si>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</si>
  <si>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</si>
  <si>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</si>
  <si>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</si>
  <si>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</si>
  <si>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</si>
  <si>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</si>
  <si>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</si>
  <si>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</si>
  <si>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</si>
  <si>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</si>
  <si>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</si>
  <si>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</si>
  <si>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</si>
  <si>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</si>
  <si>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</si>
  <si>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</si>
  <si>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</si>
  <si>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</si>
  <si>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</si>
  <si>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</si>
  <si>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</si>
  <si>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</si>
  <si>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</si>
  <si>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</si>
  <si>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</si>
  <si>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</si>
  <si>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</si>
  <si>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</si>
  <si>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</si>
  <si>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</si>
  <si>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</si>
  <si>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</si>
  <si>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</si>
  <si>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</si>
  <si>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</si>
  <si>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</si>
  <si>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</si>
  <si>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</si>
  <si>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</si>
  <si>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</si>
  <si>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</si>
  <si>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</si>
  <si>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</si>
  <si>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</si>
  <si>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</si>
  <si>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</si>
  <si>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</si>
  <si>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</si>
  <si>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</si>
  <si>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</si>
  <si>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</si>
  <si>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</si>
  <si>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</si>
  <si>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</si>
  <si>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</si>
  <si>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</si>
  <si>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</si>
  <si>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</si>
  <si>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</si>
  <si>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</si>
  <si>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</si>
  <si>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</si>
  <si>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</si>
  <si>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</si>
  <si>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</si>
  <si>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</si>
  <si>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</si>
  <si>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</si>
  <si>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</si>
  <si>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</si>
  <si>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</si>
  <si>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</si>
  <si>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</si>
  <si>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</si>
  <si>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</si>
  <si>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</si>
  <si>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</si>
  <si>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</si>
  <si>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</si>
  <si>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</si>
  <si>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</si>
  <si>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</si>
  <si>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</si>
  <si>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</si>
  <si>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</si>
  <si>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</si>
  <si>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</si>
  <si>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</si>
  <si>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</si>
  <si>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</si>
  <si>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</si>
  <si>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</si>
  <si>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</si>
  <si>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</si>
  <si>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</si>
  <si>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</si>
  <si>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</si>
  <si>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</si>
  <si>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</si>
  <si>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</si>
  <si>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</si>
  <si>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</si>
  <si>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</si>
  <si>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</si>
  <si>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</si>
  <si>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</si>
  <si>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</si>
  <si>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</si>
  <si>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</si>
  <si>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</si>
  <si>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</si>
  <si>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</si>
  <si>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</si>
  <si>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</si>
  <si>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</si>
  <si>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</si>
  <si>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</si>
  <si>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</si>
  <si>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</si>
  <si>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</si>
  <si>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</si>
  <si>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</si>
  <si>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</si>
  <si>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</si>
  <si>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</si>
  <si>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</si>
  <si>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</si>
  <si>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</si>
  <si>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</si>
  <si>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</si>
  <si>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</si>
  <si>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</si>
  <si>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</si>
  <si>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</si>
  <si>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</si>
  <si>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</si>
  <si>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</si>
  <si>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</si>
  <si>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</si>
  <si>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</si>
  <si>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</si>
  <si>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</si>
  <si>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</si>
  <si>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</si>
  <si>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</si>
  <si>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</si>
  <si>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</si>
  <si>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</si>
  <si>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</si>
  <si>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</si>
  <si>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</si>
  <si>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</si>
  <si>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</si>
  <si>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</si>
  <si>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</si>
  <si>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</si>
  <si>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</si>
  <si>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</si>
  <si>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</si>
  <si>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</si>
  <si>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</si>
  <si>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</si>
  <si>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</si>
  <si>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</si>
  <si>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</si>
  <si>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</si>
  <si>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</si>
  <si>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</si>
  <si>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</si>
  <si>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</si>
  <si>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</si>
  <si>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</si>
  <si>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</si>
  <si>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</si>
  <si>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</si>
  <si>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</si>
  <si>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</si>
  <si>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</si>
  <si>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</si>
  <si>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</si>
  <si>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</si>
  <si>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</si>
  <si>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</si>
  <si>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</si>
  <si>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</si>
  <si>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</si>
  <si>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</si>
  <si>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</si>
  <si>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</si>
  <si>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</si>
  <si>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</si>
  <si>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</si>
  <si>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</si>
  <si>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</si>
  <si>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</si>
  <si>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</si>
  <si>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</si>
  <si>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</si>
  <si>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</si>
  <si>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</si>
  <si>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</si>
  <si>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</si>
  <si>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</si>
  <si>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</si>
  <si>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</si>
  <si>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</si>
  <si>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</si>
  <si>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</si>
  <si>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</si>
  <si>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</si>
  <si>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</si>
  <si>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</si>
  <si>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</si>
  <si>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</si>
  <si>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</si>
  <si>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</si>
  <si>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</si>
  <si>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</si>
  <si>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</si>
  <si>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</si>
  <si>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</si>
  <si>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</si>
  <si>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</si>
  <si>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</si>
  <si>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</si>
  <si>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</si>
  <si>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</si>
  <si>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</si>
  <si>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</si>
  <si>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</si>
  <si>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</si>
  <si>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</si>
  <si>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</si>
  <si>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</si>
  <si>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</si>
  <si>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</si>
  <si>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</si>
  <si>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</si>
  <si>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</si>
  <si>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</si>
  <si>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</si>
  <si>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</si>
  <si>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</si>
  <si>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</si>
  <si>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</si>
  <si>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</si>
  <si>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</si>
  <si>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</si>
  <si>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</si>
  <si>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</si>
  <si>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</si>
  <si>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</si>
  <si>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</si>
  <si>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</si>
  <si>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</si>
  <si>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</si>
  <si>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</si>
  <si>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</si>
  <si>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</si>
  <si>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</si>
  <si>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</si>
  <si>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</si>
  <si>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</si>
  <si>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</si>
  <si>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</si>
  <si>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</si>
  <si>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</si>
  <si>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</si>
  <si>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</si>
  <si>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</si>
  <si>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</si>
  <si>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</si>
  <si>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</si>
  <si>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</si>
  <si>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</si>
  <si>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</si>
  <si>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</si>
  <si>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</si>
  <si>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</si>
  <si>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</si>
  <si>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</si>
  <si>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</si>
  <si>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</si>
  <si>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</si>
  <si>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</si>
  <si>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</si>
  <si>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</si>
  <si>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</si>
  <si>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</si>
  <si>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</si>
  <si>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</si>
  <si>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</si>
  <si>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</si>
  <si>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</si>
  <si>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</si>
  <si>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</si>
  <si>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</si>
  <si>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</si>
  <si>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</si>
  <si>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</si>
  <si>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</si>
  <si>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</si>
  <si>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</si>
  <si>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</si>
  <si>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</si>
  <si>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</si>
  <si>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</si>
  <si>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</si>
  <si>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</si>
  <si>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</si>
  <si>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</si>
  <si>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</si>
  <si>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</si>
  <si>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</si>
  <si>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</si>
  <si>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</si>
  <si>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</si>
  <si>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</si>
  <si>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</si>
  <si>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</si>
  <si>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</si>
  <si>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</si>
  <si>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</si>
  <si>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</si>
  <si>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</si>
  <si>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</si>
  <si>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</si>
  <si>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</si>
  <si>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</si>
  <si>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</si>
  <si>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</si>
  <si>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</si>
  <si>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</si>
  <si>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</si>
  <si>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</si>
  <si>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</si>
  <si>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</si>
  <si>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</si>
  <si>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</si>
  <si>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</si>
  <si>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</si>
  <si>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</si>
  <si>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</si>
  <si>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</si>
  <si>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</si>
  <si>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</si>
  <si>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</si>
  <si>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</si>
  <si>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</si>
  <si>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</si>
  <si>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</si>
  <si>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</si>
  <si>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</si>
  <si>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</si>
  <si>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</si>
  <si>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</si>
  <si>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</si>
  <si>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</si>
  <si>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</si>
  <si>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</si>
  <si>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</si>
  <si>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</si>
  <si>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</si>
  <si>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</si>
  <si>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</si>
  <si>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</si>
  <si>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</si>
  <si>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</si>
  <si>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</si>
  <si>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</si>
  <si>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</si>
  <si>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</si>
  <si>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</si>
  <si>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</si>
  <si>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</si>
  <si>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</si>
  <si>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</si>
  <si>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</si>
  <si>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</si>
  <si>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</si>
  <si>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</si>
  <si>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</si>
  <si>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</si>
  <si>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</si>
  <si>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</si>
  <si>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</si>
  <si>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</si>
  <si>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</si>
  <si>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</si>
  <si>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</si>
  <si>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</si>
  <si>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</si>
  <si>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</si>
  <si>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</si>
  <si>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</si>
  <si>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</si>
  <si>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</si>
  <si>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</si>
  <si>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</si>
  <si>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</si>
  <si>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</si>
  <si>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</si>
  <si>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</si>
  <si>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</si>
  <si>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</si>
  <si>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</si>
  <si>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</si>
  <si>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</si>
  <si>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</si>
  <si>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</si>
  <si>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</si>
  <si>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</si>
  <si>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</si>
  <si>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</si>
  <si>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</si>
  <si>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</si>
  <si>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</si>
  <si>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</si>
  <si>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</si>
  <si>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</si>
  <si>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</si>
  <si>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</si>
  <si>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</si>
  <si>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</si>
  <si>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</si>
  <si>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</si>
  <si>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</si>
  <si>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</si>
  <si>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</si>
  <si>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</si>
  <si>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</si>
  <si>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</si>
  <si>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</si>
  <si>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</si>
  <si>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</si>
  <si>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</si>
  <si>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</si>
  <si>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</si>
  <si>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</si>
  <si>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</si>
  <si>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</si>
  <si>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</si>
  <si>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</si>
  <si>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</si>
  <si>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</si>
  <si>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</si>
  <si>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</si>
  <si>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</si>
  <si>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</si>
  <si>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</si>
  <si>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</si>
  <si>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</si>
  <si>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</si>
  <si>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</si>
  <si>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</si>
  <si>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</si>
  <si>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</si>
  <si>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</si>
  <si>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</si>
  <si>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</si>
  <si>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</si>
  <si>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</si>
  <si>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</si>
  <si>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</si>
  <si>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</si>
  <si>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</si>
  <si>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</si>
  <si>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</si>
  <si>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</si>
  <si>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</si>
  <si>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</si>
  <si>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</si>
  <si>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</si>
  <si>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</si>
  <si>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</si>
  <si>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</si>
  <si>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</si>
  <si>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</si>
  <si>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</si>
  <si>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</si>
  <si>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</si>
  <si>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</si>
  <si>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</si>
  <si>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</si>
  <si>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</si>
  <si>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</si>
  <si>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</si>
  <si>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</si>
  <si>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</si>
  <si>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</si>
  <si>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</si>
  <si>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</si>
  <si>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</si>
  <si>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</si>
  <si>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</si>
  <si>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</si>
  <si>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</si>
  <si>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</si>
  <si>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</si>
  <si>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</si>
  <si>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</si>
  <si>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</si>
  <si>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</si>
  <si>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</si>
  <si>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</si>
  <si>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</si>
  <si>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</si>
  <si>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</si>
  <si>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</si>
  <si>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</si>
  <si>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</si>
  <si>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</si>
  <si>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</si>
  <si>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</si>
  <si>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</si>
  <si>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</si>
  <si>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</si>
  <si>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</si>
  <si>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</si>
  <si>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</si>
  <si>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</si>
  <si>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</si>
  <si>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</si>
  <si>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</si>
  <si>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</si>
  <si>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</si>
  <si>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</si>
  <si>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</si>
  <si>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</si>
  <si>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</si>
  <si>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</si>
  <si>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</si>
  <si>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</si>
  <si>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</si>
  <si>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</si>
  <si>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</si>
  <si>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</si>
  <si>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</si>
  <si>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</si>
  <si>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</si>
  <si>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</si>
  <si>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</si>
  <si>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</si>
  <si>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</si>
  <si>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</si>
  <si>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</si>
  <si>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</si>
  <si>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</si>
  <si>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</si>
  <si>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</si>
  <si>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</si>
  <si>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</si>
  <si>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</si>
  <si>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</si>
  <si>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</si>
  <si>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</si>
  <si>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</si>
  <si>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</si>
  <si>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</si>
  <si>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</si>
  <si>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</si>
  <si>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</si>
  <si>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</si>
  <si>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</si>
  <si>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</si>
  <si>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</si>
  <si>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</si>
  <si>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</si>
  <si>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</si>
  <si>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</si>
  <si>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</si>
  <si>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</si>
  <si>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</si>
  <si>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</si>
  <si>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</si>
  <si>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</si>
  <si>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</si>
  <si>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</si>
  <si>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</si>
  <si>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</si>
  <si>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</si>
  <si>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</si>
  <si>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</si>
  <si>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</si>
  <si>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</si>
  <si>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</si>
  <si>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</si>
  <si>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</si>
  <si>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</si>
  <si>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</si>
  <si>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</si>
  <si>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</si>
  <si>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</si>
  <si>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</si>
  <si>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</si>
  <si>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</si>
  <si>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</si>
  <si>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</si>
  <si>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</si>
  <si>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</si>
  <si>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</si>
  <si>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</si>
  <si>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</si>
  <si>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</si>
  <si>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</si>
  <si>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</si>
  <si>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</si>
  <si>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</si>
  <si>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</si>
  <si>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</si>
  <si>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</si>
  <si>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</si>
  <si>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</si>
  <si>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</si>
  <si>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</si>
  <si>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</si>
  <si>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</si>
  <si>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</si>
  <si>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</si>
  <si>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</si>
  <si>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</si>
  <si>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</si>
  <si>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</si>
  <si>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</si>
  <si>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</si>
  <si>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</si>
  <si>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</si>
  <si>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</si>
  <si>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</si>
  <si>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</si>
  <si>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</si>
  <si>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</si>
  <si>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</si>
  <si>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</si>
  <si>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</si>
  <si>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</si>
  <si>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</si>
  <si>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</si>
  <si>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</si>
  <si>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</si>
  <si>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</si>
  <si>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</si>
  <si>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</si>
  <si>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</si>
  <si>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</si>
  <si>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</si>
  <si>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</si>
  <si>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</si>
  <si>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</si>
  <si>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</si>
  <si>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</si>
  <si>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</si>
  <si>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</si>
  <si>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</si>
  <si>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</si>
  <si>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</si>
  <si>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</si>
  <si>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</si>
  <si>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</si>
  <si>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</si>
  <si>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</si>
  <si>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</si>
  <si>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</si>
  <si>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</si>
  <si>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</si>
  <si>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</si>
  <si>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</si>
  <si>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</si>
  <si>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</si>
  <si>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</si>
  <si>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</si>
  <si>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</si>
  <si>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</si>
  <si>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</si>
  <si>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</si>
  <si>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</si>
  <si>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</si>
  <si>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</si>
  <si>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</si>
  <si>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</si>
  <si>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</si>
  <si>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</si>
  <si>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</si>
  <si>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</si>
  <si>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</si>
  <si>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</si>
  <si>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</si>
  <si>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</si>
  <si>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</si>
  <si>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</si>
  <si>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</si>
  <si>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</si>
  <si>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</si>
  <si>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</si>
  <si>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</si>
  <si>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</si>
  <si>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</si>
  <si>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</si>
  <si>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</si>
  <si>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</si>
  <si>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</si>
  <si>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</si>
  <si>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</si>
  <si>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</si>
  <si>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</si>
  <si>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</si>
  <si>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</si>
  <si>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</si>
  <si>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</si>
  <si>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</si>
  <si>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</si>
  <si>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</si>
  <si>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</si>
  <si>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</si>
  <si>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</si>
  <si>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</si>
  <si>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</si>
  <si>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</si>
  <si>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</si>
  <si>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</si>
  <si>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</si>
  <si>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</si>
  <si>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</si>
  <si>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</si>
  <si>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</si>
  <si>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</si>
  <si>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</si>
  <si>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</si>
  <si>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</si>
  <si>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</si>
  <si>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</si>
  <si>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</si>
  <si>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</si>
  <si>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</si>
  <si>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</si>
  <si>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</si>
  <si>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</si>
  <si>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</si>
  <si>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</si>
  <si>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</si>
  <si>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</si>
  <si>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</si>
  <si>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</si>
  <si>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</si>
  <si>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</si>
  <si>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</si>
  <si>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</si>
  <si>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</si>
  <si>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</si>
  <si>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</si>
  <si>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</si>
  <si>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</si>
  <si>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</si>
  <si>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</si>
  <si>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</si>
  <si>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</si>
  <si>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</si>
  <si>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</si>
  <si>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</si>
  <si>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</si>
  <si>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</si>
  <si>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</si>
  <si>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</si>
  <si>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</si>
  <si>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</si>
  <si>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</si>
  <si>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</si>
  <si>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</si>
  <si>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</si>
  <si>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</si>
  <si>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</si>
  <si>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</si>
  <si>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</si>
  <si>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</si>
  <si>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</si>
  <si>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</si>
  <si>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</si>
  <si>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</si>
  <si>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</si>
  <si>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</si>
  <si>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</si>
  <si>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</si>
  <si>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</si>
  <si>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</si>
  <si>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</si>
  <si>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</si>
  <si>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</si>
  <si>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</si>
  <si>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</si>
  <si>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</si>
  <si>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</si>
  <si>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</si>
  <si>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</si>
  <si>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</si>
  <si>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</si>
  <si>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</si>
  <si>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</si>
  <si>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</si>
  <si>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</si>
  <si>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</si>
  <si>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</si>
  <si>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</si>
  <si>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</si>
  <si>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</si>
  <si>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</si>
  <si>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</si>
  <si>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</si>
  <si>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</si>
  <si>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</si>
  <si>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</si>
  <si>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</si>
  <si>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</si>
  <si>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</si>
  <si>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</si>
  <si>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</si>
  <si>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</si>
  <si>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</si>
  <si>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</si>
  <si>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</si>
  <si>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</si>
  <si>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</si>
  <si>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</si>
  <si>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</si>
  <si>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</si>
  <si>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</si>
  <si>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</si>
  <si>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</si>
  <si>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</si>
  <si>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</si>
  <si>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</si>
  <si>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</si>
  <si>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</si>
  <si>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</si>
  <si>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</si>
  <si>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</si>
  <si>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</si>
  <si>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</si>
  <si>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</si>
  <si>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</si>
  <si>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</si>
  <si>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</si>
  <si>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</si>
  <si>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</si>
  <si>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</si>
  <si>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</si>
  <si>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</si>
  <si>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</si>
  <si>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</si>
  <si>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</si>
  <si>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</si>
  <si>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</si>
  <si>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</si>
  <si>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</si>
  <si>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</si>
  <si>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</si>
  <si>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</si>
  <si>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</si>
  <si>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</si>
  <si>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</si>
  <si>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</si>
  <si>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</si>
  <si>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</si>
  <si>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</si>
  <si>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</si>
  <si>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</si>
  <si>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</si>
  <si>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</si>
  <si>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</si>
  <si>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</si>
  <si>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</si>
  <si>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</si>
  <si>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</si>
  <si>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</si>
  <si>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</si>
  <si>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</si>
  <si>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</si>
  <si>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</si>
  <si>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</si>
  <si>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</si>
  <si>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</si>
  <si>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</si>
  <si>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</si>
  <si>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</si>
  <si>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</si>
  <si>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</si>
  <si>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</si>
  <si>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</si>
  <si>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</si>
  <si>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</si>
  <si>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</si>
  <si>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</si>
  <si>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</si>
  <si>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</si>
  <si>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</si>
  <si>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</si>
  <si>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</si>
  <si>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</si>
  <si>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</si>
  <si>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</si>
  <si>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</si>
  <si>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</si>
  <si>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</si>
  <si>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</si>
  <si>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</si>
  <si>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</si>
  <si>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</si>
  <si>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</si>
  <si>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</si>
  <si>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</si>
  <si>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</si>
  <si>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</si>
  <si>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</si>
  <si>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</si>
  <si>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</si>
  <si>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</si>
  <si>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</si>
  <si>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</si>
  <si>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</si>
  <si>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</si>
  <si>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</si>
  <si>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</si>
  <si>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</si>
  <si>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</si>
  <si>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</si>
  <si>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</si>
  <si>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</si>
  <si>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</si>
  <si>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</si>
  <si>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</si>
  <si>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</si>
  <si>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</si>
  <si>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</si>
  <si>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</si>
  <si>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</si>
  <si>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</si>
  <si>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</si>
  <si>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</si>
  <si>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</si>
  <si>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</si>
  <si>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</si>
  <si>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</si>
  <si>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</si>
  <si>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</si>
  <si>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</si>
  <si>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</si>
  <si>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</si>
  <si>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</si>
  <si>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</si>
  <si>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</si>
  <si>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</si>
  <si>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</si>
  <si>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</si>
  <si>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</si>
  <si>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</si>
  <si>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</si>
  <si>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</si>
  <si>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</si>
  <si>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</si>
  <si>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</si>
  <si>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</si>
  <si>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</si>
  <si>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</si>
  <si>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</si>
  <si>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</si>
  <si>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</si>
  <si>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</si>
  <si>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</si>
  <si>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</si>
  <si>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</si>
  <si>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</si>
  <si>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</si>
  <si>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</si>
  <si>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</si>
  <si>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</si>
  <si>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</si>
  <si>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</si>
  <si>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</si>
  <si>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</si>
  <si>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</si>
  <si>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</si>
  <si>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</si>
  <si>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</si>
  <si>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</si>
  <si>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</si>
  <si>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</si>
  <si>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</si>
  <si>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</si>
  <si>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</si>
  <si>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</si>
  <si>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</si>
  <si>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</si>
  <si>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</si>
  <si>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</si>
  <si>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</si>
  <si>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</si>
  <si>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</si>
  <si>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</si>
  <si>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</si>
  <si>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</si>
  <si>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</si>
  <si>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</si>
  <si>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</si>
  <si>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</si>
  <si>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</si>
  <si>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</si>
  <si>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</si>
  <si>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</si>
  <si>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</si>
  <si>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</si>
  <si>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</si>
  <si>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</si>
  <si>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</si>
  <si>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</si>
  <si>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</si>
  <si>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</si>
  <si>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</si>
  <si>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</si>
  <si>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</si>
  <si>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</si>
  <si>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</si>
  <si>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</si>
  <si>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</si>
  <si>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</si>
  <si>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</si>
  <si>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</si>
  <si>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</si>
  <si>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</si>
  <si>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</si>
  <si>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</si>
  <si>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</si>
  <si>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</si>
  <si>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</si>
  <si>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</si>
  <si>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</si>
  <si>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</si>
  <si>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</si>
  <si>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</si>
  <si>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</si>
  <si>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</si>
  <si>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</si>
  <si>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</si>
  <si>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</si>
  <si>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</si>
  <si>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</si>
  <si>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</si>
  <si>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</si>
  <si>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</si>
  <si>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</si>
  <si>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</si>
  <si>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</si>
  <si>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</si>
  <si>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</si>
  <si>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</si>
  <si>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</si>
  <si>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</si>
  <si>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</si>
  <si>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</si>
  <si>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</si>
  <si>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</si>
  <si>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</si>
  <si>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</si>
  <si>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</si>
  <si>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</si>
  <si>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</si>
  <si>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</si>
  <si>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</si>
  <si>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</si>
  <si>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</si>
  <si>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</si>
  <si>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</si>
  <si>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</si>
  <si>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</si>
  <si>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</si>
  <si>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</si>
  <si>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</si>
  <si>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</si>
  <si>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</si>
  <si>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</si>
  <si>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</si>
  <si>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Lionel Messi</t>
  </si>
  <si>
    <t>2. Iran</t>
  </si>
  <si>
    <t>3. Argentiina</t>
  </si>
  <si>
    <t>5. Messi</t>
  </si>
  <si>
    <t>6. Brasilia</t>
  </si>
  <si>
    <t>7. Costa Rica</t>
  </si>
  <si>
    <t>8. Switzerland</t>
  </si>
  <si>
    <t>9. Kevin De Bruyne</t>
  </si>
  <si>
    <t>10. Jah</t>
  </si>
  <si>
    <t>4. 2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</si>
</sst>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6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16" fontId="0" fillId="12" borderId="0" xfId="0" applyNumberFormat="1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51</xdr:row>
      <xdr:rowOff>27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">
      <c r="A103" s="1"/>
    </row>
    <row r="104" spans="1:42" x14ac:dyDescent="0.3">
      <c r="A104" s="1"/>
    </row>
    <row r="105" spans="1:42" x14ac:dyDescent="0.3">
      <c r="A105" s="1"/>
    </row>
    <row r="106" spans="1:42" x14ac:dyDescent="0.3">
      <c r="A106" s="1"/>
    </row>
    <row r="107" spans="1:42" x14ac:dyDescent="0.3">
      <c r="A107" s="1"/>
    </row>
    <row r="108" spans="1:42" x14ac:dyDescent="0.3">
      <c r="A108" s="1"/>
    </row>
    <row r="109" spans="1:42" x14ac:dyDescent="0.3">
      <c r="A109" s="1"/>
    </row>
    <row r="110" spans="1:42" x14ac:dyDescent="0.3">
      <c r="A110" s="1"/>
    </row>
    <row r="111" spans="1:42" x14ac:dyDescent="0.3">
      <c r="A111" s="1"/>
    </row>
    <row r="112" spans="1:42" x14ac:dyDescent="0.3">
      <c r="A112" s="1"/>
    </row>
    <row r="113" spans="1:42" x14ac:dyDescent="0.3">
      <c r="A113" s="1"/>
    </row>
    <row r="114" spans="1:42" x14ac:dyDescent="0.3">
      <c r="A114" s="1"/>
    </row>
    <row r="115" spans="1:42" x14ac:dyDescent="0.3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09375" defaultRowHeight="14.4" x14ac:dyDescent="0.3"/>
  <cols>
    <col min="1" max="1" width="1.21875" style="10" customWidth="1"/>
    <col min="2" max="2" width="18.77734375" style="10" bestFit="1" customWidth="1"/>
    <col min="3" max="3" width="20.33203125" style="10" customWidth="1"/>
    <col min="4" max="4" width="9.109375" style="10"/>
    <col min="5" max="5" width="1.21875" style="10" customWidth="1"/>
    <col min="6" max="6" width="9.109375" style="10"/>
    <col min="7" max="7" width="27.5546875" style="10" bestFit="1" customWidth="1"/>
    <col min="8" max="8" width="2.6640625" style="10" customWidth="1"/>
    <col min="9" max="9" width="1.21875" style="10" customWidth="1"/>
    <col min="10" max="16384" width="9.109375" style="10"/>
  </cols>
  <sheetData>
    <row r="1" spans="2:12" ht="7.5" customHeight="1" x14ac:dyDescent="0.3"/>
    <row r="2" spans="2:12" ht="16.2" thickBot="1" x14ac:dyDescent="0.3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">
      <c r="B3" s="64"/>
      <c r="C3" s="65"/>
      <c r="D3" s="66"/>
      <c r="F3" s="64"/>
      <c r="G3" s="65"/>
      <c r="H3" s="66"/>
    </row>
    <row r="4" spans="2:12" x14ac:dyDescent="0.3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">
      <c r="B11" s="64"/>
      <c r="C11" s="65"/>
      <c r="D11" s="66"/>
      <c r="F11" s="73"/>
      <c r="G11" s="74"/>
      <c r="H11" s="75"/>
    </row>
    <row r="12" spans="2:12" x14ac:dyDescent="0.3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">
      <c r="F14" s="83"/>
      <c r="G14" s="83"/>
      <c r="H14" s="83"/>
      <c r="I14" s="83"/>
      <c r="J14" s="83"/>
      <c r="K14" s="99"/>
      <c r="L14" s="99"/>
    </row>
    <row r="15" spans="2:12" ht="9" customHeight="1" x14ac:dyDescent="0.3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2" thickBot="1" x14ac:dyDescent="0.3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zoomScaleNormal="100" workbookViewId="0">
      <selection activeCell="AZ31" sqref="AZ31"/>
    </sheetView>
  </sheetViews>
  <sheetFormatPr defaultColWidth="9.109375" defaultRowHeight="14.4" x14ac:dyDescent="0.3"/>
  <cols>
    <col min="1" max="1" width="4.88671875" style="3" customWidth="1"/>
    <col min="2" max="2" width="6.21875" style="3" customWidth="1"/>
    <col min="3" max="3" width="11.6640625" style="3" bestFit="1" customWidth="1"/>
    <col min="4" max="4" width="7.21875" style="4" customWidth="1"/>
    <col min="5" max="5" width="22.5546875" style="5" customWidth="1"/>
    <col min="6" max="7" width="4.33203125" style="6" customWidth="1"/>
    <col min="8" max="8" width="22.5546875" style="7" customWidth="1"/>
    <col min="9" max="9" width="3.44140625" style="2" customWidth="1"/>
    <col min="10" max="10" width="14" style="8" customWidth="1"/>
    <col min="11" max="14" width="5.5546875" style="9" customWidth="1"/>
    <col min="15" max="15" width="7.6640625" style="9" customWidth="1"/>
    <col min="16" max="16" width="6.6640625" style="9" customWidth="1"/>
    <col min="17" max="17" width="3.44140625" style="98" customWidth="1"/>
    <col min="18" max="18" width="15.44140625" style="47" hidden="1" customWidth="1"/>
    <col min="19" max="20" width="16" style="88" hidden="1" customWidth="1"/>
    <col min="21" max="21" width="5" style="48" hidden="1" customWidth="1"/>
    <col min="22" max="25" width="6.21875" style="47" hidden="1" customWidth="1"/>
    <col min="26" max="26" width="4.33203125" style="48" hidden="1" customWidth="1"/>
    <col min="27" max="27" width="5.5546875" style="47" hidden="1" customWidth="1"/>
    <col min="28" max="28" width="13.44140625" style="48" hidden="1" customWidth="1"/>
    <col min="29" max="33" width="5.5546875" style="47" hidden="1" customWidth="1"/>
    <col min="34" max="36" width="6" style="47" hidden="1" customWidth="1"/>
    <col min="37" max="37" width="5.5546875" style="47" hidden="1" customWidth="1"/>
    <col min="38" max="38" width="6" style="47" hidden="1" customWidth="1"/>
    <col min="39" max="39" width="7.109375" style="48" hidden="1" customWidth="1"/>
    <col min="40" max="40" width="10" style="48" hidden="1" customWidth="1"/>
    <col min="41" max="41" width="15.33203125" style="48" hidden="1" customWidth="1"/>
    <col min="42" max="46" width="4.6640625" style="47" hidden="1" customWidth="1"/>
    <col min="47" max="49" width="9.109375" style="48" hidden="1" customWidth="1"/>
    <col min="50" max="50" width="9.109375" style="49" hidden="1" customWidth="1"/>
    <col min="51" max="51" width="3.21875" style="2" customWidth="1"/>
    <col min="52" max="52" width="19.77734375" style="2" customWidth="1"/>
    <col min="53" max="55" width="3" style="2" customWidth="1"/>
    <col min="56" max="57" width="2" style="2" customWidth="1"/>
    <col min="58" max="58" width="3.21875" style="2" customWidth="1"/>
    <col min="59" max="59" width="19.77734375" style="2" customWidth="1"/>
    <col min="60" max="62" width="3" style="2" customWidth="1"/>
    <col min="63" max="64" width="2" style="2" customWidth="1"/>
    <col min="65" max="65" width="3.21875" style="2" customWidth="1"/>
    <col min="66" max="66" width="19.77734375" style="2" customWidth="1"/>
    <col min="67" max="69" width="3" style="2" customWidth="1"/>
    <col min="70" max="71" width="2" style="2" customWidth="1"/>
    <col min="72" max="72" width="3.21875" style="2" customWidth="1"/>
    <col min="73" max="73" width="19.77734375" style="2" customWidth="1"/>
    <col min="74" max="76" width="3" style="2" customWidth="1"/>
    <col min="77" max="16384" width="9.109375" style="2"/>
  </cols>
  <sheetData>
    <row r="1" spans="1:76" ht="46.2" x14ac:dyDescent="0.3">
      <c r="A1" s="111" t="str">
        <f>INDEX(T,2,lang)</f>
        <v>2022 World Cup Final Tournament Schedule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2" t="str">
        <f>"Language: " &amp; Settings!C4</f>
        <v>Language: English</v>
      </c>
      <c r="P3" s="112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"/>
    <row r="5" spans="1:76" ht="15" customHeight="1" x14ac:dyDescent="0.3">
      <c r="A5" s="113" t="str">
        <f>INDEX(T,3,lang)</f>
        <v>Group Stage</v>
      </c>
      <c r="B5" s="114"/>
      <c r="C5" s="114"/>
      <c r="D5" s="114"/>
      <c r="E5" s="114"/>
      <c r="F5" s="114"/>
      <c r="G5" s="114"/>
      <c r="H5" s="115"/>
      <c r="J5" s="119" t="s">
        <v>2006</v>
      </c>
      <c r="K5" s="120"/>
      <c r="L5" s="120"/>
      <c r="M5" s="120"/>
      <c r="N5" s="120"/>
      <c r="O5" s="120"/>
      <c r="P5" s="121"/>
    </row>
    <row r="6" spans="1:76" ht="15" customHeight="1" x14ac:dyDescent="0.3">
      <c r="A6" s="116"/>
      <c r="B6" s="117"/>
      <c r="C6" s="117"/>
      <c r="D6" s="117"/>
      <c r="E6" s="117"/>
      <c r="F6" s="117"/>
      <c r="G6" s="117"/>
      <c r="H6" s="118"/>
      <c r="J6" s="122"/>
      <c r="K6" s="123"/>
      <c r="L6" s="123"/>
      <c r="M6" s="123"/>
      <c r="N6" s="123"/>
      <c r="O6" s="123"/>
      <c r="P6" s="124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5" t="str">
        <f>INDEX(T,4,lang)</f>
        <v>Round of 16</v>
      </c>
      <c r="AZ6" s="106"/>
      <c r="BA6" s="106"/>
      <c r="BB6" s="106"/>
      <c r="BC6" s="107"/>
      <c r="BF6" s="105" t="str">
        <f>INDEX(T,5,lang)</f>
        <v>Quarterfinals</v>
      </c>
      <c r="BG6" s="106"/>
      <c r="BH6" s="106"/>
      <c r="BI6" s="106"/>
      <c r="BJ6" s="107"/>
      <c r="BM6" s="105" t="str">
        <f>INDEX(T,6,lang)</f>
        <v>Semi-Finals</v>
      </c>
      <c r="BN6" s="106"/>
      <c r="BO6" s="106"/>
      <c r="BP6" s="106"/>
      <c r="BQ6" s="107"/>
      <c r="BT6" s="105" t="str">
        <f>INDEX(T,8,lang)</f>
        <v>Final</v>
      </c>
      <c r="BU6" s="106"/>
      <c r="BV6" s="106"/>
      <c r="BW6" s="106"/>
      <c r="BX6" s="107"/>
    </row>
    <row r="7" spans="1:76" ht="15" customHeight="1" x14ac:dyDescent="0.3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2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Qatar_win</v>
      </c>
      <c r="T7" s="88" t="str">
        <f t="shared" ref="T7:T54" si="4">IF(S7="","",IF(F7&lt;G7,H7&amp;"_win",IF(F7&gt;G7,H7&amp;"_lose",H7&amp;"_draw")))</f>
        <v>Ecuador_lose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1</v>
      </c>
      <c r="AY7" s="108"/>
      <c r="AZ7" s="109"/>
      <c r="BA7" s="109"/>
      <c r="BB7" s="109"/>
      <c r="BC7" s="110"/>
      <c r="BF7" s="108"/>
      <c r="BG7" s="109"/>
      <c r="BH7" s="109"/>
      <c r="BI7" s="109"/>
      <c r="BJ7" s="110"/>
      <c r="BM7" s="108"/>
      <c r="BN7" s="109"/>
      <c r="BO7" s="109"/>
      <c r="BP7" s="109"/>
      <c r="BQ7" s="110"/>
      <c r="BT7" s="108"/>
      <c r="BU7" s="109"/>
      <c r="BV7" s="109"/>
      <c r="BW7" s="109"/>
      <c r="BX7" s="110"/>
    </row>
    <row r="8" spans="1:76" ht="15" customHeight="1" x14ac:dyDescent="0.3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3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3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1</v>
      </c>
      <c r="AE8" s="47">
        <f>COUNTIF($S$7:$T$54,"=" &amp; AB8 &amp; "_lose")</f>
        <v>1</v>
      </c>
      <c r="AF8" s="47">
        <f>SUMIF($E$7:$E$54,$AB8,$F$7:$F$54) + SUMIF($H$7:$H$54,$AB8,$G$7:$G$54)</f>
        <v>5</v>
      </c>
      <c r="AG8" s="47">
        <f>SUMIF($E$7:$E$54,$AB8,$G$7:$G$54) + SUMIF($H$7:$H$54,$AB8,$F$7:$F$54)</f>
        <v>6</v>
      </c>
      <c r="AH8" s="47">
        <f>(AF8-AG8)*100+AK8*10000+AF8</f>
        <v>39905</v>
      </c>
      <c r="AI8" s="47">
        <f>AF8-AG8</f>
        <v>-1</v>
      </c>
      <c r="AJ8" s="47">
        <f>(AI8-AI13)/AI12</f>
        <v>0.35714285714285715</v>
      </c>
      <c r="AK8" s="47">
        <f>AC8*3+AD8</f>
        <v>4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441.27063334984126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3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11 - 4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2</v>
      </c>
      <c r="AB9" s="48" t="str">
        <f>VLOOKUP("Qatar",T,lang,FALSE)</f>
        <v>Qatar</v>
      </c>
      <c r="AC9" s="47">
        <f>COUNTIF($S$7:$T$54,"=" &amp; AB9 &amp; "_win")</f>
        <v>1</v>
      </c>
      <c r="AD9" s="47">
        <f>COUNTIF($S$7:$T$54,"=" &amp; AB9 &amp; "_draw")</f>
        <v>1</v>
      </c>
      <c r="AE9" s="47">
        <f>COUNTIF($S$7:$T$54,"=" &amp; AB9 &amp; "_lose")</f>
        <v>1</v>
      </c>
      <c r="AF9" s="47">
        <f>SUMIF($E$7:$E$54,$AB9,$F$7:$F$54) + SUMIF($H$7:$H$54,$AB9,$G$7:$G$54)</f>
        <v>6</v>
      </c>
      <c r="AG9" s="47">
        <f>SUMIF($E$7:$E$54,$AB9,$G$7:$G$54) + SUMIF($H$7:$H$54,$AB9,$F$7:$F$54)</f>
        <v>6</v>
      </c>
      <c r="AH9" s="47">
        <f>(AF9-AG9)*100+AK9*10000+AF9</f>
        <v>40006</v>
      </c>
      <c r="AI9" s="47">
        <f>AF9-AG9</f>
        <v>0</v>
      </c>
      <c r="AJ9" s="47">
        <f>(AI9-AI13)/AI12</f>
        <v>0.42857142857142855</v>
      </c>
      <c r="AK9" s="47">
        <f>AC9*3+AD9</f>
        <v>4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449.52453002380952</v>
      </c>
      <c r="AO9" s="48" t="str">
        <f>IF(SUM(AC8:AE11)=12,J10,INDEX(T,71,lang))</f>
        <v>Qatar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2</v>
      </c>
      <c r="G10" s="22">
        <v>2</v>
      </c>
      <c r="H10" s="90" t="str">
        <f>AB17</f>
        <v>Wales</v>
      </c>
      <c r="J10" s="53" t="str">
        <f>VLOOKUP(2,AA8:AK11,2,FALSE)</f>
        <v>Qatar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6 - 6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1</v>
      </c>
      <c r="V10" s="47">
        <f t="shared" si="6"/>
        <v>2</v>
      </c>
      <c r="W10" s="47">
        <f t="shared" si="7"/>
        <v>2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4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0</v>
      </c>
      <c r="AE10" s="47">
        <f>COUNTIF($S$7:$T$54,"=" &amp; AB10 &amp; "_lose")</f>
        <v>3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9</v>
      </c>
      <c r="AH10" s="47">
        <f>(AF10-AG10)*100+AK10*10000+AF10</f>
        <v>-597</v>
      </c>
      <c r="AI10" s="47">
        <f>AF10-AG10</f>
        <v>-6</v>
      </c>
      <c r="AJ10" s="47">
        <f>(AI10-AI13)/AI12</f>
        <v>0</v>
      </c>
      <c r="AK10" s="47">
        <f>AC10*3+AD10</f>
        <v>0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3.3340598333333333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5">
        <v>49</v>
      </c>
      <c r="AZ10" s="26" t="str">
        <f>AO8</f>
        <v>Netherlands</v>
      </c>
      <c r="BA10" s="84">
        <v>3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1</v>
      </c>
      <c r="H11" s="90" t="str">
        <f>AB21</f>
        <v>Saudi Arabia</v>
      </c>
      <c r="J11" s="53" t="str">
        <f>VLOOKUP(3,AA8:AK11,2,FALSE)</f>
        <v>Senegal</v>
      </c>
      <c r="K11" s="25">
        <f>L11+M11+N11</f>
        <v>3</v>
      </c>
      <c r="L11" s="25">
        <f>VLOOKUP(3,AA8:AK11,3,FALSE)</f>
        <v>1</v>
      </c>
      <c r="M11" s="25">
        <f>VLOOKUP(3,AA8:AK11,4,FALSE)</f>
        <v>1</v>
      </c>
      <c r="N11" s="25">
        <f>VLOOKUP(3,AA8:AK11,5,FALSE)</f>
        <v>1</v>
      </c>
      <c r="O11" s="25" t="str">
        <f>VLOOKUP(3,AA8:AK11,6,FALSE) &amp; " - " &amp; VLOOKUP(3,AA8:AK11,7,FALSE)</f>
        <v>5 - 6</v>
      </c>
      <c r="P11" s="54">
        <f>L11*3+M11</f>
        <v>4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11</v>
      </c>
      <c r="AG11" s="47">
        <f>SUMIF($E$7:$E$54,$AB11,$G$7:$G$54) + SUMIF($H$7:$H$54,$AB11,$F$7:$F$54)</f>
        <v>4</v>
      </c>
      <c r="AH11" s="47">
        <f>(AF11-AG11)*100+AK11*10000+AF11</f>
        <v>90711</v>
      </c>
      <c r="AI11" s="47">
        <f>AF11-AG11</f>
        <v>7</v>
      </c>
      <c r="AJ11" s="47">
        <f>(AI11-AI13)/AI12</f>
        <v>0.9285714285714286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1005.080194409365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6"/>
      <c r="AZ11" s="28" t="str">
        <f>AO15</f>
        <v>United States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1</v>
      </c>
      <c r="H12" s="90" t="str">
        <f>AB29</f>
        <v>Tunisia</v>
      </c>
      <c r="J12" s="55" t="str">
        <f>VLOOKUP(4,AA8:AK11,2,FALSE)</f>
        <v>Ecuador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3 - 9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4</v>
      </c>
      <c r="AF12" s="47">
        <f t="shared" si="10"/>
        <v>9</v>
      </c>
      <c r="AG12" s="47">
        <f t="shared" si="10"/>
        <v>6</v>
      </c>
      <c r="AH12" s="47">
        <f>MAX(AH8:AH11)-AH13+1</f>
        <v>91309</v>
      </c>
      <c r="AI12" s="47">
        <f>MAX(AI8:AI11)-AI13+1</f>
        <v>14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5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2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Mexico_lose</v>
      </c>
      <c r="T13" s="88" t="str">
        <f t="shared" si="4"/>
        <v>Poland_win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-1</v>
      </c>
      <c r="AH13" s="47">
        <f>MIN(AH8:AH11)</f>
        <v>-597</v>
      </c>
      <c r="AI13" s="47">
        <f>MIN(AI8:AI11)</f>
        <v>-6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6"/>
      <c r="BG13" s="28" t="str">
        <f>T59</f>
        <v>Argentina</v>
      </c>
      <c r="BH13" s="85">
        <v>2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9</v>
      </c>
      <c r="AG14" s="47">
        <f>SUMIF($E$7:$E$54,$AB14,$G$7:$G$54) + SUMIF($H$7:$H$54,$AB14,$F$7:$F$54)</f>
        <v>3</v>
      </c>
      <c r="AH14" s="47">
        <f>(AF14-AG14)*100+AK14*10000+AF14</f>
        <v>90609</v>
      </c>
      <c r="AI14" s="47">
        <f>AF14-AG14</f>
        <v>6</v>
      </c>
      <c r="AJ14" s="47">
        <f>(AI14-AI19)/AI18</f>
        <v>0.92307692307692313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1001.3085733076923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5">
        <v>50</v>
      </c>
      <c r="AZ14" s="26" t="str">
        <f>AO20</f>
        <v>Argentina</v>
      </c>
      <c r="BA14" s="84">
        <v>3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9 - 3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6</v>
      </c>
      <c r="AH15" s="47">
        <f>(AF15-AG15)*100+AK15*10000+AF15</f>
        <v>-600</v>
      </c>
      <c r="AI15" s="47">
        <f>AF15-AG15</f>
        <v>-6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7.8200000000000003E-4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6"/>
      <c r="AZ15" s="28" t="str">
        <f>AO27</f>
        <v>Denmark</v>
      </c>
      <c r="BA15" s="85">
        <v>2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4</v>
      </c>
      <c r="G16" s="22">
        <v>2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5 - 5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5</v>
      </c>
      <c r="AG16" s="47">
        <f>SUMIF($E$7:$E$54,$AB16,$G$7:$G$54) + SUMIF($H$7:$H$54,$AB16,$F$7:$F$54)</f>
        <v>5</v>
      </c>
      <c r="AH16" s="47">
        <f>(AF16-AG16)*100+AK16*10000+AF16</f>
        <v>40005</v>
      </c>
      <c r="AI16" s="47">
        <f>AF16-AG16</f>
        <v>0</v>
      </c>
      <c r="AJ16" s="47">
        <f>(AI16-AI19)/AI18</f>
        <v>0.46153846153846156</v>
      </c>
      <c r="AK16" s="47">
        <f>AC16*3+AD16</f>
        <v>4</v>
      </c>
      <c r="AL16" s="47">
        <f>AP16/AP18*1000+AQ16/AQ18*100+AT16/AT18*10+AR16/AR18</f>
        <v>50.666666666666664</v>
      </c>
      <c r="AM16" s="47">
        <f>VLOOKUP(AB16,db_fifarank,2,FALSE)/2000000</f>
        <v>8.1685999999999998E-4</v>
      </c>
      <c r="AN16" s="48">
        <f>1000*AK16/AK18+100*AJ16+10*AF16/AF18+1*AL16/AL18+AM16</f>
        <v>452.13530817513646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1</v>
      </c>
      <c r="AR16" s="47">
        <f>SUMPRODUCT(($E$7:$E$54=AB16)*($U$7:$U$54)*($F$7:$F$54))+SUMPRODUCT(($H$7:$H$54=AB16)*($U$7:$U$54)*($G$7:$G$54))</f>
        <v>2</v>
      </c>
      <c r="AS16" s="47">
        <f>SUMPRODUCT(($E$7:$E$54=AB16)*($U$7:$U$54)*($G$7:$G$54))+SUMPRODUCT(($H$7:$H$54=AB16)*($U$7:$U$54)*($F$7:$F$54))</f>
        <v>2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5">
        <v>61</v>
      </c>
      <c r="BN16" s="26" t="str">
        <f>T69</f>
        <v>Argentina</v>
      </c>
      <c r="BO16" s="84">
        <v>2</v>
      </c>
      <c r="BP16" s="86">
        <v>3</v>
      </c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4</v>
      </c>
      <c r="G17" s="22">
        <v>1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5 - 5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5</v>
      </c>
      <c r="AG17" s="47">
        <f>SUMIF($E$7:$E$54,$AB17,$G$7:$G$54) + SUMIF($H$7:$H$54,$AB17,$F$7:$F$54)</f>
        <v>5</v>
      </c>
      <c r="AH17" s="47">
        <f>(AF17-AG17)*100+AK17*10000+AF17</f>
        <v>40005</v>
      </c>
      <c r="AI17" s="47">
        <f>AF17-AG17</f>
        <v>0</v>
      </c>
      <c r="AJ17" s="47">
        <f>(AI17-AI19)/AI18</f>
        <v>0.46153846153846156</v>
      </c>
      <c r="AK17" s="47">
        <f>AC17*3+AD17</f>
        <v>4</v>
      </c>
      <c r="AL17" s="47">
        <f>AP17/AP18*1000+AQ17/AQ18*100+AT17/AT18*10+AR17/AR18</f>
        <v>50.666666666666664</v>
      </c>
      <c r="AM17" s="47">
        <f>VLOOKUP(AB17,db_fifarank,2,FALSE)/2000000</f>
        <v>7.9106500000000008E-4</v>
      </c>
      <c r="AN17" s="48">
        <f>1000*AK17/AK18+100*AJ17+10*AF17/AF18+1*AL17/AL18+AM17</f>
        <v>452.13528238013646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1</v>
      </c>
      <c r="AR17" s="47">
        <f>SUMPRODUCT(($E$7:$E$54=AB17)*($U$7:$U$54)*($F$7:$F$54))+SUMPRODUCT(($H$7:$H$54=AB17)*($U$7:$U$54)*($G$7:$G$54))</f>
        <v>2</v>
      </c>
      <c r="AS17" s="47">
        <f>SUMPRODUCT(($E$7:$E$54=AB17)*($U$7:$U$54)*($G$7:$G$54))+SUMPRODUCT(($H$7:$H$54=AB17)*($U$7:$U$54)*($F$7:$F$54))</f>
        <v>2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6"/>
      <c r="BN17" s="28" t="str">
        <f>T70</f>
        <v>Brazil</v>
      </c>
      <c r="BO17" s="85">
        <v>2</v>
      </c>
      <c r="BP17" s="87">
        <v>2</v>
      </c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4</v>
      </c>
      <c r="G18" s="22">
        <v>3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0 - 6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4</v>
      </c>
      <c r="AF18" s="47">
        <f t="shared" si="11"/>
        <v>10</v>
      </c>
      <c r="AG18" s="47">
        <f t="shared" si="11"/>
        <v>4</v>
      </c>
      <c r="AH18" s="47">
        <f>MAX(AH14:AH17)-AH19+1</f>
        <v>91210</v>
      </c>
      <c r="AI18" s="47">
        <f>MAX(AI14:AI17)-AI19+1</f>
        <v>13</v>
      </c>
      <c r="AK18" s="47">
        <f t="shared" si="11"/>
        <v>10</v>
      </c>
      <c r="AL18" s="47">
        <f t="shared" si="11"/>
        <v>51.666666666666664</v>
      </c>
      <c r="AP18" s="47">
        <f>MAX(AP14:AP17)-MIN(AP14:AP17)+1</f>
        <v>1</v>
      </c>
      <c r="AQ18" s="47">
        <f>MAX(AQ14:AQ17)-MIN(AQ14:AQ17)+1</f>
        <v>2</v>
      </c>
      <c r="AR18" s="47">
        <f>MAX(AR14:AR17)-MIN(AR14:AR17)+1</f>
        <v>3</v>
      </c>
      <c r="AS18" s="47">
        <f>MAX(AS14:AS17)-MIN(AS14:AS17)+1</f>
        <v>3</v>
      </c>
      <c r="AT18" s="47">
        <f>MAX(AT14:AT17)-MIN(AT14:AT17)+1</f>
        <v>1</v>
      </c>
      <c r="AY18" s="125">
        <v>53</v>
      </c>
      <c r="AZ18" s="26" t="str">
        <f>AO32</f>
        <v>Germany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0</v>
      </c>
      <c r="G19" s="22">
        <v>0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-600</v>
      </c>
      <c r="AI19" s="47">
        <f>MIN(AI14:AI17)</f>
        <v>-6</v>
      </c>
      <c r="AY19" s="126"/>
      <c r="AZ19" s="28" t="str">
        <f>AO39</f>
        <v>Canada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2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Uruguay_draw</v>
      </c>
      <c r="T20" s="88" t="str">
        <f t="shared" si="4"/>
        <v>Korea Republic_draw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0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11</v>
      </c>
      <c r="AG20" s="47">
        <f>SUMIF($E$7:$E$54,$AB20,$G$7:$G$54) + SUMIF($H$7:$H$54,$AB20,$F$7:$F$54)</f>
        <v>3</v>
      </c>
      <c r="AH20" s="47">
        <f>(AF20-AG20)*100+AK20*10000+AF20</f>
        <v>90811</v>
      </c>
      <c r="AI20" s="47">
        <f>AF20-AG20</f>
        <v>8</v>
      </c>
      <c r="AJ20" s="47">
        <f>(AI20-AI25)/AI24</f>
        <v>0.9285714285714286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1105.0802475793651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5">
        <v>58</v>
      </c>
      <c r="BG20" s="26" t="str">
        <f>T62</f>
        <v>Germany</v>
      </c>
      <c r="BH20" s="84">
        <v>3</v>
      </c>
      <c r="BI20" s="86">
        <v>3</v>
      </c>
      <c r="BJ20" s="27">
        <v>2</v>
      </c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11 - 3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3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1</v>
      </c>
      <c r="AE21" s="47">
        <f>COUNTIF($S$7:$T$54,"=" &amp; AB21 &amp; "_lose")</f>
        <v>2</v>
      </c>
      <c r="AF21" s="47">
        <f>SUMIF($E$7:$E$54,$AB21,$F$7:$F$54) + SUMIF($H$7:$H$54,$AB21,$G$7:$G$54)</f>
        <v>3</v>
      </c>
      <c r="AG21" s="47">
        <f>SUMIF($E$7:$E$54,$AB21,$G$7:$G$54) + SUMIF($H$7:$H$54,$AB21,$F$7:$F$54)</f>
        <v>6</v>
      </c>
      <c r="AH21" s="47">
        <f>(AF21-AG21)*100+AK21*10000+AF21</f>
        <v>9703</v>
      </c>
      <c r="AI21" s="47">
        <f>AF21-AG21</f>
        <v>-3</v>
      </c>
      <c r="AJ21" s="47">
        <f>(AI21-AI25)/AI24</f>
        <v>0.14285714285714285</v>
      </c>
      <c r="AK21" s="47">
        <f>AC21*3+AD21</f>
        <v>1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128.73088123015873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6"/>
      <c r="BG21" s="28" t="str">
        <f>T63</f>
        <v>Brazil</v>
      </c>
      <c r="BH21" s="85">
        <v>3</v>
      </c>
      <c r="BI21" s="87">
        <v>3</v>
      </c>
      <c r="BJ21" s="30">
        <v>4</v>
      </c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4</v>
      </c>
      <c r="G22" s="22">
        <v>2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4 - 4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4</v>
      </c>
      <c r="AB22" s="48" t="str">
        <f>VLOOKUP("Mexico",T,lang,FALSE)</f>
        <v>Mexico</v>
      </c>
      <c r="AC22" s="47">
        <f>COUNTIF($S$7:$T$54,"=" &amp; AB22 &amp; "_win")</f>
        <v>0</v>
      </c>
      <c r="AD22" s="47">
        <f>COUNTIF($S$7:$T$54,"=" &amp; AB22 &amp; "_draw")</f>
        <v>1</v>
      </c>
      <c r="AE22" s="47">
        <f>COUNTIF($S$7:$T$54,"=" &amp; AB22 &amp; "_lose")</f>
        <v>2</v>
      </c>
      <c r="AF22" s="47">
        <f>SUMIF($E$7:$E$54,$AB22,$F$7:$F$54) + SUMIF($H$7:$H$54,$AB22,$G$7:$G$54)</f>
        <v>4</v>
      </c>
      <c r="AG22" s="47">
        <f>SUMIF($E$7:$E$54,$AB22,$G$7:$G$54) + SUMIF($H$7:$H$54,$AB22,$F$7:$F$54)</f>
        <v>9</v>
      </c>
      <c r="AH22" s="47">
        <f>(AF22-AG22)*100+AK22*10000+AF22</f>
        <v>9504</v>
      </c>
      <c r="AI22" s="47">
        <f>AF22-AG22</f>
        <v>-5</v>
      </c>
      <c r="AJ22" s="47">
        <f>(AI22-AI25)/AI24</f>
        <v>0</v>
      </c>
      <c r="AK22" s="47">
        <f>AC22*3+AD22</f>
        <v>1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115.55638496555555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5">
        <v>54</v>
      </c>
      <c r="AZ22" s="26" t="str">
        <f>AO44</f>
        <v>Brazil</v>
      </c>
      <c r="BA22" s="84">
        <v>3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0</v>
      </c>
      <c r="H23" s="90" t="str">
        <f>AB15</f>
        <v>Iran</v>
      </c>
      <c r="J23" s="53" t="str">
        <f>VLOOKUP(3,AA20:AK23,2,FALSE)</f>
        <v>Saudi Arabia</v>
      </c>
      <c r="K23" s="25">
        <f>L23+M23+N23</f>
        <v>3</v>
      </c>
      <c r="L23" s="25">
        <f>VLOOKUP(3,AA20:AK23,3,FALSE)</f>
        <v>0</v>
      </c>
      <c r="M23" s="25">
        <f>VLOOKUP(3,AA20:AK23,4,FALSE)</f>
        <v>1</v>
      </c>
      <c r="N23" s="25">
        <f>VLOOKUP(3,AA20:AK23,5,FALSE)</f>
        <v>2</v>
      </c>
      <c r="O23" s="25" t="str">
        <f>VLOOKUP(3,AA20:AK23,6,FALSE) &amp; " - " &amp; VLOOKUP(3,AA20:AK23,7,FALSE)</f>
        <v>3 - 6</v>
      </c>
      <c r="P23" s="54">
        <f>L23*3+M23</f>
        <v>1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2</v>
      </c>
      <c r="AD23" s="47">
        <f>COUNTIF($S$7:$T$54,"=" &amp; AB23 &amp; "_draw")</f>
        <v>0</v>
      </c>
      <c r="AE23" s="47">
        <f>COUNTIF($S$7:$T$54,"=" &amp; AB23 &amp; "_lose")</f>
        <v>1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4</v>
      </c>
      <c r="AH23" s="47">
        <f>(AF23-AG23)*100+AK23*10000+AF23</f>
        <v>60004</v>
      </c>
      <c r="AI23" s="47">
        <f>AF23-AG23</f>
        <v>0</v>
      </c>
      <c r="AJ23" s="47">
        <f>(AI23-AI25)/AI24</f>
        <v>0.35714285714285715</v>
      </c>
      <c r="AK23" s="47">
        <f>AC23*3+AD23</f>
        <v>6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706.82616882539673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6"/>
      <c r="AZ23" s="28" t="str">
        <f>AO51</f>
        <v>Ghana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5">
        <v>64</v>
      </c>
      <c r="BU23" s="26" t="str">
        <f>T76</f>
        <v>Argentina</v>
      </c>
      <c r="BV23" s="84">
        <v>1</v>
      </c>
      <c r="BW23" s="86">
        <v>1</v>
      </c>
      <c r="BX23" s="27">
        <v>5</v>
      </c>
    </row>
    <row r="24" spans="1:76" ht="15" customHeight="1" x14ac:dyDescent="0.3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2</v>
      </c>
      <c r="G24" s="22">
        <v>2</v>
      </c>
      <c r="H24" s="90" t="str">
        <f>AB8</f>
        <v>Senegal</v>
      </c>
      <c r="J24" s="55" t="str">
        <f>VLOOKUP(4,AA20:AK23,2,FALSE)</f>
        <v>Mexico</v>
      </c>
      <c r="K24" s="56">
        <f>L24+M24+N24</f>
        <v>3</v>
      </c>
      <c r="L24" s="56">
        <f>VLOOKUP(4,AA20:AK23,3,FALSE)</f>
        <v>0</v>
      </c>
      <c r="M24" s="56">
        <f>VLOOKUP(4,AA20:AK23,4,FALSE)</f>
        <v>1</v>
      </c>
      <c r="N24" s="56">
        <f>VLOOKUP(4,AA20:AK23,5,FALSE)</f>
        <v>2</v>
      </c>
      <c r="O24" s="56" t="str">
        <f>VLOOKUP(4,AA20:AK23,6,FALSE) &amp; " - " &amp; VLOOKUP(4,AA20:AK23,7,FALSE)</f>
        <v>4 - 9</v>
      </c>
      <c r="P24" s="57">
        <f>L24*3+M24</f>
        <v>1</v>
      </c>
      <c r="R24" s="47">
        <f>DATE(2022,11,25)+TIME(2,0,0)+gmt_delta</f>
        <v>44890.666666666672</v>
      </c>
      <c r="S24" s="88" t="str">
        <f t="shared" si="3"/>
        <v>Qatar_draw</v>
      </c>
      <c r="T24" s="88" t="str">
        <f t="shared" si="4"/>
        <v>Senegal_draw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0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3</v>
      </c>
      <c r="AF24" s="47">
        <f t="shared" si="12"/>
        <v>9</v>
      </c>
      <c r="AG24" s="47">
        <f t="shared" si="12"/>
        <v>7</v>
      </c>
      <c r="AH24" s="47">
        <f>MAX(AH20:AH23)-AH25+1</f>
        <v>81308</v>
      </c>
      <c r="AI24" s="47">
        <f>MAX(AI20:AI23)-AI25+1</f>
        <v>14</v>
      </c>
      <c r="AK24" s="47">
        <f t="shared" si="12"/>
        <v>9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6"/>
      <c r="BU24" s="28" t="str">
        <f>T77</f>
        <v>Belgium</v>
      </c>
      <c r="BV24" s="85">
        <v>1</v>
      </c>
      <c r="BW24" s="87">
        <v>1</v>
      </c>
      <c r="BX24" s="30">
        <v>3</v>
      </c>
    </row>
    <row r="25" spans="1:76" ht="15" customHeight="1" x14ac:dyDescent="0.3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5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9504</v>
      </c>
      <c r="AI25" s="47">
        <f>MIN(AI20:AI23)</f>
        <v>-5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3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1</v>
      </c>
      <c r="AE26" s="47">
        <f>COUNTIF($S$7:$T$54,"=" &amp; AB26 &amp; "_lose")</f>
        <v>0</v>
      </c>
      <c r="AF26" s="47">
        <f>SUMIF($E$7:$E$54,$AB26,$F$7:$F$54) + SUMIF($H$7:$H$54,$AB26,$G$7:$G$54)</f>
        <v>9</v>
      </c>
      <c r="AG26" s="47">
        <f>SUMIF($E$7:$E$54,$AB26,$G$7:$G$54) + SUMIF($H$7:$H$54,$AB26,$F$7:$F$54)</f>
        <v>3</v>
      </c>
      <c r="AH26" s="47">
        <f>(AF26-AG26)*100+AK26*10000+AF26</f>
        <v>70609</v>
      </c>
      <c r="AI26" s="47">
        <f>AF26-AG26</f>
        <v>6</v>
      </c>
      <c r="AJ26" s="47">
        <f>(AI26-AI31)/AI30</f>
        <v>0.92307692307692313</v>
      </c>
      <c r="AK26" s="47">
        <f>AC26*3+AD26</f>
        <v>7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977.30858730769228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5">
        <v>51</v>
      </c>
      <c r="AZ26" s="26" t="str">
        <f>AO14</f>
        <v>England</v>
      </c>
      <c r="BA26" s="84">
        <v>2</v>
      </c>
      <c r="BB26" s="86">
        <v>2</v>
      </c>
      <c r="BC26" s="27">
        <v>4</v>
      </c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2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9 - 3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Tunisia_win</v>
      </c>
      <c r="T27" s="88" t="str">
        <f t="shared" si="4"/>
        <v>Australia_lose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1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0</v>
      </c>
      <c r="AE27" s="47">
        <f>COUNTIF($S$7:$T$54,"=" &amp; AB27 &amp; "_lose")</f>
        <v>3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7</v>
      </c>
      <c r="AH27" s="47">
        <f>(AF27-AG27)*100+AK27*10000+AF27</f>
        <v>-599</v>
      </c>
      <c r="AI27" s="47">
        <f>AF27-AG27</f>
        <v>-6</v>
      </c>
      <c r="AJ27" s="47">
        <f>(AI27-AI31)/AI30</f>
        <v>0</v>
      </c>
      <c r="AK27" s="47">
        <f>AC27*3+AD27</f>
        <v>0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1.1118529761111111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6"/>
      <c r="AZ27" s="28" t="str">
        <f>AO9</f>
        <v>Qatar</v>
      </c>
      <c r="BA27" s="85">
        <v>2</v>
      </c>
      <c r="BB27" s="87">
        <v>2</v>
      </c>
      <c r="BC27" s="30">
        <v>5</v>
      </c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1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1</v>
      </c>
      <c r="N28" s="25">
        <f>VLOOKUP(2,AA26:AK29,5,FALSE)</f>
        <v>0</v>
      </c>
      <c r="O28" s="25" t="str">
        <f>VLOOKUP(2,AA26:AK29,6,FALSE) &amp; " - " &amp; VLOOKUP(2,AA26:AK29,7,FALSE)</f>
        <v>7 - 4</v>
      </c>
      <c r="P28" s="54">
        <f>L28*3+M28</f>
        <v>7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1</v>
      </c>
      <c r="AE28" s="47">
        <f>COUNTIF($S$7:$T$54,"=" &amp; AB28 &amp; "_lose")</f>
        <v>0</v>
      </c>
      <c r="AF28" s="47">
        <f>SUMIF($E$7:$E$54,$AB28,$F$7:$F$54) + SUMIF($H$7:$H$54,$AB28,$G$7:$G$54)</f>
        <v>7</v>
      </c>
      <c r="AG28" s="47">
        <f>SUMIF($E$7:$E$54,$AB28,$G$7:$G$54) + SUMIF($H$7:$H$54,$AB28,$F$7:$F$54)</f>
        <v>4</v>
      </c>
      <c r="AH28" s="47">
        <f>(AF28-AG28)*100+AK28*10000+AF28</f>
        <v>70307</v>
      </c>
      <c r="AI28" s="47">
        <f>AF28-AG28</f>
        <v>3</v>
      </c>
      <c r="AJ28" s="47">
        <f>(AI28-AI31)/AI30</f>
        <v>0.69230769230769229</v>
      </c>
      <c r="AK28" s="47">
        <f>AC28*3+AD28</f>
        <v>7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952.00937380854714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5">
        <v>59</v>
      </c>
      <c r="BG28" s="26" t="str">
        <f>T60</f>
        <v>Qatar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3</v>
      </c>
      <c r="G29" s="22">
        <v>3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3 - 6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France_draw</v>
      </c>
      <c r="T29" s="88" t="str">
        <f t="shared" si="4"/>
        <v>Denmark_draw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0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1</v>
      </c>
      <c r="AD29" s="47">
        <f>COUNTIF($S$7:$T$54,"=" &amp; AB29 &amp; "_draw")</f>
        <v>0</v>
      </c>
      <c r="AE29" s="47">
        <f>COUNTIF($S$7:$T$54,"=" &amp; AB29 &amp; "_lose")</f>
        <v>2</v>
      </c>
      <c r="AF29" s="47">
        <f>SUMIF($E$7:$E$54,$AB29,$F$7:$F$54) + SUMIF($H$7:$H$54,$AB29,$G$7:$G$54)</f>
        <v>3</v>
      </c>
      <c r="AG29" s="47">
        <f>SUMIF($E$7:$E$54,$AB29,$G$7:$G$54) + SUMIF($H$7:$H$54,$AB29,$F$7:$F$54)</f>
        <v>6</v>
      </c>
      <c r="AH29" s="47">
        <f>(AF29-AG29)*100+AK29*10000+AF29</f>
        <v>29703</v>
      </c>
      <c r="AI29" s="47">
        <f>AF29-AG29</f>
        <v>-3</v>
      </c>
      <c r="AJ29" s="47">
        <f>(AI29-AI31)/AI30</f>
        <v>0.23076923076923078</v>
      </c>
      <c r="AK29" s="47">
        <f>AC29*3+AD29</f>
        <v>3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401.41100631025643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6"/>
      <c r="BG29" s="28" t="str">
        <f>T61</f>
        <v>France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5</v>
      </c>
      <c r="G30" s="22">
        <v>1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1 - 7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3</v>
      </c>
      <c r="AD30" s="47">
        <f t="shared" si="13"/>
        <v>2</v>
      </c>
      <c r="AE30" s="47">
        <f t="shared" si="13"/>
        <v>4</v>
      </c>
      <c r="AF30" s="47">
        <f t="shared" si="13"/>
        <v>9</v>
      </c>
      <c r="AG30" s="47">
        <f t="shared" si="13"/>
        <v>5</v>
      </c>
      <c r="AH30" s="47">
        <f>MAX(AH26:AH29)-AH31+1</f>
        <v>71209</v>
      </c>
      <c r="AI30" s="47">
        <f>MAX(AI26:AI29)-AI31+1</f>
        <v>13</v>
      </c>
      <c r="AK30" s="47">
        <f t="shared" si="13"/>
        <v>8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5">
        <v>52</v>
      </c>
      <c r="AZ30" s="26" t="str">
        <f>AO26</f>
        <v>France</v>
      </c>
      <c r="BA30" s="84">
        <v>2</v>
      </c>
      <c r="BB30" s="86">
        <v>3</v>
      </c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2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-599</v>
      </c>
      <c r="AI31" s="47">
        <f>MIN(AI26:AI29)</f>
        <v>-6</v>
      </c>
      <c r="AY31" s="126"/>
      <c r="AZ31" s="28" t="str">
        <f>AO21</f>
        <v>Poland</v>
      </c>
      <c r="BA31" s="85">
        <v>2</v>
      </c>
      <c r="BB31" s="87">
        <v>2</v>
      </c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7" t="str">
        <f>INDEX(T,7,lang)</f>
        <v>Third-Place Play-Off</v>
      </c>
      <c r="BU31" s="128"/>
      <c r="BV31" s="128"/>
      <c r="BW31" s="128"/>
      <c r="BX31" s="129"/>
    </row>
    <row r="32" spans="1:76" ht="15" customHeight="1" x14ac:dyDescent="0.3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4</v>
      </c>
      <c r="G32" s="22">
        <v>1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8</v>
      </c>
      <c r="AG32" s="47">
        <f>SUMIF($E$7:$E$54,$AB32,$G$7:$G$54) + SUMIF($H$7:$H$54,$AB32,$F$7:$F$54)</f>
        <v>5</v>
      </c>
      <c r="AH32" s="47">
        <f>(AF32-AG32)*100+AK32*10000+AF32</f>
        <v>60308</v>
      </c>
      <c r="AI32" s="47">
        <f>AF32-AG32</f>
        <v>3</v>
      </c>
      <c r="AJ32" s="47">
        <f>(AI32-AI37)/AI36</f>
        <v>0.70588235294117652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677.86181706684488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5">
        <v>62</v>
      </c>
      <c r="BN32" s="26" t="str">
        <f>T71</f>
        <v>France</v>
      </c>
      <c r="BO32" s="84">
        <v>1</v>
      </c>
      <c r="BP32" s="86"/>
      <c r="BQ32" s="27"/>
      <c r="BR32" s="35"/>
      <c r="BS32" s="23"/>
      <c r="BT32" s="130"/>
      <c r="BU32" s="131"/>
      <c r="BV32" s="131"/>
      <c r="BW32" s="131"/>
      <c r="BX32" s="132"/>
    </row>
    <row r="33" spans="1:76" ht="15" customHeight="1" x14ac:dyDescent="0.3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1</v>
      </c>
      <c r="G33" s="22">
        <v>2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11 - 4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Croatia_lose</v>
      </c>
      <c r="T33" s="88" t="str">
        <f t="shared" si="4"/>
        <v>Canada_win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-1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10</v>
      </c>
      <c r="AH33" s="47">
        <f>(AF33-AG33)*100+AK33*10000+AF33</f>
        <v>-899</v>
      </c>
      <c r="AI33" s="47">
        <f>AF33-AG33</f>
        <v>-9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0.90984093909090902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6"/>
      <c r="BN33" s="28" t="str">
        <f>T72</f>
        <v>Belgium</v>
      </c>
      <c r="BO33" s="85">
        <v>2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2</v>
      </c>
      <c r="G34" s="22">
        <v>3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8 - 5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11</v>
      </c>
      <c r="AG34" s="47">
        <f>SUMIF($E$7:$E$54,$AB34,$G$7:$G$54) + SUMIF($H$7:$H$54,$AB34,$F$7:$F$54)</f>
        <v>4</v>
      </c>
      <c r="AH34" s="47">
        <f>(AF34-AG34)*100+AK34*10000+AF34</f>
        <v>90711</v>
      </c>
      <c r="AI34" s="47">
        <f>AF34-AG34</f>
        <v>7</v>
      </c>
      <c r="AJ34" s="47">
        <f>(AI34-AI37)/AI36</f>
        <v>0.94117647058823528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1004.1184723238235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5">
        <v>55</v>
      </c>
      <c r="AZ34" s="26" t="str">
        <f>AO38</f>
        <v>Belgium</v>
      </c>
      <c r="BA34" s="84">
        <v>2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5 - 6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Cameroon_draw</v>
      </c>
      <c r="T35" s="88" t="str">
        <f t="shared" si="4"/>
        <v>Serbia_draw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0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5</v>
      </c>
      <c r="AG35" s="47">
        <f>SUMIF($E$7:$E$54,$AB35,$G$7:$G$54) + SUMIF($H$7:$H$54,$AB35,$F$7:$F$54)</f>
        <v>6</v>
      </c>
      <c r="AH35" s="47">
        <f>(AF35-AG35)*100+AK35*10000+AF35</f>
        <v>29905</v>
      </c>
      <c r="AI35" s="47">
        <f>AF35-AG35</f>
        <v>-1</v>
      </c>
      <c r="AJ35" s="47">
        <f>(AI35-AI37)/AI36</f>
        <v>0.47058823529411764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351.60505479486631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6"/>
      <c r="AZ35" s="28" t="str">
        <f>AO33</f>
        <v>Spain</v>
      </c>
      <c r="BA35" s="85">
        <v>1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5">
        <v>63</v>
      </c>
      <c r="BU35" s="26" t="str">
        <f>Z76</f>
        <v>Brazil</v>
      </c>
      <c r="BV35" s="84">
        <v>2</v>
      </c>
      <c r="BW35" s="86"/>
      <c r="BX35" s="27"/>
    </row>
    <row r="36" spans="1:76" ht="15" customHeight="1" x14ac:dyDescent="0.3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2</v>
      </c>
      <c r="G36" s="22">
        <v>2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1 - 10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11</v>
      </c>
      <c r="AG36" s="47">
        <f t="shared" si="14"/>
        <v>7</v>
      </c>
      <c r="AH36" s="47">
        <f>MAX(AH32:AH35)-AH37+1</f>
        <v>91611</v>
      </c>
      <c r="AI36" s="47">
        <f>MAX(AI32:AI35)-AI37+1</f>
        <v>17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5">
        <v>60</v>
      </c>
      <c r="BG36" s="26" t="str">
        <f>T64</f>
        <v>Belgium</v>
      </c>
      <c r="BH36" s="84">
        <v>2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6"/>
      <c r="BU36" s="28" t="str">
        <f>Z77</f>
        <v>France</v>
      </c>
      <c r="BV36" s="85">
        <v>1</v>
      </c>
      <c r="BW36" s="87"/>
      <c r="BX36" s="30"/>
    </row>
    <row r="37" spans="1:76" ht="15" customHeight="1" x14ac:dyDescent="0.3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-899</v>
      </c>
      <c r="AI37" s="47">
        <f>MIN(AI32:AI35)</f>
        <v>-9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6"/>
      <c r="BG37" s="28" t="str">
        <f>T65</f>
        <v>Portugal</v>
      </c>
      <c r="BH37" s="85">
        <v>1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11</v>
      </c>
      <c r="AG38" s="47">
        <f>SUMIF($E$7:$E$54,$AB38,$G$7:$G$54) + SUMIF($H$7:$H$54,$AB38,$F$7:$F$54)</f>
        <v>6</v>
      </c>
      <c r="AH38" s="47">
        <f>(AF38-AG38)*100+AK38*10000+AF38</f>
        <v>90511</v>
      </c>
      <c r="AI38" s="47">
        <f>AF38-AG38</f>
        <v>5</v>
      </c>
      <c r="AJ38" s="47">
        <f>(AI38-AI43)/AI42</f>
        <v>0.91666666666666663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1002.6675801666667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5">
        <v>56</v>
      </c>
      <c r="AZ38" s="26" t="str">
        <f>AO50</f>
        <v>Portugal</v>
      </c>
      <c r="BA38" s="84">
        <v>1</v>
      </c>
      <c r="BB38" s="86">
        <v>1</v>
      </c>
      <c r="BC38" s="27">
        <v>5</v>
      </c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2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11 - 6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2</v>
      </c>
      <c r="AB39" s="48" t="str">
        <f>VLOOKUP("Canada",T,lang,FALSE)</f>
        <v>Canada</v>
      </c>
      <c r="AC39" s="47">
        <f>COUNTIF($S$7:$T$54,"=" &amp; AB39 &amp; "_win")</f>
        <v>2</v>
      </c>
      <c r="AD39" s="47">
        <f>COUNTIF($S$7:$T$54,"=" &amp; AB39 &amp; "_draw")</f>
        <v>0</v>
      </c>
      <c r="AE39" s="47">
        <f>COUNTIF($S$7:$T$54,"=" &amp; AB39 &amp; "_lose")</f>
        <v>1</v>
      </c>
      <c r="AF39" s="47">
        <f>SUMIF($E$7:$E$54,$AB39,$F$7:$F$54) + SUMIF($H$7:$H$54,$AB39,$G$7:$G$54)</f>
        <v>7</v>
      </c>
      <c r="AG39" s="47">
        <f>SUMIF($E$7:$E$54,$AB39,$G$7:$G$54) + SUMIF($H$7:$H$54,$AB39,$F$7:$F$54)</f>
        <v>6</v>
      </c>
      <c r="AH39" s="47">
        <f>(AF39-AG39)*100+AK39*10000+AF39</f>
        <v>60107</v>
      </c>
      <c r="AI39" s="47">
        <f>AF39-AG39</f>
        <v>1</v>
      </c>
      <c r="AJ39" s="47">
        <f>(AI39-AI43)/AI42</f>
        <v>0.58333333333333337</v>
      </c>
      <c r="AK39" s="47">
        <f>AC39*3+AD39</f>
        <v>6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665.33407283333338</v>
      </c>
      <c r="AO39" s="48" t="str">
        <f>IF(SUM(AC38:AE41)=12,J40,INDEX(T,81,lang))</f>
        <v>Canada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6"/>
      <c r="AZ39" s="28" t="str">
        <f>AO45</f>
        <v>Switzerland</v>
      </c>
      <c r="BA39" s="85">
        <v>1</v>
      </c>
      <c r="BB39" s="87">
        <v>1</v>
      </c>
      <c r="BC39" s="30">
        <v>4</v>
      </c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2</v>
      </c>
      <c r="H40" s="90" t="str">
        <f>AB9</f>
        <v>Qatar</v>
      </c>
      <c r="J40" s="53" t="str">
        <f>VLOOKUP(2,AA38:AK41,2,FALSE)</f>
        <v>Canada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7 - 6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3</v>
      </c>
      <c r="AF40" s="47">
        <f>SUMIF($E$7:$E$54,$AB40,$F$7:$F$54) + SUMIF($H$7:$H$54,$AB40,$G$7:$G$54)</f>
        <v>2</v>
      </c>
      <c r="AG40" s="47">
        <f>SUMIF($E$7:$E$54,$AB40,$G$7:$G$54) + SUMIF($H$7:$H$54,$AB40,$F$7:$F$54)</f>
        <v>8</v>
      </c>
      <c r="AH40" s="47">
        <f>(AF40-AG40)*100+AK40*10000+AF40</f>
        <v>-598</v>
      </c>
      <c r="AI40" s="47">
        <f>AF40-AG40</f>
        <v>-6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2.00077594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2</v>
      </c>
      <c r="G41" s="22">
        <v>3</v>
      </c>
      <c r="H41" s="90" t="str">
        <f>AB14</f>
        <v>England</v>
      </c>
      <c r="J41" s="53" t="str">
        <f>VLOOKUP(3,AA38:AK41,2,FALSE)</f>
        <v>Croatia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5 - 5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3</v>
      </c>
      <c r="AB41" s="48" t="str">
        <f>VLOOKUP("Croatia",T,lang,FALSE)</f>
        <v>Croatia</v>
      </c>
      <c r="AC41" s="47">
        <f>COUNTIF($S$7:$T$54,"=" &amp; AB41 &amp; "_win")</f>
        <v>1</v>
      </c>
      <c r="AD41" s="47">
        <f>COUNTIF($S$7:$T$54,"=" &amp; AB41 &amp; "_draw")</f>
        <v>0</v>
      </c>
      <c r="AE41" s="47">
        <f>COUNTIF($S$7:$T$54,"=" &amp; AB41 &amp; "_lose")</f>
        <v>2</v>
      </c>
      <c r="AF41" s="47">
        <f>SUMIF($E$7:$E$54,$AB41,$F$7:$F$54) + SUMIF($H$7:$H$54,$AB41,$G$7:$G$54)</f>
        <v>5</v>
      </c>
      <c r="AG41" s="47">
        <f>SUMIF($E$7:$E$54,$AB41,$G$7:$G$54) + SUMIF($H$7:$H$54,$AB41,$F$7:$F$54)</f>
        <v>5</v>
      </c>
      <c r="AH41" s="47">
        <f>(AF41-AG41)*100+AK41*10000+AF41</f>
        <v>30005</v>
      </c>
      <c r="AI41" s="47">
        <f>AF41-AG41</f>
        <v>0</v>
      </c>
      <c r="AJ41" s="47">
        <f>(AI41-AI43)/AI42</f>
        <v>0.5</v>
      </c>
      <c r="AK41" s="47">
        <f>AC41*3+AD41</f>
        <v>3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355.00081055499999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3" t="s">
        <v>2515</v>
      </c>
      <c r="AZ41" s="134"/>
      <c r="BA41" s="134"/>
      <c r="BB41" s="134"/>
      <c r="BC41" s="135"/>
      <c r="BL41" s="142" t="str">
        <f>INDEX(T,102,lang)</f>
        <v>World Champion 2022</v>
      </c>
      <c r="BM41" s="142"/>
      <c r="BN41" s="142"/>
      <c r="BO41" s="142"/>
      <c r="BP41" s="142"/>
      <c r="BQ41" s="142"/>
      <c r="BR41" s="144" t="str">
        <f>S85</f>
        <v>Argentina</v>
      </c>
      <c r="BS41" s="144"/>
      <c r="BT41" s="144"/>
      <c r="BU41" s="144"/>
      <c r="BV41" s="144"/>
      <c r="BW41" s="144"/>
      <c r="BX41" s="144"/>
    </row>
    <row r="42" spans="1:76" ht="15" customHeight="1" x14ac:dyDescent="0.3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2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2 - 8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1</v>
      </c>
      <c r="AE42" s="47">
        <f t="shared" si="15"/>
        <v>4</v>
      </c>
      <c r="AF42" s="47">
        <f t="shared" si="15"/>
        <v>10</v>
      </c>
      <c r="AG42" s="47">
        <f t="shared" si="15"/>
        <v>4</v>
      </c>
      <c r="AH42" s="47">
        <f>MAX(AH38:AH41)-AH43+1</f>
        <v>91110</v>
      </c>
      <c r="AI42" s="47">
        <f>MAX(AI38:AI41)-AI43+1</f>
        <v>12</v>
      </c>
      <c r="AK42" s="47">
        <f t="shared" si="15"/>
        <v>10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6"/>
      <c r="AZ42" s="137"/>
      <c r="BA42" s="137"/>
      <c r="BB42" s="137"/>
      <c r="BC42" s="138"/>
      <c r="BL42" s="143"/>
      <c r="BM42" s="143"/>
      <c r="BN42" s="143"/>
      <c r="BO42" s="143"/>
      <c r="BP42" s="143"/>
      <c r="BQ42" s="143"/>
      <c r="BR42" s="145"/>
      <c r="BS42" s="145"/>
      <c r="BT42" s="145"/>
      <c r="BU42" s="145"/>
      <c r="BV42" s="145"/>
      <c r="BW42" s="145"/>
      <c r="BX42" s="145"/>
    </row>
    <row r="43" spans="1:76" ht="15" customHeight="1" x14ac:dyDescent="0.3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-598</v>
      </c>
      <c r="AI43" s="47">
        <f>MIN(AI38:AI41)</f>
        <v>-6</v>
      </c>
      <c r="AY43" s="136"/>
      <c r="AZ43" s="137"/>
      <c r="BA43" s="137"/>
      <c r="BB43" s="137"/>
      <c r="BC43" s="138"/>
    </row>
    <row r="44" spans="1:76" ht="15" customHeight="1" x14ac:dyDescent="0.3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10</v>
      </c>
      <c r="AG44" s="47">
        <f>SUMIF($E$7:$E$54,$AB44,$G$7:$G$54) + SUMIF($H$7:$H$54,$AB44,$F$7:$F$54)</f>
        <v>5</v>
      </c>
      <c r="AH44" s="47">
        <f>(AF44-AG44)*100+AK44*10000+AF44</f>
        <v>90510</v>
      </c>
      <c r="AI44" s="47">
        <f>AF44-AG44</f>
        <v>5</v>
      </c>
      <c r="AJ44" s="47">
        <f>(AI44-AI49)/AI48</f>
        <v>0.88888888888888884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1101.3898052338889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6"/>
      <c r="AZ44" s="137"/>
      <c r="BA44" s="137"/>
      <c r="BB44" s="137"/>
      <c r="BC44" s="138"/>
    </row>
    <row r="45" spans="1:76" ht="15" customHeight="1" x14ac:dyDescent="0.3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10 - 5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4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1</v>
      </c>
      <c r="AE45" s="47">
        <f>COUNTIF($S$7:$T$54,"=" &amp; AB45 &amp; "_lose")</f>
        <v>2</v>
      </c>
      <c r="AF45" s="47">
        <f>SUMIF($E$7:$E$54,$AB45,$F$7:$F$54) + SUMIF($H$7:$H$54,$AB45,$G$7:$G$54)</f>
        <v>4</v>
      </c>
      <c r="AG45" s="47">
        <f>SUMIF($E$7:$E$54,$AB45,$G$7:$G$54) + SUMIF($H$7:$H$54,$AB45,$F$7:$F$54)</f>
        <v>7</v>
      </c>
      <c r="AH45" s="47">
        <f>(AF45-AG45)*100+AK45*10000+AF45</f>
        <v>9704</v>
      </c>
      <c r="AI45" s="47">
        <f>AF45-AG45</f>
        <v>-3</v>
      </c>
      <c r="AJ45" s="47">
        <f>(AI45-AI49)/AI48</f>
        <v>0</v>
      </c>
      <c r="AK45" s="47">
        <f>AC45*3+AD45</f>
        <v>1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116.11188487611112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6"/>
      <c r="AZ45" s="137"/>
      <c r="BA45" s="137"/>
      <c r="BB45" s="137"/>
      <c r="BC45" s="138"/>
    </row>
    <row r="46" spans="1:76" ht="15" customHeight="1" x14ac:dyDescent="0.3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2</v>
      </c>
      <c r="G46" s="22">
        <v>2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3 - 4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Arabia_draw</v>
      </c>
      <c r="T46" s="88" t="str">
        <f t="shared" si="4"/>
        <v>Mexico_draw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0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1</v>
      </c>
      <c r="AE46" s="47">
        <f>COUNTIF($S$7:$T$54,"=" &amp; AB46 &amp; "_lose")</f>
        <v>1</v>
      </c>
      <c r="AF46" s="47">
        <f>SUMIF($E$7:$E$54,$AB46,$F$7:$F$54) + SUMIF($H$7:$H$54,$AB46,$G$7:$G$54)</f>
        <v>3</v>
      </c>
      <c r="AG46" s="47">
        <f>SUMIF($E$7:$E$54,$AB46,$G$7:$G$54) + SUMIF($H$7:$H$54,$AB46,$F$7:$F$54)</f>
        <v>4</v>
      </c>
      <c r="AH46" s="47">
        <f>(AF46-AG46)*100+AK46*10000+AF46</f>
        <v>39903</v>
      </c>
      <c r="AI46" s="47">
        <f>AF46-AG46</f>
        <v>-1</v>
      </c>
      <c r="AJ46" s="47">
        <f>(AI46-AI49)/AI48</f>
        <v>0.22222222222222221</v>
      </c>
      <c r="AK46" s="47">
        <f>AC46*3+AD46</f>
        <v>4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470.41748432666668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9"/>
      <c r="AZ46" s="140"/>
      <c r="BA46" s="140"/>
      <c r="BB46" s="140"/>
      <c r="BC46" s="141"/>
    </row>
    <row r="47" spans="1:76" ht="15" customHeight="1" x14ac:dyDescent="0.3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2</v>
      </c>
      <c r="G47" s="22">
        <v>3</v>
      </c>
      <c r="H47" s="90" t="str">
        <f>AB38</f>
        <v>Belgium</v>
      </c>
      <c r="J47" s="53" t="str">
        <f>VLOOKUP(3,AA44:AK47,2,FALSE)</f>
        <v>Cameroon</v>
      </c>
      <c r="K47" s="25">
        <f>L47+M47+N47</f>
        <v>3</v>
      </c>
      <c r="L47" s="25">
        <f>VLOOKUP(3,AA44:AK47,3,FALSE)</f>
        <v>0</v>
      </c>
      <c r="M47" s="25">
        <f>VLOOKUP(3,AA44:AK47,4,FALSE)</f>
        <v>2</v>
      </c>
      <c r="N47" s="25">
        <f>VLOOKUP(3,AA44:AK47,5,FALSE)</f>
        <v>1</v>
      </c>
      <c r="O47" s="25" t="str">
        <f>VLOOKUP(3,AA44:AK47,6,FALSE) &amp; " - " &amp; VLOOKUP(3,AA44:AK47,7,FALSE)</f>
        <v>3 - 4</v>
      </c>
      <c r="P47" s="54">
        <f>L47*3+M47</f>
        <v>2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3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2</v>
      </c>
      <c r="AE47" s="47">
        <f>COUNTIF($S$7:$T$54,"=" &amp; AB47 &amp; "_lose")</f>
        <v>1</v>
      </c>
      <c r="AF47" s="47">
        <f>SUMIF($E$7:$E$54,$AB47,$F$7:$F$54) + SUMIF($H$7:$H$54,$AB47,$G$7:$G$54)</f>
        <v>3</v>
      </c>
      <c r="AG47" s="47">
        <f>SUMIF($E$7:$E$54,$AB47,$G$7:$G$54) + SUMIF($H$7:$H$54,$AB47,$F$7:$F$54)</f>
        <v>4</v>
      </c>
      <c r="AH47" s="47">
        <f>(AF47-AG47)*100+AK47*10000+AF47</f>
        <v>19903</v>
      </c>
      <c r="AI47" s="47">
        <f>AF47-AG47</f>
        <v>-1</v>
      </c>
      <c r="AJ47" s="47">
        <f>(AI47-AI49)/AI48</f>
        <v>0.22222222222222221</v>
      </c>
      <c r="AK47" s="47">
        <f>AC47*3+AD47</f>
        <v>2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248.19518468444446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2</v>
      </c>
      <c r="G48" s="22">
        <v>1</v>
      </c>
      <c r="H48" s="90" t="str">
        <f>AB40</f>
        <v>Morocco</v>
      </c>
      <c r="J48" s="55" t="str">
        <f>VLOOKUP(4,AA44:AK47,2,FALSE)</f>
        <v>Serbia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4 - 7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4</v>
      </c>
      <c r="AD48" s="47">
        <f t="shared" si="16"/>
        <v>3</v>
      </c>
      <c r="AE48" s="47">
        <f t="shared" si="16"/>
        <v>3</v>
      </c>
      <c r="AF48" s="47">
        <f t="shared" si="16"/>
        <v>8</v>
      </c>
      <c r="AG48" s="47">
        <f t="shared" si="16"/>
        <v>4</v>
      </c>
      <c r="AH48" s="47">
        <f>MAX(AH44:AH47)-AH49+1</f>
        <v>80807</v>
      </c>
      <c r="AI48" s="47">
        <f>MAX(AI44:AI47)-AI49+1</f>
        <v>9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3" t="s">
        <v>2516</v>
      </c>
      <c r="AZ48" s="134"/>
      <c r="BA48" s="134"/>
      <c r="BB48" s="134"/>
      <c r="BC48" s="135"/>
    </row>
    <row r="49" spans="1:55" ht="15" customHeight="1" x14ac:dyDescent="0.3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9704</v>
      </c>
      <c r="AI49" s="47">
        <f>MIN(AI44:AI47)</f>
        <v>-3</v>
      </c>
      <c r="AY49" s="136"/>
      <c r="AZ49" s="137"/>
      <c r="BA49" s="137"/>
      <c r="BB49" s="137"/>
      <c r="BC49" s="138"/>
    </row>
    <row r="50" spans="1:55" ht="15" customHeight="1" x14ac:dyDescent="0.3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4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1</v>
      </c>
      <c r="AD50" s="47">
        <f>COUNTIF($S$7:$T$54,"=" &amp; AB50 &amp; "_draw")</f>
        <v>2</v>
      </c>
      <c r="AE50" s="47">
        <f>COUNTIF($S$7:$T$54,"=" &amp; AB50 &amp; "_lose")</f>
        <v>0</v>
      </c>
      <c r="AF50" s="47">
        <f>SUMIF($E$7:$E$54,$AB50,$F$7:$F$54) + SUMIF($H$7:$H$54,$AB50,$G$7:$G$54)</f>
        <v>6</v>
      </c>
      <c r="AG50" s="47">
        <f>SUMIF($E$7:$E$54,$AB50,$G$7:$G$54) + SUMIF($H$7:$H$54,$AB50,$F$7:$F$54)</f>
        <v>5</v>
      </c>
      <c r="AH50" s="47">
        <f>(AF50-AG50)*100+AK50*10000+AF50</f>
        <v>50106</v>
      </c>
      <c r="AI50" s="47">
        <f>AF50-AG50</f>
        <v>1</v>
      </c>
      <c r="AJ50" s="47">
        <f>(AI50-AI55)/AI54</f>
        <v>0.66666666666666663</v>
      </c>
      <c r="AK50" s="47">
        <f>AC50*3+AD50</f>
        <v>5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1376.6675040566668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6"/>
      <c r="AZ50" s="137"/>
      <c r="BA50" s="137"/>
      <c r="BB50" s="137"/>
      <c r="BC50" s="138"/>
    </row>
    <row r="51" spans="1:55" ht="15" customHeight="1" x14ac:dyDescent="0.3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3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1</v>
      </c>
      <c r="M51" s="51">
        <f>VLOOKUP(1,AA50:AK53,4,FALSE)</f>
        <v>2</v>
      </c>
      <c r="N51" s="51">
        <f>VLOOKUP(1,AA50:AK53,5,FALSE)</f>
        <v>0</v>
      </c>
      <c r="O51" s="51" t="str">
        <f>VLOOKUP(1,AA50:AK53,6,FALSE) &amp; " - " &amp; VLOOKUP(1,AA50:AK53,7,FALSE)</f>
        <v>6 - 5</v>
      </c>
      <c r="P51" s="52">
        <f>L51*3+M51</f>
        <v>5</v>
      </c>
      <c r="R51" s="47">
        <f>DATE(2022,12,2)+TIME(4,0,0)+gmt_delta</f>
        <v>44897.75</v>
      </c>
      <c r="S51" s="88" t="str">
        <f t="shared" si="3"/>
        <v>Ghana_win</v>
      </c>
      <c r="T51" s="88" t="str">
        <f t="shared" si="4"/>
        <v>Uruguay_lose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1</v>
      </c>
      <c r="AA51" s="47">
        <f>COUNTIF(AN50:AN53,CONCATENATE("&gt;=",AN51))</f>
        <v>2</v>
      </c>
      <c r="AB51" s="48" t="str">
        <f>VLOOKUP("Ghana",T,lang,FALSE)</f>
        <v>Ghana</v>
      </c>
      <c r="AC51" s="47">
        <f>COUNTIF($S$7:$T$54,"=" &amp; AB51 &amp; "_win")</f>
        <v>1</v>
      </c>
      <c r="AD51" s="47">
        <f>COUNTIF($S$7:$T$54,"=" &amp; AB51 &amp; "_draw")</f>
        <v>1</v>
      </c>
      <c r="AE51" s="47">
        <f>COUNTIF($S$7:$T$54,"=" &amp; AB51 &amp; "_lose")</f>
        <v>1</v>
      </c>
      <c r="AF51" s="47">
        <f>SUMIF($E$7:$E$54,$AB51,$F$7:$F$54) + SUMIF($H$7:$H$54,$AB51,$G$7:$G$54)</f>
        <v>6</v>
      </c>
      <c r="AG51" s="47">
        <f>SUMIF($E$7:$E$54,$AB51,$G$7:$G$54) + SUMIF($H$7:$H$54,$AB51,$F$7:$F$54)</f>
        <v>6</v>
      </c>
      <c r="AH51" s="47">
        <f>(AF51-AG51)*100+AK51*10000+AF51</f>
        <v>40006</v>
      </c>
      <c r="AI51" s="47">
        <f>AF51-AG51</f>
        <v>0</v>
      </c>
      <c r="AJ51" s="47">
        <f>(AI51-AI55)/AI54</f>
        <v>0.33333333333333331</v>
      </c>
      <c r="AK51" s="47">
        <f>AC51*3+AD51</f>
        <v>4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1093.3340270133333</v>
      </c>
      <c r="AO51" s="48" t="str">
        <f>IF(SUM(AC50:AE53)=12,J52,INDEX(T,85,lang))</f>
        <v>Ghana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6"/>
      <c r="AZ51" s="137"/>
      <c r="BA51" s="137"/>
      <c r="BB51" s="137"/>
      <c r="BC51" s="138"/>
    </row>
    <row r="52" spans="1:55" ht="15" customHeight="1" x14ac:dyDescent="0.3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2</v>
      </c>
      <c r="G52" s="22">
        <v>2</v>
      </c>
      <c r="H52" s="90" t="str">
        <f>AB50</f>
        <v>Portugal</v>
      </c>
      <c r="J52" s="53" t="str">
        <f>VLOOKUP(2,AA50:AK53,2,FALSE)</f>
        <v>Ghana</v>
      </c>
      <c r="K52" s="25">
        <f>L52+M52+N52</f>
        <v>3</v>
      </c>
      <c r="L52" s="25">
        <f>VLOOKUP(2,AA50:AK53,3,FALSE)</f>
        <v>1</v>
      </c>
      <c r="M52" s="25">
        <f>VLOOKUP(2,AA50:AK53,4,FALSE)</f>
        <v>1</v>
      </c>
      <c r="N52" s="25">
        <f>VLOOKUP(2,AA50:AK53,5,FALSE)</f>
        <v>1</v>
      </c>
      <c r="O52" s="25" t="str">
        <f>VLOOKUP(2,AA50:AK53,6,FALSE) &amp; " - " &amp; VLOOKUP(2,AA50:AK53,7,FALSE)</f>
        <v>6 - 6</v>
      </c>
      <c r="P52" s="54">
        <f>L52*3+M52</f>
        <v>4</v>
      </c>
      <c r="R52" s="47">
        <f>DATE(2022,12,2)+TIME(4,0,0)+gmt_delta</f>
        <v>44897.75</v>
      </c>
      <c r="S52" s="88" t="str">
        <f t="shared" si="3"/>
        <v>Korea Republic_draw</v>
      </c>
      <c r="T52" s="88" t="str">
        <f t="shared" si="4"/>
        <v>Portugal_draw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0</v>
      </c>
      <c r="AA52" s="47">
        <f>COUNTIF(AN50:AN53,CONCATENATE("&gt;=",AN52))</f>
        <v>4</v>
      </c>
      <c r="AB52" s="48" t="str">
        <f>VLOOKUP("Uruguay",T,lang,FALSE)</f>
        <v>Uruguay</v>
      </c>
      <c r="AC52" s="47">
        <f>COUNTIF($S$7:$T$54,"=" &amp; AB52 &amp; "_win")</f>
        <v>0</v>
      </c>
      <c r="AD52" s="47">
        <f>COUNTIF($S$7:$T$54,"=" &amp; AB52 &amp; "_draw")</f>
        <v>2</v>
      </c>
      <c r="AE52" s="47">
        <f>COUNTIF($S$7:$T$54,"=" &amp; AB52 &amp; "_lose")</f>
        <v>1</v>
      </c>
      <c r="AF52" s="47">
        <f>SUMIF($E$7:$E$54,$AB52,$F$7:$F$54) + SUMIF($H$7:$H$54,$AB52,$G$7:$G$54)</f>
        <v>6</v>
      </c>
      <c r="AG52" s="47">
        <f>SUMIF($E$7:$E$54,$AB52,$G$7:$G$54) + SUMIF($H$7:$H$54,$AB52,$F$7:$F$54)</f>
        <v>7</v>
      </c>
      <c r="AH52" s="47">
        <f>(AF52-AG52)*100+AK52*10000+AF52</f>
        <v>19906</v>
      </c>
      <c r="AI52" s="47">
        <f>AF52-AG52</f>
        <v>-1</v>
      </c>
      <c r="AJ52" s="47">
        <f>(AI52-AI55)/AI54</f>
        <v>0</v>
      </c>
      <c r="AK52" s="47">
        <f>AC52*3+AD52</f>
        <v>2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560.00081786500004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6"/>
      <c r="AZ52" s="137"/>
      <c r="BA52" s="137"/>
      <c r="BB52" s="137"/>
      <c r="BC52" s="138"/>
    </row>
    <row r="53" spans="1:55" ht="15" customHeight="1" x14ac:dyDescent="0.3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2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0</v>
      </c>
      <c r="M53" s="25">
        <f>VLOOKUP(3,AA50:AK53,4,FALSE)</f>
        <v>3</v>
      </c>
      <c r="N53" s="25">
        <f>VLOOKUP(3,AA50:AK53,5,FALSE)</f>
        <v>0</v>
      </c>
      <c r="O53" s="25" t="str">
        <f>VLOOKUP(3,AA50:AK53,6,FALSE) &amp; " - " &amp; VLOOKUP(3,AA50:AK53,7,FALSE)</f>
        <v>6 - 6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Serbia_lose</v>
      </c>
      <c r="T53" s="88" t="str">
        <f t="shared" si="4"/>
        <v>Switzerland_win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-1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3</v>
      </c>
      <c r="AE53" s="47">
        <f>COUNTIF($S$7:$T$54,"=" &amp; AB53 &amp; "_lose")</f>
        <v>0</v>
      </c>
      <c r="AF53" s="47">
        <f>SUMIF($E$7:$E$54,$AB53,$F$7:$F$54) + SUMIF($H$7:$H$54,$AB53,$G$7:$G$54)</f>
        <v>6</v>
      </c>
      <c r="AG53" s="47">
        <f>SUMIF($E$7:$E$54,$AB53,$G$7:$G$54) + SUMIF($H$7:$H$54,$AB53,$F$7:$F$54)</f>
        <v>6</v>
      </c>
      <c r="AH53" s="47">
        <f>(AF53-AG53)*100+AK53*10000+AF53</f>
        <v>30006</v>
      </c>
      <c r="AI53" s="47">
        <f>AF53-AG53</f>
        <v>0</v>
      </c>
      <c r="AJ53" s="47">
        <f>(AI53-AI55)/AI54</f>
        <v>0.33333333333333331</v>
      </c>
      <c r="AK53" s="47">
        <f>AC53*3+AD53</f>
        <v>3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843.33409310333332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6"/>
      <c r="AZ53" s="137"/>
      <c r="BA53" s="137"/>
      <c r="BB53" s="137"/>
      <c r="BC53" s="138"/>
    </row>
    <row r="54" spans="1:55" ht="15" customHeight="1" x14ac:dyDescent="0.3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2</v>
      </c>
      <c r="G54" s="30">
        <v>3</v>
      </c>
      <c r="H54" s="91" t="str">
        <f>AB44</f>
        <v>Brazil</v>
      </c>
      <c r="J54" s="55" t="str">
        <f>VLOOKUP(4,AA50:AK53,2,FALSE)</f>
        <v>Uruguay</v>
      </c>
      <c r="K54" s="56">
        <f>L54+M54+N54</f>
        <v>3</v>
      </c>
      <c r="L54" s="56">
        <f>VLOOKUP(4,AA50:AK53,3,FALSE)</f>
        <v>0</v>
      </c>
      <c r="M54" s="56">
        <f>VLOOKUP(4,AA50:AK53,4,FALSE)</f>
        <v>2</v>
      </c>
      <c r="N54" s="56">
        <f>VLOOKUP(4,AA50:AK53,5,FALSE)</f>
        <v>1</v>
      </c>
      <c r="O54" s="56" t="str">
        <f>VLOOKUP(4,AA50:AK53,6,FALSE) &amp; " - " &amp; VLOOKUP(4,AA50:AK53,7,FALSE)</f>
        <v>6 - 7</v>
      </c>
      <c r="P54" s="57">
        <f>L54*3+M54</f>
        <v>2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2</v>
      </c>
      <c r="AD54" s="47">
        <f t="shared" si="17"/>
        <v>3</v>
      </c>
      <c r="AE54" s="47">
        <f t="shared" si="17"/>
        <v>2</v>
      </c>
      <c r="AF54" s="47">
        <f t="shared" si="17"/>
        <v>1</v>
      </c>
      <c r="AG54" s="47">
        <f t="shared" si="17"/>
        <v>3</v>
      </c>
      <c r="AH54" s="47">
        <f>MAX(AH50:AH53)-AH55+1</f>
        <v>30201</v>
      </c>
      <c r="AI54" s="47">
        <f>MAX(AI50:AI53)-AI55+1</f>
        <v>3</v>
      </c>
      <c r="AK54" s="47">
        <f t="shared" si="17"/>
        <v>4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9"/>
      <c r="AZ54" s="140"/>
      <c r="BA54" s="140"/>
      <c r="BB54" s="140"/>
      <c r="BC54" s="141"/>
    </row>
    <row r="55" spans="1:55" x14ac:dyDescent="0.3">
      <c r="A55" s="9"/>
      <c r="B55" s="42"/>
      <c r="C55" s="9"/>
      <c r="D55" s="43"/>
      <c r="E55" s="44"/>
      <c r="F55" s="45"/>
      <c r="G55" s="45"/>
      <c r="H55" s="46"/>
      <c r="AH55" s="47">
        <f>MIN(AH50:AH53)</f>
        <v>19906</v>
      </c>
      <c r="AI55" s="47">
        <f>MIN(AI50:AI53)</f>
        <v>-1</v>
      </c>
    </row>
    <row r="56" spans="1:55" ht="12.75" customHeight="1" x14ac:dyDescent="0.3"/>
    <row r="57" spans="1:55" ht="12.75" customHeight="1" x14ac:dyDescent="0.3"/>
    <row r="58" spans="1:55" x14ac:dyDescent="0.3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Qatar</v>
      </c>
      <c r="T60" s="88" t="str">
        <f>IF(OR(S60="",S60="draw"),INDEX(T,88,lang),S60)</f>
        <v>Qatar</v>
      </c>
    </row>
    <row r="61" spans="1:55" ht="12.75" customHeight="1" x14ac:dyDescent="0.3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3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3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3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3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Belgium</v>
      </c>
      <c r="T72" s="88" t="str">
        <f>IF(OR(S72="",S72="draw"),INDEX(T,97,lang),S72)</f>
        <v>Belgium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3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Belgium</v>
      </c>
      <c r="T77" s="88" t="str">
        <f>IF(OR(S77="",S77="draw"),INDEX(T,99,lang),S77)</f>
        <v>Belgium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3"/>
    <row r="80" spans="18:26" ht="12.75" customHeight="1" x14ac:dyDescent="0.3"/>
    <row r="81" spans="18:20" x14ac:dyDescent="0.3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3"/>
    <row r="84" spans="18:20" ht="12.75" customHeight="1" x14ac:dyDescent="0.3"/>
    <row r="85" spans="18:20" x14ac:dyDescent="0.3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4" sqref="B14"/>
    </sheetView>
  </sheetViews>
  <sheetFormatPr defaultRowHeight="14.4" x14ac:dyDescent="0.3"/>
  <cols>
    <col min="1" max="1" width="80.33203125" customWidth="1"/>
    <col min="2" max="2" width="63.88671875" customWidth="1"/>
  </cols>
  <sheetData>
    <row r="1" spans="1:2" x14ac:dyDescent="0.3">
      <c r="A1" s="101" t="s">
        <v>2526</v>
      </c>
      <c r="B1" s="102" t="s">
        <v>2527</v>
      </c>
    </row>
    <row r="2" spans="1:2" x14ac:dyDescent="0.3">
      <c r="A2" s="103" t="s">
        <v>2518</v>
      </c>
      <c r="B2" s="100" t="s">
        <v>2530</v>
      </c>
    </row>
    <row r="3" spans="1:2" x14ac:dyDescent="0.3">
      <c r="A3" s="100" t="s">
        <v>2519</v>
      </c>
      <c r="B3" s="103" t="s">
        <v>2531</v>
      </c>
    </row>
    <row r="4" spans="1:2" x14ac:dyDescent="0.3">
      <c r="A4" s="103" t="s">
        <v>2520</v>
      </c>
      <c r="B4" s="100" t="s">
        <v>2532</v>
      </c>
    </row>
    <row r="5" spans="1:2" x14ac:dyDescent="0.3">
      <c r="A5" s="100" t="s">
        <v>2529</v>
      </c>
      <c r="B5" s="104" t="s">
        <v>2539</v>
      </c>
    </row>
    <row r="6" spans="1:2" x14ac:dyDescent="0.3">
      <c r="A6" s="103" t="s">
        <v>2521</v>
      </c>
      <c r="B6" s="100" t="s">
        <v>2533</v>
      </c>
    </row>
    <row r="7" spans="1:2" x14ac:dyDescent="0.3">
      <c r="A7" s="100" t="s">
        <v>2522</v>
      </c>
      <c r="B7" s="103" t="s">
        <v>2534</v>
      </c>
    </row>
    <row r="8" spans="1:2" x14ac:dyDescent="0.3">
      <c r="A8" s="103" t="s">
        <v>2523</v>
      </c>
      <c r="B8" s="100" t="s">
        <v>2535</v>
      </c>
    </row>
    <row r="9" spans="1:2" x14ac:dyDescent="0.3">
      <c r="A9" s="100" t="s">
        <v>2524</v>
      </c>
      <c r="B9" s="103" t="s">
        <v>2536</v>
      </c>
    </row>
    <row r="10" spans="1:2" x14ac:dyDescent="0.3">
      <c r="A10" s="103" t="s">
        <v>2525</v>
      </c>
      <c r="B10" s="100" t="s">
        <v>2537</v>
      </c>
    </row>
    <row r="11" spans="1:2" x14ac:dyDescent="0.3">
      <c r="A11" s="100" t="s">
        <v>2528</v>
      </c>
      <c r="B11" s="103" t="s">
        <v>2538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Henri Harm</cp:lastModifiedBy>
  <cp:lastPrinted>2018-01-03T15:36:04Z</cp:lastPrinted>
  <dcterms:created xsi:type="dcterms:W3CDTF">2017-12-27T19:32:51Z</dcterms:created>
  <dcterms:modified xsi:type="dcterms:W3CDTF">2022-11-18T23:08:06Z</dcterms:modified>
</cp:coreProperties>
</file>