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3a0c14630180f/Töölaud/"/>
    </mc:Choice>
  </mc:AlternateContent>
  <xr:revisionPtr revIDLastSave="3" documentId="8_{6EF0318E-7C08-43DD-AC78-D0DAA2A38605}" xr6:coauthVersionLast="47" xr6:coauthVersionMax="47" xr10:uidLastSave="{913E58B4-6364-431C-9D24-1EE009E46939}"/>
  <bookViews>
    <workbookView xWindow="-108" yWindow="-108" windowWidth="23256" windowHeight="12456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P26" i="3" l="1"/>
  <c r="A1" i="3"/>
  <c r="N14" i="3"/>
  <c r="O44" i="3"/>
  <c r="AY6" i="3"/>
  <c r="L8" i="3"/>
  <c r="L26" i="3"/>
  <c r="L32" i="3"/>
  <c r="M38" i="3"/>
  <c r="N8" i="3"/>
  <c r="N32" i="3"/>
  <c r="O50" i="3"/>
  <c r="O38" i="3"/>
  <c r="N50" i="3"/>
  <c r="M50" i="3"/>
  <c r="A5" i="3"/>
  <c r="O20" i="3"/>
  <c r="J26" i="3"/>
  <c r="BT31" i="3"/>
  <c r="P50" i="3"/>
  <c r="M8" i="3"/>
  <c r="BL41" i="3"/>
  <c r="BF6" i="3"/>
  <c r="N44" i="3"/>
  <c r="J32" i="3"/>
  <c r="N38" i="3"/>
  <c r="M44" i="3"/>
  <c r="L44" i="3"/>
  <c r="K50" i="3"/>
  <c r="K8" i="3"/>
  <c r="P44" i="3"/>
  <c r="B44" i="2"/>
  <c r="B36" i="2"/>
  <c r="B28" i="2"/>
  <c r="B20" i="2"/>
  <c r="AB27" i="3"/>
  <c r="AB17" i="3"/>
  <c r="AB8" i="3"/>
  <c r="B35" i="2"/>
  <c r="AB21" i="3"/>
  <c r="B25" i="2"/>
  <c r="AB10" i="3"/>
  <c r="AB51" i="3"/>
  <c r="AB46" i="3"/>
  <c r="AB41" i="3"/>
  <c r="AB32" i="3"/>
  <c r="AB22" i="3"/>
  <c r="B43" i="2"/>
  <c r="B27" i="2"/>
  <c r="B33" i="2"/>
  <c r="AB15" i="3"/>
  <c r="B42" i="2"/>
  <c r="B34" i="2"/>
  <c r="B26" i="2"/>
  <c r="B18" i="2"/>
  <c r="AB45" i="3"/>
  <c r="AB40" i="3"/>
  <c r="AB35" i="3"/>
  <c r="AB26" i="3"/>
  <c r="AB11" i="3"/>
  <c r="AB29" i="3"/>
  <c r="B47" i="2"/>
  <c r="AB50" i="3"/>
  <c r="B48" i="2"/>
  <c r="B40" i="2"/>
  <c r="B32" i="2"/>
  <c r="B24" i="2"/>
  <c r="AB34" i="3"/>
  <c r="AB53" i="3"/>
  <c r="AB44" i="3"/>
  <c r="AB39" i="3"/>
  <c r="B31" i="2"/>
  <c r="B46" i="2"/>
  <c r="B38" i="2"/>
  <c r="B30" i="2"/>
  <c r="B22" i="2"/>
  <c r="AB28" i="3"/>
  <c r="AB9" i="3"/>
  <c r="B45" i="2"/>
  <c r="B29" i="2"/>
  <c r="B19" i="2"/>
  <c r="B41" i="2"/>
  <c r="AB20" i="3"/>
  <c r="B23" i="2"/>
  <c r="AB52" i="3"/>
  <c r="AB47" i="3"/>
  <c r="AB38" i="3"/>
  <c r="AB33" i="3"/>
  <c r="AB23" i="3"/>
  <c r="AB14" i="3"/>
  <c r="B37" i="2"/>
  <c r="B21" i="2"/>
  <c r="AB16" i="3"/>
  <c r="B17" i="2"/>
  <c r="B39" i="2"/>
  <c r="R37" i="3"/>
  <c r="R17" i="3"/>
  <c r="R36" i="3"/>
  <c r="R16" i="3"/>
  <c r="R33" i="3"/>
  <c r="R13" i="3"/>
  <c r="R32" i="3"/>
  <c r="R12" i="3"/>
  <c r="R29" i="3"/>
  <c r="R28" i="3"/>
  <c r="R21" i="3"/>
  <c r="R20" i="3"/>
  <c r="N20" i="3"/>
  <c r="K20" i="3"/>
  <c r="P32" i="3"/>
  <c r="L50" i="3"/>
  <c r="O8" i="3"/>
  <c r="J20" i="3"/>
  <c r="N26" i="3"/>
  <c r="M26" i="3"/>
  <c r="K44" i="3"/>
  <c r="K26" i="3"/>
  <c r="L38" i="3"/>
  <c r="J44" i="3"/>
  <c r="O26" i="3"/>
  <c r="O32" i="3"/>
  <c r="M32" i="3"/>
  <c r="BM6" i="3"/>
  <c r="P14" i="3"/>
  <c r="O14" i="3"/>
  <c r="P20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50" i="3" l="1"/>
  <c r="H31" i="3"/>
  <c r="H17" i="3"/>
  <c r="H22" i="3"/>
  <c r="H35" i="3"/>
  <c r="E53" i="3"/>
  <c r="AM45" i="3"/>
  <c r="E46" i="3"/>
  <c r="AM21" i="3"/>
  <c r="H28" i="3"/>
  <c r="H11" i="3"/>
  <c r="E18" i="3"/>
  <c r="H47" i="3"/>
  <c r="E32" i="3"/>
  <c r="AM38" i="3"/>
  <c r="H18" i="3"/>
  <c r="H33" i="3"/>
  <c r="E48" i="3"/>
  <c r="AM39" i="3"/>
  <c r="E38" i="3"/>
  <c r="AM50" i="3"/>
  <c r="E21" i="3"/>
  <c r="H52" i="3"/>
  <c r="H46" i="3"/>
  <c r="E13" i="3"/>
  <c r="AM22" i="3"/>
  <c r="H30" i="3"/>
  <c r="AM33" i="3"/>
  <c r="E54" i="3"/>
  <c r="E35" i="3"/>
  <c r="H19" i="3"/>
  <c r="AM47" i="3"/>
  <c r="H40" i="3"/>
  <c r="AM9" i="3"/>
  <c r="E7" i="3"/>
  <c r="E24" i="3"/>
  <c r="H54" i="3"/>
  <c r="E22" i="3"/>
  <c r="AM44" i="3"/>
  <c r="E37" i="3"/>
  <c r="E34" i="3"/>
  <c r="AM32" i="3"/>
  <c r="E17" i="3"/>
  <c r="H49" i="3"/>
  <c r="E8" i="3"/>
  <c r="AM8" i="3"/>
  <c r="H24" i="3"/>
  <c r="H39" i="3"/>
  <c r="AM16" i="3"/>
  <c r="E10" i="3"/>
  <c r="H26" i="3"/>
  <c r="H42" i="3"/>
  <c r="H38" i="3"/>
  <c r="E20" i="3"/>
  <c r="AM52" i="3"/>
  <c r="H51" i="3"/>
  <c r="H29" i="3"/>
  <c r="AM28" i="3"/>
  <c r="E12" i="3"/>
  <c r="H43" i="3"/>
  <c r="AM53" i="3"/>
  <c r="H20" i="3"/>
  <c r="E36" i="3"/>
  <c r="E52" i="3"/>
  <c r="X52" i="3" s="1"/>
  <c r="H12" i="3"/>
  <c r="E44" i="3"/>
  <c r="E27" i="3"/>
  <c r="AM29" i="3"/>
  <c r="E33" i="3"/>
  <c r="E47" i="3"/>
  <c r="AM41" i="3"/>
  <c r="H15" i="3"/>
  <c r="H10" i="3"/>
  <c r="E41" i="3"/>
  <c r="E23" i="3"/>
  <c r="AM17" i="3"/>
  <c r="E16" i="3"/>
  <c r="AM34" i="3"/>
  <c r="H50" i="3"/>
  <c r="H34" i="3"/>
  <c r="X34" i="3" s="1"/>
  <c r="E25" i="3"/>
  <c r="E40" i="3"/>
  <c r="H8" i="3"/>
  <c r="H53" i="3"/>
  <c r="E19" i="3"/>
  <c r="H37" i="3"/>
  <c r="AM46" i="3"/>
  <c r="H14" i="3"/>
  <c r="H27" i="3"/>
  <c r="AM27" i="3"/>
  <c r="E43" i="3"/>
  <c r="E30" i="3"/>
  <c r="AM20" i="3"/>
  <c r="H45" i="3"/>
  <c r="E11" i="3"/>
  <c r="E14" i="3"/>
  <c r="AM26" i="3"/>
  <c r="H44" i="3"/>
  <c r="E29" i="3"/>
  <c r="E42" i="3"/>
  <c r="H9" i="3"/>
  <c r="AM15" i="3"/>
  <c r="H23" i="3"/>
  <c r="X23" i="3" s="1"/>
  <c r="H21" i="3"/>
  <c r="E51" i="3"/>
  <c r="AM51" i="3"/>
  <c r="H36" i="3"/>
  <c r="E26" i="3"/>
  <c r="AM14" i="3"/>
  <c r="E9" i="3"/>
  <c r="H41" i="3"/>
  <c r="E49" i="3"/>
  <c r="H16" i="3"/>
  <c r="E31" i="3"/>
  <c r="X31" i="3" s="1"/>
  <c r="AM35" i="3"/>
  <c r="H25" i="3"/>
  <c r="H7" i="3"/>
  <c r="AM10" i="3"/>
  <c r="E39" i="3"/>
  <c r="X7" i="3"/>
  <c r="E45" i="3"/>
  <c r="AM23" i="3"/>
  <c r="E28" i="3"/>
  <c r="H13" i="3"/>
  <c r="AM11" i="3"/>
  <c r="H48" i="3"/>
  <c r="AM40" i="3"/>
  <c r="H32" i="3"/>
  <c r="E15" i="3"/>
  <c r="X25" i="3"/>
  <c r="X20" i="3"/>
  <c r="X40" i="3"/>
  <c r="X33" i="3"/>
  <c r="X35" i="3"/>
  <c r="X51" i="3"/>
  <c r="X48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I39" i="3" s="1"/>
  <c r="AF28" i="3"/>
  <c r="AI28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42" i="3" l="1"/>
  <c r="AF30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39" i="3" l="1"/>
  <c r="W39" i="3" s="1"/>
  <c r="U40" i="3"/>
  <c r="W40" i="3" s="1"/>
  <c r="U24" i="3"/>
  <c r="W24" i="3" s="1"/>
  <c r="U8" i="3"/>
  <c r="V8" i="3" s="1"/>
  <c r="U7" i="3"/>
  <c r="V7" i="3" s="1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W49" i="3" s="1"/>
  <c r="V39" i="3"/>
  <c r="V40" i="3"/>
  <c r="V24" i="3"/>
  <c r="U20" i="3"/>
  <c r="W20" i="3" s="1"/>
  <c r="W8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49" i="3" l="1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O15" i="3" l="1"/>
  <c r="N33" i="3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5" i="3" l="1"/>
  <c r="K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<sst xmlns="http://schemas.openxmlformats.org/spreadsheetml/2006/main" count="4374" uniqueCount="2540">
  <si>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</si>
  <si>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</si>
  <si>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</si>
  <si>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</si>
  <si>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</si>
  <si>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</si>
  <si>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</si>
  <si>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</si>
  <si>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</si>
  <si>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</si>
  <si>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</si>
  <si>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</si>
  <si>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</si>
  <si>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</si>
  <si>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</si>
  <si>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</si>
  <si>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</si>
  <si>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</si>
  <si>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</si>
  <si>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</si>
  <si>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</si>
  <si>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</si>
  <si>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</si>
  <si>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</si>
  <si>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</si>
  <si>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</si>
  <si>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</si>
  <si>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</si>
  <si>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</si>
  <si>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</si>
  <si>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</si>
  <si>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</si>
  <si>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</si>
  <si>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</si>
  <si>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</si>
  <si>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</si>
  <si>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</si>
  <si>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</si>
  <si>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</si>
  <si>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</si>
  <si>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</si>
  <si>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</si>
  <si>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</si>
  <si>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</si>
  <si>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</si>
  <si>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</si>
  <si>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</si>
  <si>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</si>
  <si>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</si>
  <si>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</si>
  <si>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</si>
  <si>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</si>
  <si>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</si>
  <si>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</si>
  <si>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</si>
  <si>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</si>
  <si>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</si>
  <si>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</si>
  <si>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</si>
  <si>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</si>
  <si>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</si>
  <si>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</si>
  <si>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</si>
  <si>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</si>
  <si>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</si>
  <si>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</si>
  <si>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</si>
  <si>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</si>
  <si>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</si>
  <si>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</si>
  <si>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</si>
  <si>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</si>
  <si>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</si>
  <si>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</si>
  <si>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</si>
  <si>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</si>
  <si>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</si>
  <si>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</si>
  <si>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</si>
  <si>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</si>
  <si>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</si>
  <si>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</si>
  <si>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</si>
  <si>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</si>
  <si>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</si>
  <si>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</si>
  <si>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</si>
  <si>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</si>
  <si>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</si>
  <si>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</si>
  <si>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</si>
  <si>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</si>
  <si>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</si>
  <si>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</si>
  <si>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</si>
  <si>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</si>
  <si>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</si>
  <si>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</si>
  <si>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</si>
  <si>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</si>
  <si>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</si>
  <si>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</si>
  <si>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</si>
  <si>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</si>
  <si>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</si>
  <si>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</si>
  <si>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</si>
  <si>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</si>
  <si>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</si>
  <si>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</si>
  <si>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</si>
  <si>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</si>
  <si>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</si>
  <si>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</si>
  <si>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</si>
  <si>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</si>
  <si>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</si>
  <si>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</si>
  <si>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</si>
  <si>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</si>
  <si>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</si>
  <si>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</si>
  <si>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</si>
  <si>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</si>
  <si>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</si>
  <si>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</si>
  <si>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</si>
  <si>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</si>
  <si>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</si>
  <si>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</si>
  <si>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</si>
  <si>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</si>
  <si>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</si>
  <si>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</si>
  <si>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</si>
  <si>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</si>
  <si>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</si>
  <si>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</si>
  <si>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</si>
  <si>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</si>
  <si>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</si>
  <si>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</si>
  <si>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</si>
  <si>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</si>
  <si>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</si>
  <si>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</si>
  <si>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</si>
  <si>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</si>
  <si>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</si>
  <si>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</si>
  <si>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</si>
  <si>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</si>
  <si>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</si>
  <si>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</si>
  <si>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</si>
  <si>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</si>
  <si>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</si>
  <si>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</si>
  <si>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</si>
  <si>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</si>
  <si>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</si>
  <si>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</si>
  <si>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</si>
  <si>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</si>
  <si>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</si>
  <si>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</si>
  <si>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</si>
  <si>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</si>
  <si>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</si>
  <si>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</si>
  <si>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</si>
  <si>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</si>
  <si>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</si>
  <si>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</si>
  <si>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</si>
  <si>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</si>
  <si>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</si>
  <si>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</si>
  <si>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</si>
  <si>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</si>
  <si>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</si>
  <si>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</si>
  <si>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</si>
  <si>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</si>
  <si>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</si>
  <si>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</si>
  <si>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</si>
  <si>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</si>
  <si>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</si>
  <si>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</si>
  <si>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</si>
  <si>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</si>
  <si>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</si>
  <si>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</si>
  <si>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</si>
  <si>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</si>
  <si>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</si>
  <si>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</si>
  <si>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</si>
  <si>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</si>
  <si>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</si>
  <si>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</si>
  <si>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</si>
  <si>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</si>
  <si>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</si>
  <si>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</si>
  <si>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</si>
  <si>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</si>
  <si>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</si>
  <si>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</si>
  <si>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</si>
  <si>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</si>
  <si>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</si>
  <si>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</si>
  <si>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</si>
  <si>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</si>
  <si>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</si>
  <si>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</si>
  <si>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</si>
  <si>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</si>
  <si>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</si>
  <si>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</si>
  <si>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</si>
  <si>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</si>
  <si>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</si>
  <si>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</si>
  <si>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</si>
  <si>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</si>
  <si>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</si>
  <si>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</si>
  <si>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</si>
  <si>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</si>
  <si>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</si>
  <si>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</si>
  <si>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</si>
  <si>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</si>
  <si>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</si>
  <si>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</si>
  <si>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</si>
  <si>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</si>
  <si>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</si>
  <si>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</si>
  <si>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</si>
  <si>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</si>
  <si>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</si>
  <si>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</si>
  <si>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</si>
  <si>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</si>
  <si>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</si>
  <si>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</si>
  <si>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</si>
  <si>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</si>
  <si>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</si>
  <si>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</si>
  <si>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</si>
  <si>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</si>
  <si>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</si>
  <si>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</si>
  <si>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</si>
  <si>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</si>
  <si>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</si>
  <si>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</si>
  <si>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</si>
  <si>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</si>
  <si>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</si>
  <si>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</si>
  <si>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</si>
  <si>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</si>
  <si>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</si>
  <si>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</si>
  <si>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</si>
  <si>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</si>
  <si>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</si>
  <si>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</si>
  <si>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</si>
  <si>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</si>
  <si>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</si>
  <si>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</si>
  <si>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</si>
  <si>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</si>
  <si>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</si>
  <si>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</si>
  <si>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</si>
  <si>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</si>
  <si>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</si>
  <si>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</si>
  <si>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</si>
  <si>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</si>
  <si>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</si>
  <si>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</si>
  <si>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</si>
  <si>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</si>
  <si>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</si>
  <si>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</si>
  <si>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</si>
  <si>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</si>
  <si>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</si>
  <si>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</si>
  <si>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</si>
  <si>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</si>
  <si>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</si>
  <si>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</si>
  <si>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</si>
  <si>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</si>
  <si>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</si>
  <si>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</si>
  <si>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</si>
  <si>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</si>
  <si>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</si>
  <si>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</si>
  <si>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</si>
  <si>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</si>
  <si>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</si>
  <si>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</si>
  <si>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</si>
  <si>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</si>
  <si>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</si>
  <si>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</si>
  <si>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</si>
  <si>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</si>
  <si>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</si>
  <si>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</si>
  <si>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</si>
  <si>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</si>
  <si>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</si>
  <si>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</si>
  <si>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</si>
  <si>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</si>
  <si>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</si>
  <si>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</si>
  <si>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</si>
  <si>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</si>
  <si>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</si>
  <si>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</si>
  <si>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</si>
  <si>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</si>
  <si>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</si>
  <si>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</si>
  <si>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</si>
  <si>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</si>
  <si>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</si>
  <si>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</si>
  <si>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</si>
  <si>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</si>
  <si>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</si>
  <si>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</si>
  <si>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</si>
  <si>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</si>
  <si>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</si>
  <si>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</si>
  <si>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</si>
  <si>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</si>
  <si>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</si>
  <si>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</si>
  <si>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</si>
  <si>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</si>
  <si>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</si>
  <si>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</si>
  <si>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</si>
  <si>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</si>
  <si>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</si>
  <si>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</si>
  <si>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</si>
  <si>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</si>
  <si>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</si>
  <si>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</si>
  <si>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</si>
  <si>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</si>
  <si>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</si>
  <si>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</si>
  <si>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</si>
  <si>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</si>
  <si>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</si>
  <si>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</si>
  <si>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</si>
  <si>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</si>
  <si>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</si>
  <si>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</si>
  <si>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</si>
  <si>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</si>
  <si>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</si>
  <si>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</si>
  <si>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</si>
  <si>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</si>
  <si>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</si>
  <si>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</si>
  <si>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</si>
  <si>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</si>
  <si>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</si>
  <si>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</si>
  <si>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</si>
  <si>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</si>
  <si>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</si>
  <si>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</si>
  <si>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</si>
  <si>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</si>
  <si>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</si>
  <si>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</si>
  <si>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</si>
  <si>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</si>
  <si>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</si>
  <si>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</si>
  <si>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</si>
  <si>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</si>
  <si>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</si>
  <si>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</si>
  <si>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</si>
  <si>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</si>
  <si>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</si>
  <si>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</si>
  <si>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</si>
  <si>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</si>
  <si>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</si>
  <si>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</si>
  <si>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</si>
  <si>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</si>
  <si>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</si>
  <si>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</si>
  <si>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</si>
  <si>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</si>
  <si>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</si>
  <si>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</si>
  <si>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</si>
  <si>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</si>
  <si>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</si>
  <si>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</si>
  <si>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</si>
  <si>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</si>
  <si>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</si>
  <si>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</si>
  <si>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</si>
  <si>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</si>
  <si>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</si>
  <si>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</si>
  <si>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</si>
  <si>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</si>
  <si>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</si>
  <si>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</si>
  <si>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</si>
  <si>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</si>
  <si>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</si>
  <si>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</si>
  <si>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</si>
  <si>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</si>
  <si>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</si>
  <si>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</si>
  <si>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</si>
  <si>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</si>
  <si>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</si>
  <si>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</si>
  <si>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</si>
  <si>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</si>
  <si>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</si>
  <si>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</si>
  <si>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</si>
  <si>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</si>
  <si>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</si>
  <si>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</si>
  <si>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</si>
  <si>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</si>
  <si>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</si>
  <si>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</si>
  <si>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</si>
  <si>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</si>
  <si>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</si>
  <si>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</si>
  <si>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</si>
  <si>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</si>
  <si>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</si>
  <si>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</si>
  <si>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</si>
  <si>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</si>
  <si>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</si>
  <si>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</si>
  <si>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</si>
  <si>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</si>
  <si>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</si>
  <si>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</si>
  <si>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</si>
  <si>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</si>
  <si>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</si>
  <si>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</si>
  <si>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</si>
  <si>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</si>
  <si>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</si>
  <si>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</si>
  <si>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</si>
  <si>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</si>
  <si>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</si>
  <si>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</si>
  <si>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</si>
  <si>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</si>
  <si>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</si>
  <si>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</si>
  <si>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</si>
  <si>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</si>
  <si>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</si>
  <si>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</si>
  <si>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</si>
  <si>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</si>
  <si>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</si>
  <si>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</si>
  <si>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</si>
  <si>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</si>
  <si>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</si>
  <si>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</si>
  <si>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</si>
  <si>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</si>
  <si>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</si>
  <si>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</si>
  <si>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</si>
  <si>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</si>
  <si>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</si>
  <si>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</si>
  <si>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</si>
  <si>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</si>
  <si>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</si>
  <si>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</si>
  <si>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</si>
  <si>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</si>
  <si>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</si>
  <si>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</si>
  <si>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</si>
  <si>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</si>
  <si>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</si>
  <si>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</si>
  <si>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</si>
  <si>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</si>
  <si>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</si>
  <si>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</si>
  <si>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</si>
  <si>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</si>
  <si>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</si>
  <si>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</si>
  <si>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</si>
  <si>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</si>
  <si>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</si>
  <si>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</si>
  <si>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</si>
  <si>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</si>
  <si>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</si>
  <si>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</si>
  <si>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</si>
  <si>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</si>
  <si>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</si>
  <si>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</si>
  <si>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</si>
  <si>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</si>
  <si>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</si>
  <si>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</si>
  <si>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</si>
  <si>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</si>
  <si>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</si>
  <si>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</si>
  <si>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</si>
  <si>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</si>
  <si>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</si>
  <si>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</si>
  <si>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</si>
  <si>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</si>
  <si>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</si>
  <si>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</si>
  <si>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</si>
  <si>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</si>
  <si>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</si>
  <si>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</si>
  <si>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</si>
  <si>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</si>
  <si>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</si>
  <si>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</si>
  <si>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</si>
  <si>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</si>
  <si>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</si>
  <si>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</si>
  <si>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</si>
  <si>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</si>
  <si>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</si>
  <si>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</si>
  <si>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</si>
  <si>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</si>
  <si>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</si>
  <si>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</si>
  <si>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</si>
  <si>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</si>
  <si>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</si>
  <si>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</si>
  <si>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</si>
  <si>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</si>
  <si>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</si>
  <si>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</si>
  <si>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</si>
  <si>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</si>
  <si>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</si>
  <si>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</si>
  <si>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</si>
  <si>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</si>
  <si>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</si>
  <si>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</si>
  <si>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</si>
  <si>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</si>
  <si>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</si>
  <si>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</si>
  <si>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</si>
  <si>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</si>
  <si>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</si>
  <si>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</si>
  <si>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</si>
  <si>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</si>
  <si>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</si>
  <si>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</si>
  <si>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</si>
  <si>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</si>
  <si>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</si>
  <si>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</si>
  <si>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</si>
  <si>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</si>
  <si>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</si>
  <si>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</si>
  <si>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</si>
  <si>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</si>
  <si>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</si>
  <si>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</si>
  <si>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</si>
  <si>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</si>
  <si>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</si>
  <si>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</si>
  <si>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</si>
  <si>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</si>
  <si>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</si>
  <si>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</si>
  <si>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</si>
  <si>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</si>
  <si>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</si>
  <si>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</si>
  <si>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</si>
  <si>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</si>
  <si>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</si>
  <si>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</si>
  <si>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</si>
  <si>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</si>
  <si>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</si>
  <si>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</si>
  <si>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</si>
  <si>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</si>
  <si>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</si>
  <si>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</si>
  <si>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</si>
  <si>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</si>
  <si>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</si>
  <si>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</si>
  <si>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</si>
  <si>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</si>
  <si>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</si>
  <si>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</si>
  <si>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</si>
  <si>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</si>
  <si>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</si>
  <si>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</si>
  <si>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</si>
  <si>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</si>
  <si>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</si>
  <si>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</si>
  <si>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</si>
  <si>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</si>
  <si>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</si>
  <si>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</si>
  <si>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</si>
  <si>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</si>
  <si>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</si>
  <si>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</si>
  <si>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</si>
  <si>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</si>
  <si>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</si>
  <si>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</si>
  <si>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</si>
  <si>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</si>
  <si>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</si>
  <si>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</si>
  <si>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</si>
  <si>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</si>
  <si>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</si>
  <si>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</si>
  <si>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</si>
  <si>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</si>
  <si>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</si>
  <si>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</si>
  <si>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</si>
  <si>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</si>
  <si>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</si>
  <si>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</si>
  <si>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</si>
  <si>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</si>
  <si>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</si>
  <si>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</si>
  <si>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</si>
  <si>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</si>
  <si>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</si>
  <si>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</si>
  <si>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</si>
  <si>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</si>
  <si>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</si>
  <si>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</si>
  <si>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</si>
  <si>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</si>
  <si>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</si>
  <si>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</si>
  <si>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</si>
  <si>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</si>
  <si>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</si>
  <si>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</si>
  <si>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</si>
  <si>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</si>
  <si>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</si>
  <si>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</si>
  <si>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</si>
  <si>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</si>
  <si>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</si>
  <si>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</si>
  <si>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</si>
  <si>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</si>
  <si>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</si>
  <si>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</si>
  <si>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</si>
  <si>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</si>
  <si>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</si>
  <si>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</si>
  <si>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</si>
  <si>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</si>
  <si>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</si>
  <si>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</si>
  <si>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</si>
  <si>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</si>
  <si>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</si>
  <si>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</si>
  <si>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</si>
  <si>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</si>
  <si>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</si>
  <si>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</si>
  <si>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</si>
  <si>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</si>
  <si>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</si>
  <si>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</si>
  <si>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</si>
  <si>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</si>
  <si>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</si>
  <si>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</si>
  <si>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</si>
  <si>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</si>
  <si>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</si>
  <si>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</si>
  <si>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</si>
  <si>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</si>
  <si>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</si>
  <si>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</si>
  <si>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</si>
  <si>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</si>
  <si>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</si>
  <si>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</si>
  <si>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</si>
  <si>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</si>
  <si>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</si>
  <si>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</si>
  <si>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</si>
  <si>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</si>
  <si>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</si>
  <si>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</si>
  <si>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</si>
  <si>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</si>
  <si>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</si>
  <si>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</si>
  <si>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</si>
  <si>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</si>
  <si>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</si>
  <si>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</si>
  <si>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</si>
  <si>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</si>
  <si>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</si>
  <si>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</si>
  <si>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</si>
  <si>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</si>
  <si>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</si>
  <si>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</si>
  <si>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</si>
  <si>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</si>
  <si>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</si>
  <si>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</si>
  <si>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</si>
  <si>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</si>
  <si>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</si>
  <si>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</si>
  <si>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</si>
  <si>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</si>
  <si>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</si>
  <si>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</si>
  <si>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</si>
  <si>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</si>
  <si>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</si>
  <si>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</si>
  <si>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</si>
  <si>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</si>
  <si>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</si>
  <si>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</si>
  <si>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</si>
  <si>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</si>
  <si>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</si>
  <si>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</si>
  <si>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</si>
  <si>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</si>
  <si>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</si>
  <si>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</si>
  <si>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</si>
  <si>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</si>
  <si>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</si>
  <si>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</si>
  <si>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</si>
  <si>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</si>
  <si>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</si>
  <si>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</si>
  <si>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</si>
  <si>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</si>
  <si>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</si>
  <si>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</si>
  <si>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</si>
  <si>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</si>
  <si>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</si>
  <si>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</si>
  <si>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</si>
  <si>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</si>
  <si>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</si>
  <si>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</si>
  <si>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</si>
  <si>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</si>
  <si>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</si>
  <si>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</si>
  <si>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</si>
  <si>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</si>
  <si>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</si>
  <si>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</si>
  <si>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</si>
  <si>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</si>
  <si>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</si>
  <si>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</si>
  <si>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</si>
  <si>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</si>
  <si>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</si>
  <si>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</si>
  <si>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</si>
  <si>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</si>
  <si>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</si>
  <si>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</si>
  <si>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</si>
  <si>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</si>
  <si>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</si>
  <si>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</si>
  <si>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</si>
  <si>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</si>
  <si>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</si>
  <si>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</si>
  <si>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</si>
  <si>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</si>
  <si>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</si>
  <si>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</si>
  <si>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</si>
  <si>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</si>
  <si>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</si>
  <si>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</si>
  <si>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</si>
  <si>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</si>
  <si>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</si>
  <si>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</si>
  <si>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</si>
  <si>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</si>
  <si>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</si>
  <si>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</si>
  <si>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</si>
  <si>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</si>
  <si>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</si>
  <si>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</si>
  <si>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</si>
  <si>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</si>
  <si>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</si>
  <si>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</si>
  <si>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</si>
  <si>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</si>
  <si>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</si>
  <si>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</si>
  <si>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</si>
  <si>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</si>
  <si>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</si>
  <si>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</si>
  <si>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</si>
  <si>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</si>
  <si>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</si>
  <si>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</si>
  <si>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</si>
  <si>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</si>
  <si>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</si>
  <si>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</si>
  <si>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</si>
  <si>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</si>
  <si>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</si>
  <si>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</si>
  <si>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</si>
  <si>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</si>
  <si>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</si>
  <si>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</si>
  <si>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</si>
  <si>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</si>
  <si>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</si>
  <si>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</si>
  <si>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</si>
  <si>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</si>
  <si>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</si>
  <si>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</si>
  <si>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</si>
  <si>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</si>
  <si>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</si>
  <si>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</si>
  <si>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</si>
  <si>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</si>
  <si>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</si>
  <si>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</si>
  <si>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</si>
  <si>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</si>
  <si>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</si>
  <si>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</si>
  <si>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</si>
  <si>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</si>
  <si>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</si>
  <si>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</si>
  <si>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</si>
  <si>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</si>
  <si>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</si>
  <si>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</si>
  <si>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</si>
  <si>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</si>
  <si>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</si>
  <si>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</si>
  <si>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</si>
  <si>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</si>
  <si>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</si>
  <si>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</si>
  <si>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</si>
  <si>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</si>
  <si>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</si>
  <si>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</si>
  <si>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</si>
  <si>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</si>
  <si>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</si>
  <si>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</si>
  <si>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</si>
  <si>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</si>
  <si>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</si>
  <si>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</si>
  <si>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</si>
  <si>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</si>
  <si>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</si>
  <si>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</si>
  <si>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</si>
  <si>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</si>
  <si>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</si>
  <si>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</si>
  <si>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</si>
  <si>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</si>
  <si>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</si>
  <si>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</si>
  <si>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</si>
  <si>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</si>
  <si>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</si>
  <si>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</si>
  <si>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</si>
  <si>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</si>
  <si>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</si>
  <si>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</si>
  <si>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</si>
  <si>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</si>
  <si>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</si>
  <si>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</si>
  <si>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</si>
  <si>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</si>
  <si>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</si>
  <si>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</si>
  <si>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</si>
  <si>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</si>
  <si>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</si>
  <si>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</si>
  <si>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</si>
  <si>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</si>
  <si>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</si>
  <si>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</si>
  <si>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</si>
  <si>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</si>
  <si>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</si>
  <si>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</si>
  <si>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</si>
  <si>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</si>
  <si>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</si>
  <si>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</si>
  <si>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</si>
  <si>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</si>
  <si>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</si>
  <si>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</si>
  <si>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</si>
  <si>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</si>
  <si>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</si>
  <si>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</si>
  <si>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</si>
  <si>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</si>
  <si>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</si>
  <si>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</si>
  <si>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</si>
  <si>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</si>
  <si>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</si>
  <si>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</si>
  <si>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</si>
  <si>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</si>
  <si>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</si>
  <si>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</si>
  <si>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</si>
  <si>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</si>
  <si>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</si>
  <si>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</si>
  <si>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</si>
  <si>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</si>
  <si>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</si>
  <si>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</si>
  <si>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</si>
  <si>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</si>
  <si>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</si>
  <si>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</si>
  <si>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</si>
  <si>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</si>
  <si>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</si>
  <si>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</si>
  <si>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</si>
  <si>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</si>
  <si>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</si>
  <si>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</si>
  <si>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</si>
  <si>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</si>
  <si>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</si>
  <si>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</si>
  <si>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</si>
  <si>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</si>
  <si>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</si>
  <si>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</si>
  <si>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</si>
  <si>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</si>
  <si>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</si>
  <si>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</si>
  <si>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</si>
  <si>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</si>
  <si>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</si>
  <si>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</si>
  <si>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</si>
  <si>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</si>
  <si>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</si>
  <si>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</si>
  <si>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</si>
  <si>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</si>
  <si>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</si>
  <si>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</si>
  <si>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</si>
  <si>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</si>
  <si>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</si>
  <si>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</si>
  <si>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</si>
  <si>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</si>
  <si>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</si>
  <si>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</si>
  <si>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</si>
  <si>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</si>
  <si>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</si>
  <si>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</si>
  <si>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</si>
  <si>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</si>
  <si>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</si>
  <si>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</si>
  <si>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</si>
  <si>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</si>
  <si>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</si>
  <si>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</si>
  <si>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</si>
  <si>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</si>
  <si>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</si>
  <si>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</si>
  <si>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</si>
  <si>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</si>
  <si>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</si>
  <si>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</si>
  <si>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</si>
  <si>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</si>
  <si>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</si>
  <si>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</si>
  <si>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</si>
  <si>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</si>
  <si>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</si>
  <si>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</si>
  <si>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</si>
  <si>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</si>
  <si>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</si>
  <si>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</si>
  <si>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</si>
  <si>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</si>
  <si>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</si>
  <si>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</si>
  <si>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</si>
  <si>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</si>
  <si>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</si>
  <si>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</si>
  <si>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</si>
  <si>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</si>
  <si>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</si>
  <si>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</si>
  <si>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</si>
  <si>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</si>
  <si>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</si>
  <si>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</si>
  <si>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</si>
  <si>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</si>
  <si>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</si>
  <si>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</si>
  <si>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</si>
  <si>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</si>
  <si>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</si>
  <si>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</si>
  <si>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</si>
  <si>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</si>
  <si>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</si>
  <si>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</si>
  <si>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</si>
  <si>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</si>
  <si>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</si>
  <si>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</si>
  <si>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</si>
  <si>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</si>
  <si>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</si>
  <si>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</si>
  <si>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</si>
  <si>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</si>
  <si>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</si>
  <si>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</si>
  <si>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</si>
  <si>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</si>
  <si>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</si>
  <si>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</si>
  <si>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</si>
  <si>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</si>
  <si>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</si>
  <si>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</si>
  <si>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</si>
  <si>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</si>
  <si>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</si>
  <si>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</si>
  <si>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</si>
  <si>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</si>
  <si>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</si>
  <si>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</si>
  <si>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</si>
  <si>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</si>
  <si>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</si>
  <si>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</si>
  <si>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</si>
  <si>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</si>
  <si>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</si>
  <si>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</si>
  <si>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</si>
  <si>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</si>
  <si>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</si>
  <si>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</si>
  <si>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</si>
  <si>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</si>
  <si>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</si>
  <si>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</si>
  <si>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</si>
  <si>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</si>
  <si>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</si>
  <si>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</si>
  <si>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</si>
  <si>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</si>
  <si>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</si>
  <si>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</si>
  <si>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</si>
  <si>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</si>
  <si>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</si>
  <si>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</si>
  <si>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</si>
  <si>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</si>
  <si>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</si>
  <si>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</si>
  <si>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</si>
  <si>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</si>
  <si>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</si>
  <si>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</si>
  <si>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</si>
  <si>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</si>
  <si>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</si>
  <si>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</si>
  <si>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</si>
  <si>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</si>
  <si>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</si>
  <si>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</si>
  <si>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</si>
  <si>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</si>
  <si>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</si>
  <si>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</si>
  <si>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</si>
  <si>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</si>
  <si>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</si>
  <si>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</si>
  <si>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</si>
  <si>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</si>
  <si>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</si>
  <si>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</si>
  <si>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</si>
  <si>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</si>
  <si>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</si>
  <si>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</si>
  <si>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</si>
  <si>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</si>
  <si>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</si>
  <si>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</si>
  <si>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</si>
  <si>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</si>
  <si>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</si>
  <si>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</si>
  <si>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</si>
  <si>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</si>
  <si>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</si>
  <si>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</si>
  <si>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</si>
  <si>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</si>
  <si>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</si>
  <si>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</si>
  <si>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</si>
  <si>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</si>
  <si>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</si>
  <si>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</si>
  <si>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</si>
  <si>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</si>
  <si>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</si>
  <si>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</si>
  <si>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</si>
  <si>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</si>
  <si>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</si>
  <si>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</si>
  <si>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</si>
  <si>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</si>
  <si>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</si>
  <si>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</si>
  <si>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</si>
  <si>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</si>
  <si>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</si>
  <si>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</si>
  <si>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</si>
  <si>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</si>
  <si>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</si>
  <si>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</si>
  <si>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</si>
  <si>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</si>
  <si>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</si>
  <si>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</si>
  <si>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</si>
  <si>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</si>
  <si>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</si>
  <si>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</si>
  <si>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</si>
  <si>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</si>
  <si>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</si>
  <si>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</si>
  <si>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</si>
  <si>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</si>
  <si>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</si>
  <si>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</si>
  <si>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</si>
  <si>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</si>
  <si>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</si>
  <si>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</si>
  <si>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</si>
  <si>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</si>
  <si>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</si>
  <si>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</si>
  <si>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</si>
  <si>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</si>
  <si>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</si>
  <si>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</si>
  <si>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</si>
  <si>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</si>
  <si>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</si>
  <si>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</si>
  <si>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</si>
  <si>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</si>
  <si>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</si>
  <si>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</si>
  <si>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</si>
  <si>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</si>
  <si>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</si>
  <si>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</si>
  <si>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</si>
  <si>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</si>
  <si>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</si>
  <si>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</si>
  <si>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</si>
  <si>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</si>
  <si>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</si>
  <si>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</si>
  <si>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</si>
  <si>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</si>
  <si>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</si>
  <si>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</si>
  <si>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</si>
  <si>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</si>
  <si>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</si>
  <si>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</si>
  <si>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</si>
  <si>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</si>
  <si>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</si>
  <si>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</si>
  <si>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</si>
  <si>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</si>
  <si>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</si>
  <si>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</si>
  <si>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</si>
  <si>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</si>
  <si>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</si>
  <si>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</si>
  <si>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</si>
  <si>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</si>
  <si>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</si>
  <si>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</si>
  <si>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</si>
  <si>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</si>
  <si>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</si>
  <si>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</si>
  <si>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</si>
  <si>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</si>
  <si>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</si>
  <si>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</si>
  <si>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</si>
  <si>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</si>
  <si>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</si>
  <si>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</si>
  <si>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</si>
  <si>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</si>
  <si>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</si>
  <si>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</si>
  <si>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</si>
  <si>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</si>
  <si>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</si>
  <si>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</si>
  <si>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</si>
  <si>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</si>
  <si>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</si>
  <si>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</si>
  <si>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</si>
  <si>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</si>
  <si>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</si>
  <si>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</si>
  <si>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</si>
  <si>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</si>
  <si>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</si>
  <si>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</si>
  <si>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</si>
  <si>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</si>
  <si>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</si>
  <si>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</si>
  <si>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</si>
  <si>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</si>
  <si>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</si>
  <si>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</si>
  <si>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</si>
  <si>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</si>
  <si>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</si>
  <si>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</si>
  <si>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</si>
  <si>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</si>
  <si>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</si>
  <si>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</si>
  <si>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</si>
  <si>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</si>
  <si>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</si>
  <si>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</si>
  <si>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</si>
  <si>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</si>
  <si>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</si>
  <si>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</si>
  <si>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</si>
  <si>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</si>
  <si>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</si>
  <si>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</si>
  <si>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</si>
  <si>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</si>
  <si>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</si>
  <si>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</si>
  <si>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</si>
  <si>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</si>
  <si>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</si>
  <si>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</si>
  <si>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</si>
  <si>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</si>
  <si>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</si>
  <si>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</si>
  <si>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</si>
  <si>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</si>
  <si>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</si>
  <si>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</si>
  <si>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</si>
  <si>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</si>
  <si>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</si>
  <si>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</si>
  <si>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</si>
  <si>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</si>
  <si>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</si>
  <si>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</si>
  <si>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</si>
  <si>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</si>
  <si>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</si>
  <si>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</si>
  <si>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</si>
  <si>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</si>
  <si>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</si>
  <si>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</si>
  <si>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</si>
  <si>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</si>
  <si>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</si>
  <si>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</si>
  <si>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</si>
  <si>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</si>
  <si>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</si>
  <si>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</si>
  <si>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</si>
  <si>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</si>
  <si>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</si>
  <si>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</si>
  <si>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</si>
  <si>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</si>
  <si>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</si>
  <si>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</si>
  <si>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</si>
  <si>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</si>
  <si>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</si>
  <si>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</si>
  <si>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</si>
  <si>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</si>
  <si>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</si>
  <si>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</si>
  <si>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</si>
  <si>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</si>
  <si>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</si>
  <si>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</si>
  <si>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</si>
  <si>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</si>
  <si>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</si>
  <si>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</si>
  <si>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</si>
  <si>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</si>
  <si>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</si>
  <si>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</si>
  <si>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</si>
  <si>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</si>
  <si>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</si>
  <si>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</si>
  <si>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</si>
  <si>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</si>
  <si>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</si>
  <si>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</si>
  <si>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</si>
  <si>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</si>
  <si>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</si>
  <si>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</si>
  <si>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</si>
  <si>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</si>
  <si>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</si>
  <si>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</si>
  <si>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</si>
  <si>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</si>
  <si>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</si>
  <si>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</si>
  <si>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</si>
  <si>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</si>
  <si>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</si>
  <si>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</si>
  <si>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</si>
  <si>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</si>
  <si>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</si>
  <si>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</si>
  <si>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</si>
  <si>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</si>
  <si>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</si>
  <si>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</si>
  <si>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</si>
  <si>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</si>
  <si>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</si>
  <si>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</si>
  <si>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</si>
  <si>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</si>
  <si>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</si>
  <si>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</si>
  <si>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</si>
  <si>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</si>
  <si>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</si>
  <si>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</si>
  <si>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</si>
  <si>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</si>
  <si>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</si>
  <si>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</si>
  <si>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</si>
  <si>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</si>
  <si>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</si>
  <si>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</si>
  <si>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</si>
  <si>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</si>
  <si>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</si>
  <si>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</si>
  <si>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</si>
  <si>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</si>
  <si>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</si>
  <si>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</si>
  <si>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</si>
  <si>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</si>
  <si>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</si>
  <si>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</si>
  <si>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</si>
  <si>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</si>
  <si>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</si>
  <si>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</si>
  <si>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</si>
  <si>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</si>
  <si>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</si>
  <si>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</si>
  <si>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</si>
  <si>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</si>
  <si>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</si>
  <si>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</si>
  <si>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</si>
  <si>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</si>
  <si>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</si>
  <si>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</si>
  <si>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</si>
  <si>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</si>
  <si>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</si>
  <si>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</si>
  <si>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</si>
  <si>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</si>
  <si>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</si>
  <si>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</si>
  <si>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</si>
  <si>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</si>
  <si>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</si>
  <si>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</si>
  <si>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</si>
  <si>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</si>
  <si>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</si>
  <si>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</si>
  <si>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</si>
  <si>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</si>
  <si>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</si>
  <si>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</si>
  <si>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</si>
  <si>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</si>
  <si>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</si>
  <si>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</si>
  <si>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</si>
  <si>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</si>
  <si>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</si>
  <si>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</si>
  <si>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</si>
  <si>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</si>
  <si>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</si>
  <si>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</si>
  <si>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</si>
  <si>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</si>
  <si>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</si>
  <si>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</si>
  <si>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</si>
  <si>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</si>
  <si>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</si>
  <si>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</si>
  <si>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</si>
  <si>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</si>
  <si>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</si>
  <si>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</si>
  <si>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</si>
  <si>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</si>
  <si>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</si>
  <si>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</si>
  <si>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</si>
  <si>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</si>
  <si>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</si>
  <si>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</si>
  <si>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</si>
  <si>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</si>
  <si>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</si>
  <si>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</si>
  <si>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</si>
  <si>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</si>
  <si>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</si>
  <si>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</si>
  <si>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</si>
  <si>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</si>
  <si>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</si>
  <si>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</si>
  <si>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</si>
  <si>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</si>
  <si>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</si>
  <si>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</si>
  <si>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</si>
  <si>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</si>
  <si>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</si>
  <si>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</si>
  <si>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</si>
  <si>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</si>
  <si>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</si>
  <si>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</si>
  <si>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</si>
  <si>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</si>
  <si>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</si>
  <si>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</si>
  <si>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</si>
  <si>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</si>
  <si>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</si>
  <si>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</si>
  <si>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</si>
  <si>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</si>
  <si>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</si>
  <si>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</si>
  <si>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</si>
  <si>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</si>
  <si>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</si>
  <si>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</si>
  <si>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</si>
  <si>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</si>
  <si>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</si>
  <si>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</si>
  <si>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</si>
  <si>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</si>
  <si>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</si>
  <si>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</si>
  <si>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</si>
  <si>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</si>
  <si>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</si>
  <si>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</si>
  <si>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</si>
  <si>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</si>
  <si>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</si>
  <si>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</si>
  <si>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</si>
  <si>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</si>
  <si>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</si>
  <si>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</si>
  <si>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</si>
  <si>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</si>
  <si>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</si>
  <si>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</si>
  <si>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</si>
  <si>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</si>
  <si>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</si>
  <si>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</si>
  <si>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</si>
  <si>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</si>
  <si>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</si>
  <si>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</si>
  <si>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</si>
  <si>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</si>
  <si>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</si>
  <si>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</si>
  <si>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</si>
  <si>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</si>
  <si>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</si>
  <si>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</si>
  <si>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</si>
  <si>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</si>
  <si>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</si>
  <si>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</si>
  <si>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</si>
  <si>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</si>
  <si>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</si>
  <si>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</si>
  <si>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</si>
  <si>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</si>
  <si>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</si>
  <si>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</si>
  <si>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</si>
  <si>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</si>
  <si>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</si>
  <si>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</si>
  <si>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</si>
  <si>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</si>
  <si>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</si>
  <si>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</si>
  <si>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</si>
  <si>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</si>
  <si>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</si>
  <si>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</si>
  <si>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</si>
  <si>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</si>
  <si>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</si>
  <si>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</si>
  <si>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</si>
  <si>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</si>
  <si>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</si>
  <si>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</si>
  <si>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</si>
  <si>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</si>
  <si>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</si>
  <si>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</si>
  <si>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</si>
  <si>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</si>
  <si>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</si>
  <si>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</si>
  <si>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</si>
  <si>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</si>
  <si>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</si>
  <si>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</si>
  <si>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</si>
  <si>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</si>
  <si>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</si>
  <si>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</si>
  <si>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</si>
  <si>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</si>
  <si>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</si>
  <si>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</si>
  <si>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</si>
  <si>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</si>
  <si>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</si>
  <si>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</si>
  <si>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</si>
  <si>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</si>
  <si>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</si>
  <si>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</si>
  <si>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</si>
  <si>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</si>
  <si>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</si>
  <si>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</si>
  <si>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</si>
  <si>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</si>
  <si>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</si>
  <si>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</si>
  <si>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</si>
  <si>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</si>
  <si>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</si>
  <si>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</si>
  <si>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</si>
  <si>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</si>
  <si>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</si>
  <si>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</si>
  <si>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</si>
  <si>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</si>
  <si>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</si>
  <si>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</si>
  <si>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</si>
  <si>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</si>
  <si>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</si>
  <si>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</si>
  <si>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</si>
  <si>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</si>
  <si>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</si>
  <si>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</si>
  <si>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</si>
  <si>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</si>
  <si>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</si>
  <si>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</si>
  <si>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</si>
  <si>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</si>
  <si>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</si>
  <si>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</si>
  <si>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</si>
  <si>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</si>
  <si>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</si>
  <si>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</si>
  <si>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</si>
  <si>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</si>
  <si>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</si>
  <si>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</si>
  <si>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</si>
  <si>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</si>
  <si>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</si>
  <si>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</si>
  <si>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</si>
  <si>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</si>
  <si>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</si>
  <si>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</si>
  <si>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</si>
  <si>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</si>
  <si>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</si>
  <si>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</si>
  <si>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</si>
  <si>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</si>
  <si>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</si>
  <si>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</si>
  <si>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</si>
  <si>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</si>
  <si>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</si>
  <si>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</si>
  <si>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</si>
  <si>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</si>
  <si>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</si>
  <si>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</si>
  <si>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</si>
  <si>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</si>
  <si>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</si>
  <si>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</si>
  <si>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</si>
  <si>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</si>
  <si>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</si>
  <si>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</si>
  <si>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</si>
  <si>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</si>
  <si>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</si>
  <si>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</si>
  <si>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</si>
  <si>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</si>
  <si>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</si>
  <si>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</si>
  <si>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</si>
  <si>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</si>
  <si>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</si>
  <si>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</si>
  <si>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</si>
  <si>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</si>
  <si>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</si>
  <si>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</si>
  <si>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</si>
  <si>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</si>
  <si>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</si>
  <si>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</si>
  <si>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</si>
  <si>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</si>
  <si>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</si>
  <si>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</si>
  <si>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</si>
  <si>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</si>
  <si>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</si>
  <si>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</si>
  <si>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</si>
  <si>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</si>
  <si>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</si>
  <si>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</si>
  <si>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</si>
  <si>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</si>
  <si>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</si>
  <si>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</si>
  <si>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</si>
  <si>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</si>
  <si>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</si>
  <si>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</si>
  <si>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</si>
  <si>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</si>
  <si>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</si>
  <si>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</si>
  <si>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</si>
  <si>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</si>
  <si>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</si>
  <si>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</si>
  <si>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</si>
  <si>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</si>
  <si>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</si>
  <si>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</si>
  <si>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</si>
  <si>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</si>
  <si>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</si>
  <si>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</si>
  <si>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</si>
  <si>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</si>
  <si>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</si>
  <si>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</si>
  <si>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</si>
  <si>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</si>
  <si>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</si>
  <si>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</si>
  <si>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</si>
  <si>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</si>
  <si>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</si>
  <si>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</si>
  <si>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</si>
  <si>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</si>
  <si>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</si>
  <si>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</si>
  <si>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</si>
  <si>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</si>
  <si>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</si>
  <si>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</si>
  <si>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</si>
  <si>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</si>
  <si>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</si>
  <si>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</si>
  <si>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</si>
  <si>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</si>
  <si>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</si>
  <si>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</si>
  <si>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</si>
  <si>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</si>
  <si>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</si>
  <si>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</si>
  <si>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</si>
  <si>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</si>
  <si>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</si>
  <si>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</si>
  <si>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</si>
  <si>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</si>
  <si>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</si>
  <si>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</si>
  <si>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</si>
  <si>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</si>
  <si>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</si>
  <si>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</si>
  <si>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</si>
  <si>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</si>
  <si>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</si>
  <si>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</si>
  <si>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</si>
  <si>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</si>
  <si>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</si>
  <si>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</si>
  <si>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</si>
  <si>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</si>
  <si>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</si>
  <si>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</si>
  <si>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</si>
  <si>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</si>
  <si>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</si>
  <si>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</si>
  <si>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</si>
  <si>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</si>
  <si>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</si>
  <si>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</si>
  <si>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</si>
  <si>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</si>
  <si>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</si>
  <si>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</si>
  <si>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</si>
  <si>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</si>
  <si>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</si>
  <si>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</si>
  <si>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</si>
  <si>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</si>
  <si>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</si>
  <si>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</si>
  <si>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</si>
  <si>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</si>
  <si>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</si>
  <si>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</si>
  <si>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</si>
  <si>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</si>
  <si>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</si>
  <si>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</si>
  <si>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</si>
  <si>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</si>
  <si>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</si>
  <si>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</si>
  <si>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</si>
  <si>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</si>
  <si>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</si>
  <si>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</si>
  <si>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</si>
  <si>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</si>
  <si>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</si>
  <si>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</si>
  <si>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</si>
  <si>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</si>
  <si>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</si>
  <si>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</si>
  <si>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</si>
  <si>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</si>
  <si>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</si>
  <si>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</si>
  <si>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</si>
  <si>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</si>
  <si>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</si>
  <si>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</si>
  <si>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</si>
  <si>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</si>
  <si>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</si>
  <si>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</si>
  <si>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</si>
  <si>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</si>
  <si>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</si>
  <si>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</si>
  <si>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</si>
  <si>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</si>
  <si>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</si>
  <si>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</si>
  <si>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</si>
  <si>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</si>
  <si>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</si>
  <si>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</si>
  <si>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</si>
  <si>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</si>
  <si>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</si>
  <si>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</si>
  <si>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</si>
  <si>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</si>
  <si>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</si>
  <si>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</si>
  <si>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</si>
  <si>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</si>
  <si>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</si>
  <si>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</si>
  <si>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</si>
  <si>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</si>
  <si>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</si>
  <si>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</si>
  <si>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</si>
  <si>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</si>
  <si>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</si>
  <si>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</si>
  <si>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</si>
  <si>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</si>
  <si>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</si>
  <si>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</si>
  <si>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</si>
  <si>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</si>
  <si>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</si>
  <si>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</si>
  <si>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</si>
  <si>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</si>
  <si>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</si>
  <si>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</si>
  <si>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</si>
  <si>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</si>
  <si>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</si>
  <si>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</si>
  <si>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</si>
  <si>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</si>
  <si>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</si>
  <si>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</si>
  <si>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</si>
  <si>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</si>
  <si>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</si>
  <si>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</si>
  <si>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</si>
  <si>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</si>
  <si>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</si>
  <si>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</si>
  <si>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</si>
  <si>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</si>
  <si>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</si>
  <si>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</si>
  <si>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</si>
  <si>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</si>
  <si>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</si>
  <si>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</si>
  <si>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</si>
  <si>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</si>
  <si>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</si>
  <si>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</si>
  <si>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</si>
  <si>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</si>
  <si>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</si>
  <si>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</si>
  <si>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</si>
  <si>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</si>
  <si>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</si>
  <si>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</si>
  <si>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</si>
  <si>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</si>
  <si>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</si>
  <si>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</si>
  <si>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</si>
  <si>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</si>
  <si>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</si>
  <si>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</si>
  <si>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</si>
  <si>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</si>
  <si>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</si>
  <si>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</si>
  <si>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</si>
  <si>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</si>
  <si>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</si>
  <si>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</si>
  <si>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</si>
  <si>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</si>
  <si>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</si>
  <si>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</si>
  <si>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</si>
  <si>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</si>
  <si>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</si>
  <si>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</si>
  <si>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</si>
  <si>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</si>
  <si>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</si>
  <si>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</si>
  <si>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</si>
  <si>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</si>
  <si>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</si>
  <si>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</si>
  <si>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</si>
  <si>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</si>
  <si>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</si>
  <si>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</si>
  <si>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</si>
  <si>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</si>
  <si>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</si>
  <si>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</si>
  <si>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</si>
  <si>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</si>
  <si>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</si>
  <si>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</si>
  <si>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</si>
  <si>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</si>
  <si>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</si>
  <si>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</si>
  <si>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</si>
  <si>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</si>
  <si>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</si>
  <si>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</si>
  <si>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</si>
  <si>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</si>
  <si>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</si>
  <si>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</si>
  <si>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</si>
  <si>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</si>
  <si>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</si>
  <si>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</si>
  <si>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</si>
  <si>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</si>
  <si>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</si>
  <si>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</si>
  <si>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</si>
  <si>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</si>
  <si>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</si>
  <si>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</si>
  <si>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</si>
  <si>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</si>
  <si>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</si>
  <si>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</si>
  <si>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</si>
  <si>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</si>
  <si>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</si>
  <si>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</si>
  <si>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</si>
  <si>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</si>
  <si>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</si>
  <si>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</si>
  <si>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</si>
  <si>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</si>
  <si>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</si>
  <si>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</si>
  <si>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</si>
  <si>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</si>
  <si>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</si>
  <si>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</si>
  <si>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</si>
  <si>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</si>
  <si>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</si>
  <si>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</si>
  <si>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</si>
  <si>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</si>
  <si>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</si>
  <si>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</si>
  <si>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</si>
  <si>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</si>
  <si>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</si>
  <si>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</si>
  <si>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</si>
  <si>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</si>
  <si>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</si>
  <si>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</si>
  <si>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</si>
  <si>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</si>
  <si>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</si>
  <si>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</si>
  <si>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</si>
  <si>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</si>
  <si>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</si>
  <si>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</si>
  <si>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</si>
  <si>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</si>
  <si>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</si>
  <si>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</si>
  <si>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</si>
  <si>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</si>
  <si>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</si>
  <si>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</si>
  <si>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</si>
  <si>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</si>
  <si>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</si>
  <si>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</si>
  <si>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</si>
  <si>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</si>
  <si>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</si>
  <si>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</si>
  <si>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</si>
  <si>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</si>
  <si>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</si>
  <si>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</si>
  <si>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</si>
  <si>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</si>
  <si>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</si>
  <si>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</si>
  <si>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</si>
  <si>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</si>
  <si>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</si>
  <si>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</si>
  <si>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</si>
  <si>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</si>
  <si>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</si>
  <si>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</si>
  <si>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</si>
  <si>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</si>
  <si>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</si>
  <si>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</si>
  <si>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</si>
  <si>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</si>
  <si>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</si>
  <si>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</si>
  <si>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</si>
  <si>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</si>
  <si>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</si>
  <si>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</si>
  <si>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</si>
  <si>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</si>
  <si>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</si>
  <si>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</si>
  <si>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</si>
  <si>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</si>
  <si>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</si>
  <si>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</si>
  <si>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</si>
  <si>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</si>
  <si>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</si>
  <si>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</si>
  <si>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</si>
  <si>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</si>
  <si>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</si>
  <si>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</si>
  <si>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</si>
  <si>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</si>
  <si>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</si>
  <si>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</si>
  <si>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</si>
  <si>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</si>
  <si>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</si>
  <si>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</si>
  <si>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</si>
  <si>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</si>
  <si>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</si>
  <si>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</si>
  <si>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</si>
  <si>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</si>
  <si>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</si>
  <si>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</si>
  <si>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</si>
  <si>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</si>
  <si>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</si>
  <si>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</si>
  <si>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</si>
  <si>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</si>
  <si>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</si>
  <si>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</si>
  <si>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</si>
  <si>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</si>
  <si>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</si>
  <si>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</si>
  <si>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</si>
  <si>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</si>
  <si>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</si>
  <si>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</si>
  <si>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</si>
  <si>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</si>
  <si>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</si>
  <si>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</si>
  <si>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</si>
  <si>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</si>
  <si>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</si>
  <si>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</si>
  <si>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</si>
  <si>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</si>
  <si>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</si>
  <si>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</si>
  <si>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</si>
  <si>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</si>
  <si>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</si>
  <si>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</si>
  <si>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</si>
  <si>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</si>
  <si>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</si>
  <si>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</si>
  <si>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</si>
  <si>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</si>
  <si>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</si>
  <si>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</si>
  <si>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</si>
  <si>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</si>
  <si>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</si>
  <si>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</si>
  <si>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</si>
  <si>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</si>
  <si>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</si>
  <si>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</si>
  <si>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</si>
  <si>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</si>
  <si>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</si>
  <si>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</si>
  <si>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</si>
  <si>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</si>
  <si>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</si>
  <si>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</si>
  <si>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</si>
  <si>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</si>
  <si>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</si>
  <si>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</si>
  <si>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</si>
  <si>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</si>
  <si>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</si>
  <si>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</si>
  <si>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</si>
  <si>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</si>
  <si>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</si>
  <si>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</si>
  <si>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</si>
  <si>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</si>
  <si>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</si>
  <si>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</si>
  <si>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</si>
  <si>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</si>
  <si>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</si>
  <si>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</si>
  <si>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</si>
  <si>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</si>
  <si>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</si>
  <si>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</si>
  <si>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</si>
  <si>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</si>
  <si>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</si>
  <si>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</si>
  <si>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</si>
  <si>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</si>
  <si>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</si>
  <si>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</si>
  <si>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</si>
  <si>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</si>
  <si>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</si>
  <si>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</si>
  <si>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</si>
  <si>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</si>
  <si>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</si>
  <si>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</si>
  <si>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</si>
  <si>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</si>
  <si>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</si>
  <si>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</si>
  <si>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</si>
  <si>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</si>
  <si>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</si>
  <si>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</si>
  <si>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</si>
  <si>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</si>
  <si>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</si>
  <si>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</si>
  <si>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</si>
  <si>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</si>
  <si>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</si>
  <si>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</si>
  <si>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</si>
  <si>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</si>
  <si>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</si>
  <si>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</si>
  <si>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</si>
  <si>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</si>
  <si>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</si>
  <si>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</si>
  <si>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</si>
  <si>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</si>
  <si>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</si>
  <si>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</si>
  <si>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</si>
  <si>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</si>
  <si>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</si>
  <si>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</si>
  <si>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</si>
  <si>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</si>
  <si>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</si>
  <si>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</si>
  <si>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</si>
  <si>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</si>
  <si>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</si>
  <si>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</si>
  <si>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</si>
  <si>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</si>
  <si>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</si>
  <si>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</si>
  <si>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</si>
  <si>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</si>
  <si>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</si>
  <si>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</si>
  <si>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</si>
  <si>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</si>
  <si>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</si>
  <si>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</si>
  <si>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</si>
  <si>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</si>
  <si>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</si>
  <si>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</si>
  <si>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</si>
  <si>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</si>
  <si>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</si>
  <si>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</si>
  <si>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</si>
  <si>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</si>
  <si>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</si>
  <si>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</si>
  <si>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</si>
  <si>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</si>
  <si>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</si>
  <si>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</si>
  <si>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</si>
  <si>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</si>
  <si>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</si>
  <si>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</si>
  <si>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</si>
  <si>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</si>
  <si>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</si>
  <si>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</si>
  <si>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</si>
  <si>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</si>
  <si>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</si>
  <si>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</si>
  <si>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</si>
  <si>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</si>
  <si>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</si>
  <si>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</si>
  <si>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</si>
  <si>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</si>
  <si>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</si>
  <si>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</si>
  <si>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</si>
  <si>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</si>
  <si>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</si>
  <si>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</si>
  <si>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</si>
  <si>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</si>
  <si>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</si>
  <si>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</si>
  <si>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</si>
  <si>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</si>
  <si>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</si>
  <si>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</si>
  <si>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</si>
  <si>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</si>
  <si>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</si>
  <si>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</si>
  <si>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</si>
  <si>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</si>
  <si>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</si>
  <si>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</si>
  <si>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</si>
  <si>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</si>
  <si>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</si>
  <si>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</si>
  <si>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</si>
  <si>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</si>
  <si>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</si>
  <si>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</si>
  <si>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</si>
  <si>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</si>
  <si>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</si>
  <si>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</si>
  <si>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</si>
  <si>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</si>
  <si>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</si>
  <si>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</si>
  <si>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</si>
  <si>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</si>
  <si>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</si>
  <si>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</si>
  <si>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</si>
  <si>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</si>
  <si>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</si>
  <si>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</si>
  <si>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</si>
  <si>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</si>
  <si>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</si>
  <si>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</si>
  <si>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</si>
  <si>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</si>
  <si>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</si>
  <si>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</si>
  <si>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</si>
  <si>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</si>
  <si>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</si>
  <si>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</si>
  <si>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</si>
  <si>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</si>
  <si>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</si>
  <si>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</si>
  <si>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</si>
  <si>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</si>
  <si>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</si>
  <si>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</si>
  <si>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</si>
  <si>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</si>
  <si>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</si>
  <si>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</si>
  <si>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</si>
  <si>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</si>
  <si>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</si>
  <si>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</si>
  <si>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</si>
  <si>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</si>
  <si>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</si>
  <si>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</si>
  <si>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</si>
  <si>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</si>
  <si>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</si>
  <si>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</si>
  <si>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</si>
  <si>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</si>
  <si>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</si>
  <si>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</si>
  <si>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</si>
  <si>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</si>
  <si>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</si>
  <si>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</si>
  <si>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</si>
  <si>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</si>
  <si>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</si>
  <si>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</si>
  <si>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</si>
  <si>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</si>
  <si>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</si>
  <si>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</si>
  <si>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</si>
  <si>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</si>
  <si>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</si>
  <si>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</si>
  <si>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</si>
  <si>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</si>
  <si>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</si>
  <si>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</si>
  <si>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4. 1</t>
  </si>
  <si>
    <t>2.    Hollandi</t>
  </si>
  <si>
    <t>1.    Messi</t>
  </si>
  <si>
    <t>3.    Argentiina</t>
  </si>
  <si>
    <t>5.    Messi</t>
  </si>
  <si>
    <t>6.    Argentiina</t>
  </si>
  <si>
    <t>7.    Saudi Araabia</t>
  </si>
  <si>
    <t>8.    Argentiina</t>
  </si>
  <si>
    <t>9.    Mason Maunt</t>
  </si>
  <si>
    <t>10. 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</si>
</sst>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I6" zoomScaleNormal="100" workbookViewId="0">
      <selection activeCell="O15" sqref="O15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2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7</v>
      </c>
      <c r="AG8" s="47">
        <f>SUMIF($E$7:$E$54,$AB8,$G$7:$G$54) + SUMIF($H$7:$H$54,$AB8,$F$7:$F$54)</f>
        <v>4</v>
      </c>
      <c r="AH8" s="47">
        <f>(AF8-AG8)*100+AK8*10000+AF8</f>
        <v>60307</v>
      </c>
      <c r="AI8" s="47">
        <f>AF8-AG8</f>
        <v>3</v>
      </c>
      <c r="AJ8" s="47">
        <f>(AI8-AI13)/AI12</f>
        <v>0.8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688.75079208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4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8 - 4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6</v>
      </c>
      <c r="AH9" s="47">
        <f>(AF9-AG9)*100+AK9*10000+AF9</f>
        <v>-499</v>
      </c>
      <c r="AI9" s="47">
        <f>AF9-AG9</f>
        <v>-5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1.2507204999999999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0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7 - 4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5</v>
      </c>
      <c r="AG10" s="47">
        <f>SUMIF($E$7:$E$54,$AB10,$G$7:$G$54) + SUMIF($H$7:$H$54,$AB10,$F$7:$F$54)</f>
        <v>7</v>
      </c>
      <c r="AH10" s="47">
        <f>(AF10-AG10)*100+AK10*10000+AF10</f>
        <v>29805</v>
      </c>
      <c r="AI10" s="47">
        <f>AF10-AG10</f>
        <v>-2</v>
      </c>
      <c r="AJ10" s="47">
        <f>(AI10-AI13)/AI12</f>
        <v>0.3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336.25072649999998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3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5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5 - 7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4</v>
      </c>
      <c r="AH11" s="47">
        <f>(AF11-AG11)*100+AK11*10000+AF11</f>
        <v>90408</v>
      </c>
      <c r="AI11" s="47">
        <f>AF11-AG11</f>
        <v>4</v>
      </c>
      <c r="AJ11" s="47">
        <f>(AI11-AI13)/AI12</f>
        <v>0.9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1000.00082933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2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8</v>
      </c>
      <c r="AG12" s="47">
        <f t="shared" si="10"/>
        <v>4</v>
      </c>
      <c r="AH12" s="47">
        <f>MAX(AH8:AH11)-AH13+1</f>
        <v>90908</v>
      </c>
      <c r="AI12" s="47">
        <f>MAX(AI8:AI11)-AI13+1</f>
        <v>10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-499</v>
      </c>
      <c r="AI13" s="47">
        <f>MIN(AI8:AI11)</f>
        <v>-5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3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9</v>
      </c>
      <c r="AG14" s="47">
        <f>SUMIF($E$7:$E$54,$AB14,$G$7:$G$54) + SUMIF($H$7:$H$54,$AB14,$F$7:$F$54)</f>
        <v>2</v>
      </c>
      <c r="AH14" s="47">
        <f>(AF14-AG14)*100+AK14*10000+AF14</f>
        <v>90709</v>
      </c>
      <c r="AI14" s="47">
        <f>AF14-AG14</f>
        <v>7</v>
      </c>
      <c r="AJ14" s="47">
        <f>(AI14-AI19)/AI18</f>
        <v>0.91666666666666663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1102.9175476666667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>
        <v>3</v>
      </c>
      <c r="BC14" s="27">
        <v>5</v>
      </c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9 - 2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3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2</v>
      </c>
      <c r="AE15" s="47">
        <f>COUNTIF($S$7:$T$54,"=" &amp; AB15 &amp; "_lose")</f>
        <v>1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6</v>
      </c>
      <c r="AH15" s="47">
        <f>(AF15-AG15)*100+AK15*10000+AF15</f>
        <v>19602</v>
      </c>
      <c r="AI15" s="47">
        <f>AF15-AG15</f>
        <v>-4</v>
      </c>
      <c r="AJ15" s="47">
        <f>(AI15-AI19)/AI18</f>
        <v>0</v>
      </c>
      <c r="AK15" s="47">
        <f>AC15*3+AD15</f>
        <v>2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224.72300422222222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France</v>
      </c>
      <c r="BA15" s="85">
        <v>2</v>
      </c>
      <c r="BB15" s="87">
        <v>3</v>
      </c>
      <c r="BC15" s="30">
        <v>4</v>
      </c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3 - 4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4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1</v>
      </c>
      <c r="AE16" s="47">
        <f>COUNTIF($S$7:$T$54,"=" &amp; AB16 &amp; "_lose")</f>
        <v>2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4</v>
      </c>
      <c r="AH16" s="47">
        <f>(AF16-AG16)*100+AK16*10000+AF16</f>
        <v>9802</v>
      </c>
      <c r="AI16" s="47">
        <f>AF16-AG16</f>
        <v>-2</v>
      </c>
      <c r="AJ16" s="47">
        <f>(AI16-AI19)/AI18</f>
        <v>0.16666666666666666</v>
      </c>
      <c r="AK16" s="47">
        <f>AC16*3+AD16</f>
        <v>1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130.27859463777776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Iran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2 - 6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4</v>
      </c>
      <c r="AH17" s="47">
        <f>(AF17-AG17)*100+AK17*10000+AF17</f>
        <v>39903</v>
      </c>
      <c r="AI17" s="47">
        <f>AF17-AG17</f>
        <v>-1</v>
      </c>
      <c r="AJ17" s="47">
        <f>(AI17-AI19)/AI18</f>
        <v>0.25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473.19523550944444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United States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2 - 4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3</v>
      </c>
      <c r="AF18" s="47">
        <f t="shared" si="11"/>
        <v>8</v>
      </c>
      <c r="AG18" s="47">
        <f t="shared" si="11"/>
        <v>5</v>
      </c>
      <c r="AH18" s="47">
        <f>MAX(AH14:AH17)-AH19+1</f>
        <v>80908</v>
      </c>
      <c r="AI18" s="47">
        <f>MAX(AI14:AI17)-AI19+1</f>
        <v>12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1</v>
      </c>
      <c r="V19" s="47">
        <f t="shared" si="6"/>
        <v>1</v>
      </c>
      <c r="W19" s="47">
        <f t="shared" si="7"/>
        <v>1</v>
      </c>
      <c r="X19" s="47">
        <f t="shared" si="8"/>
        <v>0</v>
      </c>
      <c r="Y19" s="47">
        <f t="shared" si="9"/>
        <v>0</v>
      </c>
      <c r="AH19" s="47">
        <f>MIN(AH14:AH17)</f>
        <v>9802</v>
      </c>
      <c r="AI19" s="47">
        <f>MIN(AI14:AI17)</f>
        <v>-4</v>
      </c>
      <c r="AY19" s="125"/>
      <c r="AZ19" s="28" t="str">
        <f>AO39</f>
        <v>Belgium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11</v>
      </c>
      <c r="AG20" s="47">
        <f>SUMIF($E$7:$E$54,$AB20,$G$7:$G$54) + SUMIF($H$7:$H$54,$AB20,$F$7:$F$54)</f>
        <v>2</v>
      </c>
      <c r="AH20" s="47">
        <f>(AF20-AG20)*100+AK20*10000+AF20</f>
        <v>90911</v>
      </c>
      <c r="AI20" s="47">
        <f>AF20-AG20</f>
        <v>9</v>
      </c>
      <c r="AJ20" s="47">
        <f>(AI20-AI25)/AI24</f>
        <v>0.95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1004.1675491666666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11 - 2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10</v>
      </c>
      <c r="AH21" s="47">
        <f>(AF21-AG21)*100+AK21*10000+AF21</f>
        <v>-1000</v>
      </c>
      <c r="AI21" s="47">
        <f>AF21-AG21</f>
        <v>-10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2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6 - 4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6</v>
      </c>
      <c r="AG22" s="47">
        <f>SUMIF($E$7:$E$54,$AB22,$G$7:$G$54) + SUMIF($H$7:$H$54,$AB22,$F$7:$F$54)</f>
        <v>4</v>
      </c>
      <c r="AH22" s="47">
        <f>(AF22-AG22)*100+AK22*10000+AF22</f>
        <v>60206</v>
      </c>
      <c r="AI22" s="47">
        <f>AF22-AG22</f>
        <v>2</v>
      </c>
      <c r="AJ22" s="47">
        <f>(AI22-AI25)/AI24</f>
        <v>0.6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665.00082941000005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4 - 5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5</v>
      </c>
      <c r="AH23" s="47">
        <f>(AF23-AG23)*100+AK23*10000+AF23</f>
        <v>29904</v>
      </c>
      <c r="AI23" s="47">
        <f>AF23-AG23</f>
        <v>-1</v>
      </c>
      <c r="AJ23" s="47">
        <f>(AI23-AI25)/AI24</f>
        <v>0.45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348.3341053333333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2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3</v>
      </c>
      <c r="BW23" s="86"/>
      <c r="BX23" s="27"/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0 - 10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12</v>
      </c>
      <c r="AG24" s="47">
        <f t="shared" si="12"/>
        <v>9</v>
      </c>
      <c r="AH24" s="47">
        <f>MAX(AH20:AH23)-AH25+1</f>
        <v>91912</v>
      </c>
      <c r="AI24" s="47">
        <f>MAX(AI20:AI23)-AI25+1</f>
        <v>20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1</v>
      </c>
      <c r="BW24" s="87"/>
      <c r="BX24" s="30"/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2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-1000</v>
      </c>
      <c r="AI25" s="47">
        <f>MIN(AI20:AI23)</f>
        <v>-10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2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0</v>
      </c>
      <c r="AE26" s="47">
        <f>COUNTIF($S$7:$T$54,"=" &amp; AB26 &amp; "_lose")</f>
        <v>1</v>
      </c>
      <c r="AF26" s="47">
        <f>SUMIF($E$7:$E$54,$AB26,$F$7:$F$54) + SUMIF($H$7:$H$54,$AB26,$G$7:$G$54)</f>
        <v>5</v>
      </c>
      <c r="AG26" s="47">
        <f>SUMIF($E$7:$E$54,$AB26,$G$7:$G$54) + SUMIF($H$7:$H$54,$AB26,$F$7:$F$54)</f>
        <v>2</v>
      </c>
      <c r="AH26" s="47">
        <f>(AF26-AG26)*100+AK26*10000+AF26</f>
        <v>60305</v>
      </c>
      <c r="AI26" s="47">
        <f>AF26-AG26</f>
        <v>3</v>
      </c>
      <c r="AJ26" s="47">
        <f>(AI26-AI31)/AI30</f>
        <v>0.66666666666666663</v>
      </c>
      <c r="AK26" s="47">
        <f>AC26*3+AD26</f>
        <v>6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740.47708547619038</v>
      </c>
      <c r="AO26" s="48" t="str">
        <f>IF(SUM(AC26:AE29)=12,J27,INDEX(T,76,lang))</f>
        <v>Denmark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Denmark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7 - 1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6</v>
      </c>
      <c r="AH27" s="47">
        <f>(AF27-AG27)*100+AK27*10000+AF27</f>
        <v>9501</v>
      </c>
      <c r="AI27" s="47">
        <f>AF27-AG27</f>
        <v>-5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112.54042440468254</v>
      </c>
      <c r="AO27" s="48" t="str">
        <f>IF(SUM(AC26:AE29)=12,J28,INDEX(T,77,lang))</f>
        <v>France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France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5 - 2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1</v>
      </c>
      <c r="AB28" s="48" t="str">
        <f>VLOOKUP("Denmark",T,lang,FALSE)</f>
        <v>Denmark</v>
      </c>
      <c r="AC28" s="47">
        <f>COUNTIF($S$7:$T$54,"=" &amp; AB28 &amp; "_win")</f>
        <v>3</v>
      </c>
      <c r="AD28" s="47">
        <f>COUNTIF($S$7:$T$54,"=" &amp; AB28 &amp; "_draw")</f>
        <v>0</v>
      </c>
      <c r="AE28" s="47">
        <f>COUNTIF($S$7:$T$54,"=" &amp; AB28 &amp; "_lose")</f>
        <v>0</v>
      </c>
      <c r="AF28" s="47">
        <f>SUMIF($E$7:$E$54,$AB28,$F$7:$F$54) + SUMIF($H$7:$H$54,$AB28,$G$7:$G$54)</f>
        <v>7</v>
      </c>
      <c r="AG28" s="47">
        <f>SUMIF($E$7:$E$54,$AB28,$G$7:$G$54) + SUMIF($H$7:$H$54,$AB28,$F$7:$F$54)</f>
        <v>1</v>
      </c>
      <c r="AH28" s="47">
        <f>(AF28-AG28)*100+AK28*10000+AF28</f>
        <v>90607</v>
      </c>
      <c r="AI28" s="47">
        <f>AF28-AG28</f>
        <v>6</v>
      </c>
      <c r="AJ28" s="47">
        <f>(AI28-AI31)/AI30</f>
        <v>0.91666666666666663</v>
      </c>
      <c r="AK28" s="47">
        <f>AC28*3+AD28</f>
        <v>9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1101.6674934666667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3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2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1 - 5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France_lose</v>
      </c>
      <c r="T29" s="88" t="str">
        <f t="shared" si="4"/>
        <v>Denmark_win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-1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5</v>
      </c>
      <c r="AH29" s="47">
        <f>(AF29-AG29)*100+AK29*10000+AF29</f>
        <v>9601</v>
      </c>
      <c r="AI29" s="47">
        <f>AF29-AG29</f>
        <v>-4</v>
      </c>
      <c r="AJ29" s="47">
        <f>(AI29-AI31)/AI30</f>
        <v>8.3333333333333329E-2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120.87376577301588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Denmark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7</v>
      </c>
      <c r="AG30" s="47">
        <f t="shared" si="13"/>
        <v>6</v>
      </c>
      <c r="AH30" s="47">
        <f>MAX(AH26:AH29)-AH31+1</f>
        <v>81107</v>
      </c>
      <c r="AI30" s="47">
        <f>MAX(AI26:AI29)-AI31+1</f>
        <v>12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Denmark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9501</v>
      </c>
      <c r="AI31" s="47">
        <f>MIN(AI26:AI29)</f>
        <v>-5</v>
      </c>
      <c r="AY31" s="125"/>
      <c r="AZ31" s="28" t="str">
        <f>AO21</f>
        <v>Mexico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3</v>
      </c>
      <c r="AD32" s="47">
        <f>COUNTIF($S$7:$T$54,"=" &amp; AB32 &amp; "_draw")</f>
        <v>0</v>
      </c>
      <c r="AE32" s="47">
        <f>COUNTIF($S$7:$T$54,"=" &amp; AB32 &amp; "_lose")</f>
        <v>0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3</v>
      </c>
      <c r="AH32" s="47">
        <f>(AF32-AG32)*100+AK32*10000+AF32</f>
        <v>90407</v>
      </c>
      <c r="AI32" s="47">
        <f>AF32-AG32</f>
        <v>4</v>
      </c>
      <c r="AJ32" s="47">
        <f>(AI32-AI37)/AI36</f>
        <v>0.90909090909090906</v>
      </c>
      <c r="AK32" s="47">
        <f>AC32*3+AD32</f>
        <v>9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1000.9099454090908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7 - 3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7</v>
      </c>
      <c r="AH33" s="47">
        <f>(AF33-AG33)*100+AK33*10000+AF33</f>
        <v>-599</v>
      </c>
      <c r="AI33" s="47">
        <f>AF33-AG33</f>
        <v>-6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1.4293214585714287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3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7 - 3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Spain_win</v>
      </c>
      <c r="T34" s="88" t="str">
        <f t="shared" si="4"/>
        <v>Germany_lose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1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0</v>
      </c>
      <c r="AE34" s="47">
        <f>COUNTIF($S$7:$T$54,"=" &amp; AB34 &amp; "_lose")</f>
        <v>1</v>
      </c>
      <c r="AF34" s="47">
        <f>SUMIF($E$7:$E$54,$AB34,$F$7:$F$54) + SUMIF($H$7:$H$54,$AB34,$G$7:$G$54)</f>
        <v>7</v>
      </c>
      <c r="AG34" s="47">
        <f>SUMIF($E$7:$E$54,$AB34,$G$7:$G$54) + SUMIF($H$7:$H$54,$AB34,$F$7:$F$54)</f>
        <v>3</v>
      </c>
      <c r="AH34" s="47">
        <f>(AF34-AG34)*100+AK34*10000+AF34</f>
        <v>60407</v>
      </c>
      <c r="AI34" s="47">
        <f>AF34-AG34</f>
        <v>4</v>
      </c>
      <c r="AJ34" s="47">
        <f>(AI34-AI37)/AI36</f>
        <v>0.90909090909090906</v>
      </c>
      <c r="AK34" s="47">
        <f>AC34*3+AD34</f>
        <v>6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700.90991617409088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Croatia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3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3 - 5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5</v>
      </c>
      <c r="AH35" s="47">
        <f>(AF35-AG35)*100+AK35*10000+AF35</f>
        <v>29803</v>
      </c>
      <c r="AI35" s="47">
        <f>AF35-AG35</f>
        <v>-2</v>
      </c>
      <c r="AJ35" s="47">
        <f>(AI35-AI37)/AI36</f>
        <v>0.36363636363636365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340.65012736935063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0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1 - 7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7</v>
      </c>
      <c r="AG36" s="47">
        <f t="shared" si="14"/>
        <v>5</v>
      </c>
      <c r="AH36" s="47">
        <f>MAX(AH32:AH35)-AH37+1</f>
        <v>91007</v>
      </c>
      <c r="AI36" s="47">
        <f>MAX(AI32:AI35)-AI37+1</f>
        <v>11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Croatia</v>
      </c>
      <c r="BH36" s="84">
        <v>1</v>
      </c>
      <c r="BI36" s="86">
        <v>1</v>
      </c>
      <c r="BJ36" s="27">
        <v>3</v>
      </c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England</v>
      </c>
      <c r="BV36" s="85">
        <v>0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-599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>
        <v>1</v>
      </c>
      <c r="BJ37" s="30">
        <v>4</v>
      </c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2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4</v>
      </c>
      <c r="AH38" s="47">
        <f>(AF38-AG38)*100+AK38*10000+AF38</f>
        <v>70206</v>
      </c>
      <c r="AI38" s="47">
        <f>AF38-AG38</f>
        <v>2</v>
      </c>
      <c r="AJ38" s="47">
        <f>(AI38-AI43)/AI42</f>
        <v>0.7142857142857143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1083.4294849285714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3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3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5 - 2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5</v>
      </c>
      <c r="AH39" s="47">
        <f>(AF39-AG39)*100+AK39*10000+AF39</f>
        <v>9702</v>
      </c>
      <c r="AI39" s="47">
        <f>AF39-AG39</f>
        <v>-3</v>
      </c>
      <c r="AJ39" s="47">
        <f>(AI39-AI43)/AI42</f>
        <v>0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146.85788235714287</v>
      </c>
      <c r="AO39" s="48" t="str">
        <f>IF(SUM(AC38:AE41)=12,J40,INDEX(T,81,lang))</f>
        <v>Belgium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Belgium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6 - 4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4</v>
      </c>
      <c r="AH40" s="47">
        <f>(AF40-AG40)*100+AK40*10000+AF40</f>
        <v>9802</v>
      </c>
      <c r="AI40" s="47">
        <f>AF40-AG40</f>
        <v>-2</v>
      </c>
      <c r="AJ40" s="47">
        <f>(AI40-AI43)/AI42</f>
        <v>0.14285714285714285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161.14363308285715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3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2 - 4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2</v>
      </c>
      <c r="AH41" s="47">
        <f>(AF41-AG41)*100+AK41*10000+AF41</f>
        <v>70305</v>
      </c>
      <c r="AI41" s="47">
        <f>AF41-AG41</f>
        <v>3</v>
      </c>
      <c r="AJ41" s="47">
        <f>(AI41-AI43)/AI42</f>
        <v>0.8571428571428571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1095.7150962692858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1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2 - 5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3</v>
      </c>
      <c r="AD42" s="47">
        <f t="shared" si="15"/>
        <v>1</v>
      </c>
      <c r="AE42" s="47">
        <f t="shared" si="15"/>
        <v>3</v>
      </c>
      <c r="AF42" s="47">
        <f t="shared" si="15"/>
        <v>5</v>
      </c>
      <c r="AG42" s="47">
        <f t="shared" si="15"/>
        <v>4</v>
      </c>
      <c r="AH42" s="47">
        <f>MAX(AH38:AH41)-AH43+1</f>
        <v>60604</v>
      </c>
      <c r="AI42" s="47">
        <f>MAX(AI38:AI41)-AI43+1</f>
        <v>7</v>
      </c>
      <c r="AK42" s="47">
        <f t="shared" si="15"/>
        <v>7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9702</v>
      </c>
      <c r="AI43" s="47">
        <f>MIN(AI38:AI41)</f>
        <v>-3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2</v>
      </c>
      <c r="AH44" s="47">
        <f>(AF44-AG44)*100+AK44*10000+AF44</f>
        <v>90709</v>
      </c>
      <c r="AI44" s="47">
        <f>AF44-AG44</f>
        <v>7</v>
      </c>
      <c r="AJ44" s="47">
        <f>(AI44-AI49)/AI48</f>
        <v>0.92307692307692313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1103.5586086526923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8</v>
      </c>
      <c r="AG45" s="47">
        <f>SUMIF($E$7:$E$54,$AB45,$G$7:$G$54) + SUMIF($H$7:$H$54,$AB45,$F$7:$F$54)</f>
        <v>5</v>
      </c>
      <c r="AH45" s="47">
        <f>(AF45-AG45)*100+AK45*10000+AF45</f>
        <v>60308</v>
      </c>
      <c r="AI45" s="47">
        <f>AF45-AG45</f>
        <v>3</v>
      </c>
      <c r="AJ45" s="47">
        <f>(AI45-AI49)/AI48</f>
        <v>0.61538461538461542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738.20590197012814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3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8 - 5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1</v>
      </c>
      <c r="AE46" s="47">
        <f>COUNTIF($S$7:$T$54,"=" &amp; AB46 &amp; "_lose")</f>
        <v>2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7</v>
      </c>
      <c r="AH46" s="47">
        <f>(AF46-AG46)*100+AK46*10000+AF46</f>
        <v>9502</v>
      </c>
      <c r="AI46" s="47">
        <f>AF46-AG46</f>
        <v>-5</v>
      </c>
      <c r="AJ46" s="47">
        <f>(AI46-AI49)/AI48</f>
        <v>0</v>
      </c>
      <c r="AK46" s="47">
        <f>AC46*3+AD46</f>
        <v>1</v>
      </c>
      <c r="AL46" s="47">
        <f>AP46/AP48*1000+AQ46/AQ48*100+AT46/AT48*10+AR46/AR48</f>
        <v>50.5</v>
      </c>
      <c r="AM46" s="47">
        <f>VLOOKUP(AB46,db_fifarank,2,FALSE)/2000000</f>
        <v>8.1766E-4</v>
      </c>
      <c r="AN46" s="48">
        <f>1000*AK46/AK48+100*AJ46+10*AF46/AF48+1*AL46/AL48+AM46</f>
        <v>114.59251129538295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1</v>
      </c>
      <c r="AR46" s="47">
        <f>SUMPRODUCT(($E$7:$E$54=AB46)*($U$7:$U$54)*($F$7:$F$54))+SUMPRODUCT(($H$7:$H$54=AB46)*($U$7:$U$54)*($G$7:$G$54))</f>
        <v>1</v>
      </c>
      <c r="AS46" s="47">
        <f>SUMPRODUCT(($E$7:$E$54=AB46)*($U$7:$U$54)*($G$7:$G$54))+SUMPRODUCT(($H$7:$H$54=AB46)*($U$7:$U$54)*($F$7:$F$54))</f>
        <v>1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1</v>
      </c>
      <c r="N47" s="25">
        <f>VLOOKUP(3,AA44:AK47,5,FALSE)</f>
        <v>2</v>
      </c>
      <c r="O47" s="25" t="str">
        <f>VLOOKUP(3,AA44:AK47,6,FALSE) &amp; " - " &amp; VLOOKUP(3,AA44:AK47,7,FALSE)</f>
        <v>2 - 7</v>
      </c>
      <c r="P47" s="54">
        <f>L47*3+M47</f>
        <v>1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7</v>
      </c>
      <c r="AH47" s="47">
        <f>(AF47-AG47)*100+AK47*10000+AF47</f>
        <v>9502</v>
      </c>
      <c r="AI47" s="47">
        <f>AF47-AG47</f>
        <v>-5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50.5</v>
      </c>
      <c r="AM47" s="47">
        <f>VLOOKUP(AB47,db_fifarank,2,FALSE)/2000000</f>
        <v>7.4023999999999997E-4</v>
      </c>
      <c r="AN47" s="48">
        <f>1000*AK47/AK48+100*AJ47+10*AF47/AF48+1*AL47/AL48+AM47</f>
        <v>114.59243387538295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1</v>
      </c>
      <c r="AR47" s="47">
        <f>SUMPRODUCT(($E$7:$E$54=AB47)*($U$7:$U$54)*($F$7:$F$54))+SUMPRODUCT(($H$7:$H$54=AB47)*($U$7:$U$54)*($G$7:$G$54))</f>
        <v>1</v>
      </c>
      <c r="AS47" s="47">
        <f>SUMPRODUCT(($E$7:$E$54=AB47)*($U$7:$U$54)*($G$7:$G$54))+SUMPRODUCT(($H$7:$H$54=AB47)*($U$7:$U$54)*($F$7:$F$54))</f>
        <v>1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2 - 7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8</v>
      </c>
      <c r="AG48" s="47">
        <f t="shared" si="16"/>
        <v>6</v>
      </c>
      <c r="AH48" s="47">
        <f>MAX(AH44:AH47)-AH49+1</f>
        <v>81208</v>
      </c>
      <c r="AI48" s="47">
        <f>MAX(AI44:AI47)-AI49+1</f>
        <v>13</v>
      </c>
      <c r="AK48" s="47">
        <f t="shared" si="16"/>
        <v>9</v>
      </c>
      <c r="AL48" s="47">
        <f t="shared" si="16"/>
        <v>51.5</v>
      </c>
      <c r="AP48" s="47">
        <f>MAX(AP44:AP47)-MIN(AP44:AP47)+1</f>
        <v>1</v>
      </c>
      <c r="AQ48" s="47">
        <f>MAX(AQ44:AQ47)-MIN(AQ44:AQ47)+1</f>
        <v>2</v>
      </c>
      <c r="AR48" s="47">
        <f>MAX(AR44:AR47)-MIN(AR44:AR47)+1</f>
        <v>2</v>
      </c>
      <c r="AS48" s="47">
        <f>MAX(AS44:AS47)-MIN(AS44:AS47)+1</f>
        <v>2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9502</v>
      </c>
      <c r="AI49" s="47">
        <f>MIN(AI44:AI47)</f>
        <v>-5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4</v>
      </c>
      <c r="AH50" s="47">
        <f>(AF50-AG50)*100+AK50*10000+AF50</f>
        <v>70307</v>
      </c>
      <c r="AI50" s="47">
        <f>AF50-AG50</f>
        <v>3</v>
      </c>
      <c r="AJ50" s="47">
        <f>(AI50-AI55)/AI54</f>
        <v>0.88888888888888884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975.55639294555556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7 - 4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7</v>
      </c>
      <c r="AH51" s="47">
        <f>(AF51-AG51)*100+AK51*10000+AF51</f>
        <v>-498</v>
      </c>
      <c r="AI51" s="47">
        <f>AF51-AG51</f>
        <v>-5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3.3340270133333334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1</v>
      </c>
      <c r="M52" s="25">
        <f>VLOOKUP(2,AA50:AK53,4,FALSE)</f>
        <v>2</v>
      </c>
      <c r="N52" s="25">
        <f>VLOOKUP(2,AA50:AK53,5,FALSE)</f>
        <v>0</v>
      </c>
      <c r="O52" s="25" t="str">
        <f>VLOOKUP(2,AA50:AK53,6,FALSE) &amp; " - " &amp; VLOOKUP(2,AA50:AK53,7,FALSE)</f>
        <v>5 - 3</v>
      </c>
      <c r="P52" s="54">
        <f>L52*3+M52</f>
        <v>5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2</v>
      </c>
      <c r="AE52" s="47">
        <f>COUNTIF($S$7:$T$54,"=" &amp; AB52 &amp; "_lose")</f>
        <v>0</v>
      </c>
      <c r="AF52" s="47">
        <f>SUMIF($E$7:$E$54,$AB52,$F$7:$F$54) + SUMIF($H$7:$H$54,$AB52,$G$7:$G$54)</f>
        <v>5</v>
      </c>
      <c r="AG52" s="47">
        <f>SUMIF($E$7:$E$54,$AB52,$G$7:$G$54) + SUMIF($H$7:$H$54,$AB52,$F$7:$F$54)</f>
        <v>3</v>
      </c>
      <c r="AH52" s="47">
        <f>(AF52-AG52)*100+AK52*10000+AF52</f>
        <v>50205</v>
      </c>
      <c r="AI52" s="47">
        <f>AF52-AG52</f>
        <v>2</v>
      </c>
      <c r="AJ52" s="47">
        <f>(AI52-AI55)/AI54</f>
        <v>0.77777777777777779</v>
      </c>
      <c r="AK52" s="47">
        <f>AC52*3+AD52</f>
        <v>5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711.11192897611124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3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1</v>
      </c>
      <c r="N53" s="25">
        <f>VLOOKUP(3,AA50:AK53,5,FALSE)</f>
        <v>1</v>
      </c>
      <c r="O53" s="25" t="str">
        <f>VLOOKUP(3,AA50:AK53,6,FALSE) &amp; " - " &amp; VLOOKUP(3,AA50:AK53,7,FALSE)</f>
        <v>4 - 4</v>
      </c>
      <c r="P53" s="54">
        <f>L53*3+M53</f>
        <v>4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1</v>
      </c>
      <c r="AE53" s="47">
        <f>COUNTIF($S$7:$T$54,"=" &amp; AB53 &amp; "_lose")</f>
        <v>1</v>
      </c>
      <c r="AF53" s="47">
        <f>SUMIF($E$7:$E$54,$AB53,$F$7:$F$54) + SUMIF($H$7:$H$54,$AB53,$G$7:$G$54)</f>
        <v>4</v>
      </c>
      <c r="AG53" s="47">
        <f>SUMIF($E$7:$E$54,$AB53,$G$7:$G$54) + SUMIF($H$7:$H$54,$AB53,$F$7:$F$54)</f>
        <v>4</v>
      </c>
      <c r="AH53" s="47">
        <f>(AF53-AG53)*100+AK53*10000+AF53</f>
        <v>40004</v>
      </c>
      <c r="AI53" s="47">
        <f>AF53-AG53</f>
        <v>0</v>
      </c>
      <c r="AJ53" s="47">
        <f>(AI53-AI55)/AI54</f>
        <v>0.55555555555555558</v>
      </c>
      <c r="AK53" s="47">
        <f>AC53*3+AD53</f>
        <v>4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562.22298199222212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2 - 7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3</v>
      </c>
      <c r="AE54" s="47">
        <f t="shared" si="17"/>
        <v>4</v>
      </c>
      <c r="AF54" s="47">
        <f t="shared" si="17"/>
        <v>6</v>
      </c>
      <c r="AG54" s="47">
        <f t="shared" si="17"/>
        <v>5</v>
      </c>
      <c r="AH54" s="47">
        <f>MAX(AH50:AH53)-AH55+1</f>
        <v>70806</v>
      </c>
      <c r="AI54" s="47">
        <f>MAX(AI50:AI53)-AI55+1</f>
        <v>9</v>
      </c>
      <c r="AK54" s="47">
        <f t="shared" si="17"/>
        <v>8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-498</v>
      </c>
      <c r="AI55" s="47">
        <f>MIN(AI50:AI53)</f>
        <v>-5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Denmark</v>
      </c>
      <c r="T61" s="88" t="str">
        <f>IF(OR(S61="",S61="draw"),INDEX(T,89,lang),S61)</f>
        <v>Denmark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Croatia</v>
      </c>
      <c r="T64" s="88" t="str">
        <f>IF(OR(S64="",S64="draw"),INDEX(T,92,lang),S64)</f>
        <v>Croatia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England</v>
      </c>
      <c r="Z77" s="88" t="str">
        <f>IF(OR(U77="",U77="draw"),INDEX(T,101,lang),U77)</f>
        <v>England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1" sqref="B11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2532</v>
      </c>
    </row>
    <row r="3" spans="1:2" x14ac:dyDescent="0.3">
      <c r="A3" s="100" t="s">
        <v>2519</v>
      </c>
      <c r="B3" s="103" t="s">
        <v>2531</v>
      </c>
    </row>
    <row r="4" spans="1:2" x14ac:dyDescent="0.3">
      <c r="A4" s="103" t="s">
        <v>2520</v>
      </c>
      <c r="B4" s="100" t="s">
        <v>2533</v>
      </c>
    </row>
    <row r="5" spans="1:2" x14ac:dyDescent="0.3">
      <c r="A5" s="100" t="s">
        <v>2529</v>
      </c>
      <c r="B5" s="103" t="s">
        <v>2530</v>
      </c>
    </row>
    <row r="6" spans="1:2" x14ac:dyDescent="0.3">
      <c r="A6" s="103" t="s">
        <v>2521</v>
      </c>
      <c r="B6" s="100" t="s">
        <v>2534</v>
      </c>
    </row>
    <row r="7" spans="1:2" x14ac:dyDescent="0.3">
      <c r="A7" s="100" t="s">
        <v>2522</v>
      </c>
      <c r="B7" s="103" t="s">
        <v>2535</v>
      </c>
    </row>
    <row r="8" spans="1:2" x14ac:dyDescent="0.3">
      <c r="A8" s="103" t="s">
        <v>2523</v>
      </c>
      <c r="B8" s="100" t="s">
        <v>2536</v>
      </c>
    </row>
    <row r="9" spans="1:2" x14ac:dyDescent="0.3">
      <c r="A9" s="100" t="s">
        <v>2524</v>
      </c>
      <c r="B9" s="103" t="s">
        <v>2537</v>
      </c>
    </row>
    <row r="10" spans="1:2" x14ac:dyDescent="0.3">
      <c r="A10" s="103" t="s">
        <v>2525</v>
      </c>
      <c r="B10" s="100" t="s">
        <v>2538</v>
      </c>
    </row>
    <row r="11" spans="1:2" x14ac:dyDescent="0.3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Annika Aksjonov</cp:lastModifiedBy>
  <cp:lastPrinted>2018-01-03T15:36:04Z</cp:lastPrinted>
  <dcterms:created xsi:type="dcterms:W3CDTF">2017-12-27T19:32:51Z</dcterms:created>
  <dcterms:modified xsi:type="dcterms:W3CDTF">2022-11-20T11:58:10Z</dcterms:modified>
</cp:coreProperties>
</file>