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aspe\Downloads\"/>
    </mc:Choice>
  </mc:AlternateContent>
  <xr:revisionPtr revIDLastSave="0" documentId="13_ncr:1_{9E9FB6B2-30C6-4681-9CE9-1D7090069A54}" xr6:coauthVersionLast="47" xr6:coauthVersionMax="47" xr10:uidLastSave="{00000000-0000-0000-0000-000000000000}"/>
  <bookViews>
    <workbookView xWindow="-108" yWindow="-108" windowWidth="23256" windowHeight="12720" firstSheet="1" activeTab="3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J26" i="3" s="1"/>
  <c r="P50" i="3" l="1"/>
  <c r="M8" i="3"/>
  <c r="N32" i="3"/>
  <c r="O44" i="3"/>
  <c r="BF6" i="3"/>
  <c r="AY6" i="3"/>
  <c r="L8" i="3"/>
  <c r="L26" i="3"/>
  <c r="L32" i="3"/>
  <c r="O38" i="3"/>
  <c r="N44" i="3"/>
  <c r="N50" i="3"/>
  <c r="M50" i="3"/>
  <c r="A5" i="3"/>
  <c r="O20" i="3"/>
  <c r="P44" i="3"/>
  <c r="B44" i="2"/>
  <c r="B36" i="2"/>
  <c r="AB51" i="3"/>
  <c r="B42" i="2"/>
  <c r="B34" i="2"/>
  <c r="B26" i="2"/>
  <c r="B18" i="2"/>
  <c r="AB40" i="3"/>
  <c r="AB35" i="3"/>
  <c r="AB26" i="3"/>
  <c r="AB21" i="3"/>
  <c r="AB16" i="3"/>
  <c r="AB11" i="3"/>
  <c r="B41" i="2"/>
  <c r="B33" i="2"/>
  <c r="B25" i="2"/>
  <c r="AB50" i="3"/>
  <c r="AB45" i="3"/>
  <c r="B48" i="2"/>
  <c r="B40" i="2"/>
  <c r="B32" i="2"/>
  <c r="B24" i="2"/>
  <c r="AB44" i="3"/>
  <c r="AB29" i="3"/>
  <c r="AB20" i="3"/>
  <c r="AB10" i="3"/>
  <c r="B31" i="2"/>
  <c r="AB8" i="3"/>
  <c r="B19" i="2"/>
  <c r="AB53" i="3"/>
  <c r="AB39" i="3"/>
  <c r="AB34" i="3"/>
  <c r="AB15" i="3"/>
  <c r="B47" i="2"/>
  <c r="B39" i="2"/>
  <c r="B23" i="2"/>
  <c r="AB17" i="3"/>
  <c r="B27" i="2"/>
  <c r="B46" i="2"/>
  <c r="B38" i="2"/>
  <c r="B30" i="2"/>
  <c r="B22" i="2"/>
  <c r="AB28" i="3"/>
  <c r="AB14" i="3"/>
  <c r="B45" i="2"/>
  <c r="B29" i="2"/>
  <c r="B21" i="2"/>
  <c r="B20" i="2"/>
  <c r="AB46" i="3"/>
  <c r="AB32" i="3"/>
  <c r="B43" i="2"/>
  <c r="B17" i="2"/>
  <c r="AB52" i="3"/>
  <c r="AB47" i="3"/>
  <c r="AB38" i="3"/>
  <c r="AB33" i="3"/>
  <c r="AB23" i="3"/>
  <c r="AB9" i="3"/>
  <c r="B37" i="2"/>
  <c r="B28" i="2"/>
  <c r="AB41" i="3"/>
  <c r="AB27" i="3"/>
  <c r="AB22" i="3"/>
  <c r="B35" i="2"/>
  <c r="R37" i="3"/>
  <c r="R17" i="3"/>
  <c r="R36" i="3"/>
  <c r="R16" i="3"/>
  <c r="R33" i="3"/>
  <c r="R13" i="3"/>
  <c r="R32" i="3"/>
  <c r="R12" i="3"/>
  <c r="R29" i="3"/>
  <c r="R28" i="3"/>
  <c r="R21" i="3"/>
  <c r="R20" i="3"/>
  <c r="N8" i="3"/>
  <c r="BL41" i="3"/>
  <c r="O50" i="3"/>
  <c r="N38" i="3"/>
  <c r="L44" i="3"/>
  <c r="K50" i="3"/>
  <c r="BT6" i="3"/>
  <c r="BT31" i="3"/>
  <c r="L38" i="3"/>
  <c r="N20" i="3"/>
  <c r="K20" i="3"/>
  <c r="O26" i="3"/>
  <c r="P32" i="3"/>
  <c r="O32" i="3"/>
  <c r="L50" i="3"/>
  <c r="M32" i="3"/>
  <c r="O8" i="3"/>
  <c r="J20" i="3"/>
  <c r="N26" i="3"/>
  <c r="M26" i="3"/>
  <c r="K44" i="3"/>
  <c r="K26" i="3"/>
  <c r="A1" i="3"/>
  <c r="N14" i="3"/>
  <c r="J32" i="3"/>
  <c r="M44" i="3"/>
  <c r="K8" i="3"/>
  <c r="P26" i="3"/>
  <c r="M38" i="3"/>
  <c r="J44" i="3"/>
  <c r="BM6" i="3"/>
  <c r="P14" i="3"/>
  <c r="O14" i="3"/>
  <c r="P20" i="3"/>
  <c r="K38" i="3"/>
  <c r="L14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50" i="3" l="1"/>
  <c r="H31" i="3"/>
  <c r="H17" i="3"/>
  <c r="E16" i="3"/>
  <c r="AM34" i="3"/>
  <c r="H34" i="3"/>
  <c r="X34" i="3" s="1"/>
  <c r="H50" i="3"/>
  <c r="H12" i="3"/>
  <c r="E44" i="3"/>
  <c r="E27" i="3"/>
  <c r="AM29" i="3"/>
  <c r="H48" i="3"/>
  <c r="AM40" i="3"/>
  <c r="H32" i="3"/>
  <c r="E15" i="3"/>
  <c r="H46" i="3"/>
  <c r="E13" i="3"/>
  <c r="AM22" i="3"/>
  <c r="H30" i="3"/>
  <c r="E18" i="3"/>
  <c r="H47" i="3"/>
  <c r="AM38" i="3"/>
  <c r="E32" i="3"/>
  <c r="H18" i="3"/>
  <c r="H33" i="3"/>
  <c r="AM39" i="3"/>
  <c r="E48" i="3"/>
  <c r="H54" i="3"/>
  <c r="E22" i="3"/>
  <c r="AM44" i="3"/>
  <c r="E37" i="3"/>
  <c r="H14" i="3"/>
  <c r="H27" i="3"/>
  <c r="E43" i="3"/>
  <c r="AM27" i="3"/>
  <c r="E54" i="3"/>
  <c r="AM47" i="3"/>
  <c r="H19" i="3"/>
  <c r="E35" i="3"/>
  <c r="E36" i="3"/>
  <c r="AM53" i="3"/>
  <c r="H20" i="3"/>
  <c r="E52" i="3"/>
  <c r="E33" i="3"/>
  <c r="E47" i="3"/>
  <c r="AM41" i="3"/>
  <c r="H15" i="3"/>
  <c r="H38" i="3"/>
  <c r="H51" i="3"/>
  <c r="E20" i="3"/>
  <c r="AM52" i="3"/>
  <c r="H10" i="3"/>
  <c r="E41" i="3"/>
  <c r="E23" i="3"/>
  <c r="X23" i="3" s="1"/>
  <c r="AM17" i="3"/>
  <c r="AM11" i="3"/>
  <c r="E25" i="3"/>
  <c r="E40" i="3"/>
  <c r="H8" i="3"/>
  <c r="AM33" i="3"/>
  <c r="E26" i="3"/>
  <c r="AM14" i="3"/>
  <c r="E9" i="3"/>
  <c r="H41" i="3"/>
  <c r="E8" i="3"/>
  <c r="AM8" i="3"/>
  <c r="H24" i="3"/>
  <c r="H39" i="3"/>
  <c r="AM16" i="3"/>
  <c r="H42" i="3"/>
  <c r="E10" i="3"/>
  <c r="H26" i="3"/>
  <c r="H29" i="3"/>
  <c r="AM28" i="3"/>
  <c r="E12" i="3"/>
  <c r="H43" i="3"/>
  <c r="E46" i="3"/>
  <c r="H11" i="3"/>
  <c r="AM21" i="3"/>
  <c r="H28" i="3"/>
  <c r="H21" i="3"/>
  <c r="E51" i="3"/>
  <c r="X51" i="3" s="1"/>
  <c r="AM51" i="3"/>
  <c r="H36" i="3"/>
  <c r="H40" i="3"/>
  <c r="AM9" i="3"/>
  <c r="E24" i="3"/>
  <c r="E7" i="3"/>
  <c r="E34" i="3"/>
  <c r="E17" i="3"/>
  <c r="H49" i="3"/>
  <c r="AM32" i="3"/>
  <c r="H25" i="3"/>
  <c r="H7" i="3"/>
  <c r="AM10" i="3"/>
  <c r="E39" i="3"/>
  <c r="H22" i="3"/>
  <c r="H35" i="3"/>
  <c r="E53" i="3"/>
  <c r="AM45" i="3"/>
  <c r="E14" i="3"/>
  <c r="E29" i="3"/>
  <c r="AM26" i="3"/>
  <c r="H44" i="3"/>
  <c r="E45" i="3"/>
  <c r="AM23" i="3"/>
  <c r="E28" i="3"/>
  <c r="H13" i="3"/>
  <c r="H53" i="3"/>
  <c r="E19" i="3"/>
  <c r="X19" i="3" s="1"/>
  <c r="H37" i="3"/>
  <c r="AM46" i="3"/>
  <c r="E42" i="3"/>
  <c r="H9" i="3"/>
  <c r="AM15" i="3"/>
  <c r="H23" i="3"/>
  <c r="E30" i="3"/>
  <c r="AM20" i="3"/>
  <c r="H45" i="3"/>
  <c r="E11" i="3"/>
  <c r="E38" i="3"/>
  <c r="AM50" i="3"/>
  <c r="E21" i="3"/>
  <c r="X21" i="3" s="1"/>
  <c r="H52" i="3"/>
  <c r="E49" i="3"/>
  <c r="H16" i="3"/>
  <c r="E31" i="3"/>
  <c r="AM35" i="3"/>
  <c r="X25" i="3"/>
  <c r="X20" i="3"/>
  <c r="X31" i="3"/>
  <c r="X40" i="3"/>
  <c r="X33" i="3"/>
  <c r="X35" i="3"/>
  <c r="X48" i="3"/>
  <c r="X52" i="3"/>
  <c r="X10" i="3"/>
  <c r="X42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39" i="3" l="1"/>
  <c r="AI39" i="3" s="1"/>
  <c r="AF28" i="3"/>
  <c r="AI28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42" i="3" l="1"/>
  <c r="AF30" i="3"/>
  <c r="AC23" i="3"/>
  <c r="AC50" i="3"/>
  <c r="AD33" i="3"/>
  <c r="AD46" i="3"/>
  <c r="AE34" i="3"/>
  <c r="AE44" i="3"/>
  <c r="AD8" i="3"/>
  <c r="AE8" i="3"/>
  <c r="AC38" i="3"/>
  <c r="AI43" i="3"/>
  <c r="AI42" i="3" s="1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K23" i="3" s="1"/>
  <c r="AH23" i="3" s="1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34" i="3" l="1"/>
  <c r="AH34" i="3" s="1"/>
  <c r="AK22" i="3"/>
  <c r="AH22" i="3" s="1"/>
  <c r="AK39" i="3"/>
  <c r="AH39" i="3" s="1"/>
  <c r="AD12" i="3"/>
  <c r="AK46" i="3"/>
  <c r="AH46" i="3" s="1"/>
  <c r="AK9" i="3"/>
  <c r="AH9" i="3" s="1"/>
  <c r="AK11" i="3"/>
  <c r="AH11" i="3" s="1"/>
  <c r="U40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39" i="3" l="1"/>
  <c r="W39" i="3" s="1"/>
  <c r="W40" i="3"/>
  <c r="V40" i="3"/>
  <c r="U24" i="3"/>
  <c r="W24" i="3" s="1"/>
  <c r="AH13" i="3"/>
  <c r="AH12" i="3" s="1"/>
  <c r="U8" i="3"/>
  <c r="U7" i="3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AK42" i="3"/>
  <c r="AH38" i="3"/>
  <c r="U49" i="3" s="1"/>
  <c r="AK48" i="3"/>
  <c r="AH44" i="3"/>
  <c r="AK36" i="3"/>
  <c r="AH32" i="3"/>
  <c r="U34" i="3" s="1"/>
  <c r="AH51" i="3"/>
  <c r="AK18" i="3"/>
  <c r="V39" i="3" l="1"/>
  <c r="U20" i="3"/>
  <c r="V24" i="3"/>
  <c r="W8" i="3"/>
  <c r="V8" i="3"/>
  <c r="V7" i="3"/>
  <c r="W7" i="3"/>
  <c r="U54" i="3"/>
  <c r="W54" i="3" s="1"/>
  <c r="U52" i="3"/>
  <c r="V52" i="3" s="1"/>
  <c r="U12" i="3"/>
  <c r="U18" i="3"/>
  <c r="W18" i="3" s="1"/>
  <c r="U32" i="3"/>
  <c r="V32" i="3" s="1"/>
  <c r="U48" i="3"/>
  <c r="U23" i="3"/>
  <c r="W49" i="3"/>
  <c r="V49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W32" i="3" l="1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O15" i="3" s="1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J39" i="3"/>
  <c r="N33" i="3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AO44" i="3" s="1"/>
  <c r="AZ22" i="3" s="1"/>
  <c r="S63" i="3" s="1"/>
  <c r="T63" i="3" s="1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AO38" i="3"/>
  <c r="AZ34" i="3" s="1"/>
  <c r="S64" i="3" s="1"/>
  <c r="T64" i="3" s="1"/>
  <c r="M53" i="3"/>
  <c r="L53" i="3"/>
  <c r="O51" i="3"/>
  <c r="J9" i="3"/>
  <c r="L9" i="3"/>
  <c r="O52" i="3"/>
  <c r="N53" i="3"/>
  <c r="J51" i="3"/>
  <c r="P21" i="3" l="1"/>
  <c r="K15" i="3"/>
  <c r="P16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S65" i="3" l="1"/>
  <c r="T65" i="3" s="1"/>
  <c r="BG37" i="3" s="1"/>
  <c r="S72" i="3" s="1"/>
  <c r="T72" i="3" s="1"/>
  <c r="BN33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U77" i="3" l="1"/>
  <c r="Z77" i="3" s="1"/>
  <c r="BU36" i="3" s="1"/>
  <c r="T85" i="3"/>
  <c r="BR41" i="3"/>
</calcChain>
</file>

<file path=xl/sharedStrings.xml><?xml version="1.0" encoding="utf-8"?>
<sst xmlns="http://schemas.openxmlformats.org/spreadsheetml/2006/main" count="4374" uniqueCount="2538">
  <si>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</si>
  <si>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</si>
  <si>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</si>
  <si>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</si>
  <si>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</si>
  <si>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</si>
  <si>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</si>
  <si>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</si>
  <si>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</si>
  <si>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</si>
  <si>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</si>
  <si>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</si>
  <si>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</si>
  <si>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</si>
  <si>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</si>
  <si>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</si>
  <si>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</si>
  <si>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</si>
  <si>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</si>
  <si>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</si>
  <si>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</si>
  <si>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</si>
  <si>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</si>
  <si>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</si>
  <si>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</si>
  <si>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</si>
  <si>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</si>
  <si>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</si>
  <si>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</si>
  <si>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</si>
  <si>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</si>
  <si>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</si>
  <si>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</si>
  <si>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</si>
  <si>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</si>
  <si>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</si>
  <si>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</si>
  <si>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</si>
  <si>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</si>
  <si>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</si>
  <si>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</si>
  <si>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</si>
  <si>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</si>
  <si>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</si>
  <si>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</si>
  <si>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</si>
  <si>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</si>
  <si>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</si>
  <si>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</si>
  <si>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</si>
  <si>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</si>
  <si>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</si>
  <si>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</si>
  <si>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</si>
  <si>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</si>
  <si>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</si>
  <si>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</si>
  <si>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</si>
  <si>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</si>
  <si>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</si>
  <si>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</si>
  <si>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</si>
  <si>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</si>
  <si>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</si>
  <si>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</si>
  <si>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</si>
  <si>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</si>
  <si>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</si>
  <si>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</si>
  <si>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</si>
  <si>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</si>
  <si>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</si>
  <si>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</si>
  <si>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</si>
  <si>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</si>
  <si>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</si>
  <si>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</si>
  <si>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</si>
  <si>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</si>
  <si>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</si>
  <si>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</si>
  <si>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</si>
  <si>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</si>
  <si>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</si>
  <si>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</si>
  <si>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</si>
  <si>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</si>
  <si>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</si>
  <si>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</si>
  <si>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</si>
  <si>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</si>
  <si>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</si>
  <si>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</si>
  <si>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</si>
  <si>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</si>
  <si>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</si>
  <si>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</si>
  <si>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</si>
  <si>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</si>
  <si>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</si>
  <si>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</si>
  <si>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</si>
  <si>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</si>
  <si>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</si>
  <si>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</si>
  <si>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</si>
  <si>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</si>
  <si>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</si>
  <si>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</si>
  <si>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</si>
  <si>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</si>
  <si>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</si>
  <si>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</si>
  <si>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</si>
  <si>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</si>
  <si>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</si>
  <si>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</si>
  <si>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</si>
  <si>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</si>
  <si>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</si>
  <si>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</si>
  <si>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</si>
  <si>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</si>
  <si>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</si>
  <si>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</si>
  <si>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</si>
  <si>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</si>
  <si>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</si>
  <si>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</si>
  <si>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</si>
  <si>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</si>
  <si>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</si>
  <si>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</si>
  <si>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</si>
  <si>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</si>
  <si>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</si>
  <si>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</si>
  <si>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</si>
  <si>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</si>
  <si>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</si>
  <si>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</si>
  <si>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</si>
  <si>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</si>
  <si>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</si>
  <si>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</si>
  <si>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</si>
  <si>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</si>
  <si>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</si>
  <si>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</si>
  <si>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</si>
  <si>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</si>
  <si>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</si>
  <si>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</si>
  <si>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</si>
  <si>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</si>
  <si>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</si>
  <si>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</si>
  <si>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</si>
  <si>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</si>
  <si>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</si>
  <si>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</si>
  <si>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</si>
  <si>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</si>
  <si>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</si>
  <si>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</si>
  <si>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</si>
  <si>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</si>
  <si>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</si>
  <si>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</si>
  <si>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</si>
  <si>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</si>
  <si>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</si>
  <si>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</si>
  <si>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</si>
  <si>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</si>
  <si>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</si>
  <si>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</si>
  <si>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</si>
  <si>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</si>
  <si>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</si>
  <si>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</si>
  <si>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</si>
  <si>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</si>
  <si>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</si>
  <si>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</si>
  <si>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</si>
  <si>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</si>
  <si>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</si>
  <si>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</si>
  <si>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</si>
  <si>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</si>
  <si>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</si>
  <si>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</si>
  <si>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</si>
  <si>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</si>
  <si>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</si>
  <si>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</si>
  <si>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</si>
  <si>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</si>
  <si>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</si>
  <si>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</si>
  <si>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</si>
  <si>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</si>
  <si>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</si>
  <si>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</si>
  <si>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</si>
  <si>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</si>
  <si>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</si>
  <si>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</si>
  <si>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</si>
  <si>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</si>
  <si>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</si>
  <si>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</si>
  <si>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</si>
  <si>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</si>
  <si>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</si>
  <si>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</si>
  <si>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</si>
  <si>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</si>
  <si>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</si>
  <si>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</si>
  <si>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</si>
  <si>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</si>
  <si>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</si>
  <si>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</si>
  <si>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</si>
  <si>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</si>
  <si>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</si>
  <si>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</si>
  <si>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</si>
  <si>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</si>
  <si>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</si>
  <si>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</si>
  <si>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</si>
  <si>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</si>
  <si>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</si>
  <si>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</si>
  <si>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</si>
  <si>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</si>
  <si>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</si>
  <si>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</si>
  <si>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</si>
  <si>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</si>
  <si>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</si>
  <si>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</si>
  <si>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</si>
  <si>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</si>
  <si>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</si>
  <si>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</si>
  <si>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</si>
  <si>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</si>
  <si>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</si>
  <si>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</si>
  <si>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</si>
  <si>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</si>
  <si>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</si>
  <si>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</si>
  <si>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</si>
  <si>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</si>
  <si>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</si>
  <si>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</si>
  <si>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</si>
  <si>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</si>
  <si>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</si>
  <si>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</si>
  <si>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</si>
  <si>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</si>
  <si>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</si>
  <si>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</si>
  <si>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</si>
  <si>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</si>
  <si>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</si>
  <si>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</si>
  <si>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</si>
  <si>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</si>
  <si>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</si>
  <si>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</si>
  <si>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</si>
  <si>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</si>
  <si>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</si>
  <si>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</si>
  <si>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</si>
  <si>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</si>
  <si>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</si>
  <si>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</si>
  <si>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</si>
  <si>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</si>
  <si>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</si>
  <si>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</si>
  <si>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</si>
  <si>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</si>
  <si>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</si>
  <si>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</si>
  <si>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</si>
  <si>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</si>
  <si>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</si>
  <si>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</si>
  <si>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</si>
  <si>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</si>
  <si>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</si>
  <si>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</si>
  <si>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</si>
  <si>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</si>
  <si>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</si>
  <si>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</si>
  <si>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</si>
  <si>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</si>
  <si>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</si>
  <si>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</si>
  <si>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</si>
  <si>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</si>
  <si>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</si>
  <si>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</si>
  <si>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</si>
  <si>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</si>
  <si>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</si>
  <si>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</si>
  <si>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</si>
  <si>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</si>
  <si>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</si>
  <si>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</si>
  <si>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</si>
  <si>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</si>
  <si>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</si>
  <si>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</si>
  <si>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</si>
  <si>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</si>
  <si>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</si>
  <si>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</si>
  <si>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</si>
  <si>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</si>
  <si>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</si>
  <si>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</si>
  <si>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</si>
  <si>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</si>
  <si>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</si>
  <si>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</si>
  <si>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</si>
  <si>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</si>
  <si>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</si>
  <si>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</si>
  <si>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</si>
  <si>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</si>
  <si>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</si>
  <si>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</si>
  <si>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</si>
  <si>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</si>
  <si>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</si>
  <si>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</si>
  <si>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</si>
  <si>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</si>
  <si>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</si>
  <si>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</si>
  <si>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</si>
  <si>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</si>
  <si>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</si>
  <si>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</si>
  <si>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</si>
  <si>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</si>
  <si>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</si>
  <si>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</si>
  <si>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</si>
  <si>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</si>
  <si>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</si>
  <si>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</si>
  <si>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</si>
  <si>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</si>
  <si>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</si>
  <si>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</si>
  <si>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</si>
  <si>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</si>
  <si>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</si>
  <si>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</si>
  <si>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</si>
  <si>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</si>
  <si>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</si>
  <si>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</si>
  <si>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</si>
  <si>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</si>
  <si>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</si>
  <si>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</si>
  <si>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</si>
  <si>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</si>
  <si>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</si>
  <si>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</si>
  <si>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</si>
  <si>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</si>
  <si>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</si>
  <si>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</si>
  <si>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</si>
  <si>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</si>
  <si>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</si>
  <si>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</si>
  <si>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</si>
  <si>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</si>
  <si>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</si>
  <si>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</si>
  <si>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</si>
  <si>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</si>
  <si>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</si>
  <si>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</si>
  <si>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</si>
  <si>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</si>
  <si>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</si>
  <si>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</si>
  <si>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</si>
  <si>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</si>
  <si>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</si>
  <si>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</si>
  <si>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</si>
  <si>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</si>
  <si>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</si>
  <si>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</si>
  <si>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</si>
  <si>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</si>
  <si>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</si>
  <si>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</si>
  <si>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</si>
  <si>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</si>
  <si>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</si>
  <si>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</si>
  <si>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</si>
  <si>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</si>
  <si>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</si>
  <si>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</si>
  <si>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</si>
  <si>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</si>
  <si>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</si>
  <si>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</si>
  <si>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</si>
  <si>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</si>
  <si>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</si>
  <si>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</si>
  <si>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</si>
  <si>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</si>
  <si>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</si>
  <si>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</si>
  <si>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</si>
  <si>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</si>
  <si>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</si>
  <si>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</si>
  <si>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</si>
  <si>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</si>
  <si>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</si>
  <si>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</si>
  <si>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</si>
  <si>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</si>
  <si>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</si>
  <si>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</si>
  <si>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</si>
  <si>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</si>
  <si>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</si>
  <si>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</si>
  <si>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</si>
  <si>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</si>
  <si>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</si>
  <si>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</si>
  <si>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</si>
  <si>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</si>
  <si>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</si>
  <si>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</si>
  <si>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</si>
  <si>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</si>
  <si>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</si>
  <si>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</si>
  <si>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</si>
  <si>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</si>
  <si>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</si>
  <si>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</si>
  <si>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</si>
  <si>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</si>
  <si>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</si>
  <si>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</si>
  <si>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</si>
  <si>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</si>
  <si>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</si>
  <si>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</si>
  <si>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</si>
  <si>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</si>
  <si>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</si>
  <si>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</si>
  <si>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</si>
  <si>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</si>
  <si>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</si>
  <si>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</si>
  <si>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</si>
  <si>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</si>
  <si>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</si>
  <si>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</si>
  <si>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</si>
  <si>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</si>
  <si>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</si>
  <si>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</si>
  <si>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</si>
  <si>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</si>
  <si>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</si>
  <si>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</si>
  <si>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</si>
  <si>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</si>
  <si>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</si>
  <si>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</si>
  <si>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</si>
  <si>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</si>
  <si>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</si>
  <si>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</si>
  <si>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</si>
  <si>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</si>
  <si>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</si>
  <si>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</si>
  <si>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</si>
  <si>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</si>
  <si>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</si>
  <si>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</si>
  <si>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</si>
  <si>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</si>
  <si>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</si>
  <si>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</si>
  <si>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</si>
  <si>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</si>
  <si>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</si>
  <si>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</si>
  <si>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</si>
  <si>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</si>
  <si>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</si>
  <si>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</si>
  <si>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</si>
  <si>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</si>
  <si>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</si>
  <si>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</si>
  <si>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</si>
  <si>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</si>
  <si>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</si>
  <si>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</si>
  <si>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</si>
  <si>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</si>
  <si>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</si>
  <si>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</si>
  <si>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</si>
  <si>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</si>
  <si>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</si>
  <si>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</si>
  <si>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</si>
  <si>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</si>
  <si>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</si>
  <si>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</si>
  <si>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</si>
  <si>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</si>
  <si>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</si>
  <si>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</si>
  <si>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</si>
  <si>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</si>
  <si>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</si>
  <si>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</si>
  <si>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</si>
  <si>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</si>
  <si>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</si>
  <si>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</si>
  <si>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</si>
  <si>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</si>
  <si>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</si>
  <si>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</si>
  <si>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</si>
  <si>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</si>
  <si>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</si>
  <si>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</si>
  <si>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</si>
  <si>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</si>
  <si>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</si>
  <si>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</si>
  <si>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</si>
  <si>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</si>
  <si>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</si>
  <si>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</si>
  <si>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</si>
  <si>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</si>
  <si>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</si>
  <si>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</si>
  <si>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</si>
  <si>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</si>
  <si>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</si>
  <si>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</si>
  <si>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</si>
  <si>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</si>
  <si>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</si>
  <si>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</si>
  <si>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</si>
  <si>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</si>
  <si>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</si>
  <si>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</si>
  <si>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</si>
  <si>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</si>
  <si>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</si>
  <si>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</si>
  <si>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</si>
  <si>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</si>
  <si>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</si>
  <si>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</si>
  <si>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</si>
  <si>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</si>
  <si>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</si>
  <si>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</si>
  <si>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</si>
  <si>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</si>
  <si>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</si>
  <si>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</si>
  <si>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</si>
  <si>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</si>
  <si>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</si>
  <si>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</si>
  <si>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</si>
  <si>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</si>
  <si>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</si>
  <si>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</si>
  <si>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</si>
  <si>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</si>
  <si>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</si>
  <si>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</si>
  <si>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</si>
  <si>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</si>
  <si>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</si>
  <si>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</si>
  <si>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</si>
  <si>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</si>
  <si>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</si>
  <si>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</si>
  <si>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</si>
  <si>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</si>
  <si>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</si>
  <si>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</si>
  <si>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</si>
  <si>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</si>
  <si>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</si>
  <si>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</si>
  <si>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</si>
  <si>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</si>
  <si>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</si>
  <si>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</si>
  <si>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</si>
  <si>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</si>
  <si>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</si>
  <si>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</si>
  <si>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</si>
  <si>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</si>
  <si>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</si>
  <si>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</si>
  <si>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</si>
  <si>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</si>
  <si>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</si>
  <si>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</si>
  <si>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</si>
  <si>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</si>
  <si>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</si>
  <si>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</si>
  <si>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</si>
  <si>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</si>
  <si>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</si>
  <si>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</si>
  <si>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</si>
  <si>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</si>
  <si>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</si>
  <si>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</si>
  <si>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</si>
  <si>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</si>
  <si>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</si>
  <si>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</si>
  <si>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</si>
  <si>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</si>
  <si>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</si>
  <si>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</si>
  <si>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</si>
  <si>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</si>
  <si>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</si>
  <si>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</si>
  <si>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</si>
  <si>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</si>
  <si>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</si>
  <si>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</si>
  <si>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</si>
  <si>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</si>
  <si>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</si>
  <si>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</si>
  <si>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</si>
  <si>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</si>
  <si>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</si>
  <si>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</si>
  <si>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</si>
  <si>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</si>
  <si>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</si>
  <si>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</si>
  <si>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</si>
  <si>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</si>
  <si>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</si>
  <si>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</si>
  <si>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</si>
  <si>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</si>
  <si>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</si>
  <si>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</si>
  <si>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</si>
  <si>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</si>
  <si>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</si>
  <si>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</si>
  <si>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</si>
  <si>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</si>
  <si>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</si>
  <si>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</si>
  <si>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</si>
  <si>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</si>
  <si>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</si>
  <si>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</si>
  <si>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</si>
  <si>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</si>
  <si>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</si>
  <si>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</si>
  <si>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</si>
  <si>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</si>
  <si>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</si>
  <si>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</si>
  <si>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</si>
  <si>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</si>
  <si>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</si>
  <si>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</si>
  <si>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</si>
  <si>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</si>
  <si>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</si>
  <si>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</si>
  <si>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</si>
  <si>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</si>
  <si>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</si>
  <si>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</si>
  <si>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</si>
  <si>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</si>
  <si>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</si>
  <si>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</si>
  <si>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</si>
  <si>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</si>
  <si>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</si>
  <si>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</si>
  <si>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</si>
  <si>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</si>
  <si>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</si>
  <si>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</si>
  <si>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</si>
  <si>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</si>
  <si>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</si>
  <si>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</si>
  <si>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</si>
  <si>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</si>
  <si>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</si>
  <si>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</si>
  <si>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</si>
  <si>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</si>
  <si>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</si>
  <si>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</si>
  <si>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</si>
  <si>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</si>
  <si>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</si>
  <si>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</si>
  <si>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</si>
  <si>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</si>
  <si>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</si>
  <si>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</si>
  <si>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</si>
  <si>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</si>
  <si>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</si>
  <si>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</si>
  <si>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</si>
  <si>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</si>
  <si>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</si>
  <si>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</si>
  <si>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</si>
  <si>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</si>
  <si>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</si>
  <si>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</si>
  <si>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</si>
  <si>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</si>
  <si>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</si>
  <si>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</si>
  <si>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</si>
  <si>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</si>
  <si>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</si>
  <si>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</si>
  <si>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</si>
  <si>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</si>
  <si>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</si>
  <si>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</si>
  <si>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</si>
  <si>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</si>
  <si>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</si>
  <si>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</si>
  <si>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</si>
  <si>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</si>
  <si>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</si>
  <si>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</si>
  <si>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</si>
  <si>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</si>
  <si>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</si>
  <si>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</si>
  <si>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</si>
  <si>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</si>
  <si>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</si>
  <si>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</si>
  <si>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</si>
  <si>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</si>
  <si>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</si>
  <si>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</si>
  <si>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</si>
  <si>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</si>
  <si>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</si>
  <si>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</si>
  <si>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</si>
  <si>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</si>
  <si>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</si>
  <si>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</si>
  <si>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</si>
  <si>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</si>
  <si>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</si>
  <si>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</si>
  <si>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</si>
  <si>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</si>
  <si>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</si>
  <si>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</si>
  <si>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</si>
  <si>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</si>
  <si>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</si>
  <si>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</si>
  <si>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</si>
  <si>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</si>
  <si>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</si>
  <si>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</si>
  <si>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</si>
  <si>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</si>
  <si>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</si>
  <si>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</si>
  <si>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</si>
  <si>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</si>
  <si>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</si>
  <si>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</si>
  <si>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</si>
  <si>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</si>
  <si>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</si>
  <si>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</si>
  <si>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</si>
  <si>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</si>
  <si>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</si>
  <si>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</si>
  <si>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</si>
  <si>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</si>
  <si>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</si>
  <si>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</si>
  <si>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</si>
  <si>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</si>
  <si>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</si>
  <si>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</si>
  <si>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</si>
  <si>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</si>
  <si>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</si>
  <si>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</si>
  <si>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</si>
  <si>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</si>
  <si>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</si>
  <si>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</si>
  <si>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</si>
  <si>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</si>
  <si>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</si>
  <si>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</si>
  <si>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</si>
  <si>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</si>
  <si>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</si>
  <si>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</si>
  <si>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</si>
  <si>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</si>
  <si>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</si>
  <si>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</si>
  <si>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</si>
  <si>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</si>
  <si>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</si>
  <si>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</si>
  <si>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</si>
  <si>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</si>
  <si>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</si>
  <si>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</si>
  <si>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</si>
  <si>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</si>
  <si>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</si>
  <si>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</si>
  <si>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</si>
  <si>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</si>
  <si>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</si>
  <si>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</si>
  <si>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</si>
  <si>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</si>
  <si>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</si>
  <si>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</si>
  <si>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</si>
  <si>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</si>
  <si>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</si>
  <si>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</si>
  <si>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</si>
  <si>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</si>
  <si>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</si>
  <si>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</si>
  <si>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</si>
  <si>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</si>
  <si>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</si>
  <si>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</si>
  <si>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</si>
  <si>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</si>
  <si>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</si>
  <si>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</si>
  <si>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</si>
  <si>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</si>
  <si>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</si>
  <si>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</si>
  <si>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</si>
  <si>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</si>
  <si>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</si>
  <si>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</si>
  <si>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</si>
  <si>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</si>
  <si>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</si>
  <si>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</si>
  <si>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</si>
  <si>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</si>
  <si>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</si>
  <si>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</si>
  <si>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</si>
  <si>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</si>
  <si>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</si>
  <si>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</si>
  <si>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</si>
  <si>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</si>
  <si>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</si>
  <si>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</si>
  <si>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</si>
  <si>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</si>
  <si>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</si>
  <si>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</si>
  <si>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</si>
  <si>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</si>
  <si>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</si>
  <si>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</si>
  <si>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</si>
  <si>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</si>
  <si>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</si>
  <si>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</si>
  <si>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</si>
  <si>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</si>
  <si>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</si>
  <si>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</si>
  <si>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</si>
  <si>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</si>
  <si>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</si>
  <si>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</si>
  <si>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</si>
  <si>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</si>
  <si>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</si>
  <si>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</si>
  <si>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</si>
  <si>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</si>
  <si>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</si>
  <si>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</si>
  <si>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</si>
  <si>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</si>
  <si>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</si>
  <si>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</si>
  <si>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</si>
  <si>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</si>
  <si>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</si>
  <si>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</si>
  <si>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</si>
  <si>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</si>
  <si>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</si>
  <si>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</si>
  <si>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</si>
  <si>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</si>
  <si>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</si>
  <si>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</si>
  <si>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</si>
  <si>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</si>
  <si>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</si>
  <si>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</si>
  <si>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</si>
  <si>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</si>
  <si>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</si>
  <si>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</si>
  <si>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</si>
  <si>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</si>
  <si>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</si>
  <si>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</si>
  <si>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</si>
  <si>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</si>
  <si>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</si>
  <si>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</si>
  <si>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</si>
  <si>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</si>
  <si>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</si>
  <si>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</si>
  <si>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</si>
  <si>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</si>
  <si>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</si>
  <si>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</si>
  <si>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</si>
  <si>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</si>
  <si>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</si>
  <si>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</si>
  <si>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</si>
  <si>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</si>
  <si>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</si>
  <si>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</si>
  <si>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</si>
  <si>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</si>
  <si>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</si>
  <si>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</si>
  <si>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</si>
  <si>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</si>
  <si>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</si>
  <si>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</si>
  <si>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</si>
  <si>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</si>
  <si>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</si>
  <si>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</si>
  <si>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</si>
  <si>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</si>
  <si>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</si>
  <si>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</si>
  <si>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</si>
  <si>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</si>
  <si>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</si>
  <si>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</si>
  <si>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</si>
  <si>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</si>
  <si>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</si>
  <si>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</si>
  <si>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</si>
  <si>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</si>
  <si>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</si>
  <si>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</si>
  <si>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</si>
  <si>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</si>
  <si>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</si>
  <si>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</si>
  <si>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</si>
  <si>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</si>
  <si>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</si>
  <si>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</si>
  <si>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</si>
  <si>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</si>
  <si>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</si>
  <si>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</si>
  <si>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</si>
  <si>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</si>
  <si>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</si>
  <si>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</si>
  <si>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</si>
  <si>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</si>
  <si>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</si>
  <si>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</si>
  <si>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</si>
  <si>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</si>
  <si>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</si>
  <si>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</si>
  <si>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</si>
  <si>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</si>
  <si>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</si>
  <si>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</si>
  <si>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</si>
  <si>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</si>
  <si>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</si>
  <si>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</si>
  <si>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</si>
  <si>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</si>
  <si>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</si>
  <si>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</si>
  <si>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</si>
  <si>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</si>
  <si>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</si>
  <si>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</si>
  <si>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</si>
  <si>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</si>
  <si>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</si>
  <si>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</si>
  <si>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</si>
  <si>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</si>
  <si>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</si>
  <si>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</si>
  <si>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</si>
  <si>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</si>
  <si>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</si>
  <si>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</si>
  <si>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</si>
  <si>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</si>
  <si>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</si>
  <si>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</si>
  <si>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</si>
  <si>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</si>
  <si>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</si>
  <si>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</si>
  <si>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</si>
  <si>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</si>
  <si>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</si>
  <si>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</si>
  <si>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</si>
  <si>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</si>
  <si>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</si>
  <si>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</si>
  <si>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</si>
  <si>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</si>
  <si>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</si>
  <si>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</si>
  <si>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</si>
  <si>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</si>
  <si>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</si>
  <si>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</si>
  <si>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</si>
  <si>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</si>
  <si>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</si>
  <si>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</si>
  <si>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</si>
  <si>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</si>
  <si>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</si>
  <si>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</si>
  <si>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</si>
  <si>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</si>
  <si>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</si>
  <si>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</si>
  <si>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</si>
  <si>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</si>
  <si>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</si>
  <si>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</si>
  <si>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</si>
  <si>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</si>
  <si>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</si>
  <si>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</si>
  <si>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</si>
  <si>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</si>
  <si>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</si>
  <si>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</si>
  <si>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</si>
  <si>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</si>
  <si>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</si>
  <si>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</si>
  <si>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</si>
  <si>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</si>
  <si>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</si>
  <si>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</si>
  <si>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</si>
  <si>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</si>
  <si>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</si>
  <si>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</si>
  <si>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</si>
  <si>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</si>
  <si>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</si>
  <si>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</si>
  <si>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</si>
  <si>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</si>
  <si>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</si>
  <si>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</si>
  <si>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</si>
  <si>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</si>
  <si>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</si>
  <si>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</si>
  <si>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</si>
  <si>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</si>
  <si>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</si>
  <si>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</si>
  <si>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</si>
  <si>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</si>
  <si>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</si>
  <si>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</si>
  <si>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</si>
  <si>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</si>
  <si>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</si>
  <si>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</si>
  <si>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</si>
  <si>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</si>
  <si>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</si>
  <si>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</si>
  <si>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</si>
  <si>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</si>
  <si>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</si>
  <si>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</si>
  <si>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</si>
  <si>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</si>
  <si>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</si>
  <si>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</si>
  <si>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</si>
  <si>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</si>
  <si>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</si>
  <si>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</si>
  <si>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</si>
  <si>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</si>
  <si>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</si>
  <si>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</si>
  <si>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</si>
  <si>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</si>
  <si>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</si>
  <si>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</si>
  <si>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</si>
  <si>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</si>
  <si>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</si>
  <si>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</si>
  <si>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</si>
  <si>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</si>
  <si>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</si>
  <si>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</si>
  <si>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</si>
  <si>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</si>
  <si>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</si>
  <si>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</si>
  <si>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</si>
  <si>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</si>
  <si>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</si>
  <si>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</si>
  <si>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</si>
  <si>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</si>
  <si>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</si>
  <si>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</si>
  <si>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</si>
  <si>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</si>
  <si>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</si>
  <si>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</si>
  <si>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</si>
  <si>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</si>
  <si>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</si>
  <si>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</si>
  <si>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</si>
  <si>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</si>
  <si>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</si>
  <si>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</si>
  <si>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</si>
  <si>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</si>
  <si>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</si>
  <si>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</si>
  <si>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</si>
  <si>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</si>
  <si>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</si>
  <si>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</si>
  <si>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</si>
  <si>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</si>
  <si>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</si>
  <si>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</si>
  <si>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</si>
  <si>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</si>
  <si>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</si>
  <si>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</si>
  <si>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</si>
  <si>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</si>
  <si>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</si>
  <si>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</si>
  <si>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</si>
  <si>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</si>
  <si>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</si>
  <si>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</si>
  <si>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</si>
  <si>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</si>
  <si>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</si>
  <si>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</si>
  <si>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</si>
  <si>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</si>
  <si>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</si>
  <si>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</si>
  <si>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</si>
  <si>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</si>
  <si>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</si>
  <si>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</si>
  <si>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</si>
  <si>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</si>
  <si>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</si>
  <si>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</si>
  <si>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</si>
  <si>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</si>
  <si>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</si>
  <si>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</si>
  <si>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</si>
  <si>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</si>
  <si>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</si>
  <si>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</si>
  <si>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</si>
  <si>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</si>
  <si>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</si>
  <si>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</si>
  <si>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</si>
  <si>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</si>
  <si>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</si>
  <si>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</si>
  <si>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</si>
  <si>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</si>
  <si>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</si>
  <si>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</si>
  <si>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</si>
  <si>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</si>
  <si>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</si>
  <si>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</si>
  <si>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</si>
  <si>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</si>
  <si>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</si>
  <si>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</si>
  <si>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</si>
  <si>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</si>
  <si>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</si>
  <si>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</si>
  <si>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</si>
  <si>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</si>
  <si>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</si>
  <si>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</si>
  <si>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</si>
  <si>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</si>
  <si>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</si>
  <si>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</si>
  <si>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</si>
  <si>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</si>
  <si>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</si>
  <si>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</si>
  <si>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</si>
  <si>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</si>
  <si>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</si>
  <si>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</si>
  <si>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</si>
  <si>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</si>
  <si>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</si>
  <si>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</si>
  <si>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</si>
  <si>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</si>
  <si>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</si>
  <si>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</si>
  <si>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</si>
  <si>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</si>
  <si>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</si>
  <si>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</si>
  <si>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</si>
  <si>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</si>
  <si>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</si>
  <si>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</si>
  <si>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</si>
  <si>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</si>
  <si>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</si>
  <si>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</si>
  <si>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</si>
  <si>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</si>
  <si>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</si>
  <si>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</si>
  <si>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</si>
  <si>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</si>
  <si>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</si>
  <si>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</si>
  <si>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</si>
  <si>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</si>
  <si>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</si>
  <si>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</si>
  <si>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</si>
  <si>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</si>
  <si>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</si>
  <si>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</si>
  <si>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</si>
  <si>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</si>
  <si>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</si>
  <si>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</si>
  <si>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</si>
  <si>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</si>
  <si>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</si>
  <si>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</si>
  <si>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</si>
  <si>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</si>
  <si>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</si>
  <si>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</si>
  <si>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</si>
  <si>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</si>
  <si>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</si>
  <si>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</si>
  <si>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</si>
  <si>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</si>
  <si>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</si>
  <si>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</si>
  <si>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</si>
  <si>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</si>
  <si>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</si>
  <si>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</si>
  <si>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</si>
  <si>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</si>
  <si>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</si>
  <si>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</si>
  <si>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</si>
  <si>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</si>
  <si>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</si>
  <si>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</si>
  <si>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</si>
  <si>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</si>
  <si>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</si>
  <si>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</si>
  <si>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</si>
  <si>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</si>
  <si>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</si>
  <si>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</si>
  <si>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</si>
  <si>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</si>
  <si>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</si>
  <si>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</si>
  <si>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</si>
  <si>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</si>
  <si>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</si>
  <si>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</si>
  <si>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</si>
  <si>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</si>
  <si>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</si>
  <si>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</si>
  <si>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</si>
  <si>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</si>
  <si>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</si>
  <si>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</si>
  <si>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</si>
  <si>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</si>
  <si>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</si>
  <si>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</si>
  <si>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</si>
  <si>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</si>
  <si>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</si>
  <si>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</si>
  <si>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</si>
  <si>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</si>
  <si>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</si>
  <si>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</si>
  <si>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</si>
  <si>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</si>
  <si>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</si>
  <si>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</si>
  <si>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</si>
  <si>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</si>
  <si>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</si>
  <si>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</si>
  <si>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</si>
  <si>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</si>
  <si>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</si>
  <si>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</si>
  <si>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</si>
  <si>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</si>
  <si>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</si>
  <si>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</si>
  <si>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</si>
  <si>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</si>
  <si>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</si>
  <si>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</si>
  <si>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</si>
  <si>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</si>
  <si>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</si>
  <si>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</si>
  <si>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</si>
  <si>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</si>
  <si>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</si>
  <si>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</si>
  <si>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</si>
  <si>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</si>
  <si>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</si>
  <si>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</si>
  <si>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</si>
  <si>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</si>
  <si>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</si>
  <si>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</si>
  <si>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</si>
  <si>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</si>
  <si>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</si>
  <si>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</si>
  <si>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</si>
  <si>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</si>
  <si>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</si>
  <si>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</si>
  <si>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</si>
  <si>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</si>
  <si>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</si>
  <si>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</si>
  <si>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</si>
  <si>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</si>
  <si>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</si>
  <si>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</si>
  <si>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</si>
  <si>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</si>
  <si>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</si>
  <si>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</si>
  <si>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</si>
  <si>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</si>
  <si>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</si>
  <si>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</si>
  <si>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</si>
  <si>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</si>
  <si>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</si>
  <si>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</si>
  <si>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</si>
  <si>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</si>
  <si>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</si>
  <si>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</si>
  <si>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</si>
  <si>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</si>
  <si>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</si>
  <si>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</si>
  <si>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</si>
  <si>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</si>
  <si>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</si>
  <si>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</si>
  <si>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</si>
  <si>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</si>
  <si>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</si>
  <si>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</si>
  <si>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</si>
  <si>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</si>
  <si>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</si>
  <si>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</si>
  <si>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</si>
  <si>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</si>
  <si>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</si>
  <si>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</si>
  <si>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</si>
  <si>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</si>
  <si>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</si>
  <si>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</si>
  <si>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</si>
  <si>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</si>
  <si>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</si>
  <si>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</si>
  <si>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</si>
  <si>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</si>
  <si>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</si>
  <si>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</si>
  <si>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</si>
  <si>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</si>
  <si>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</si>
  <si>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</si>
  <si>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</si>
  <si>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</si>
  <si>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</si>
  <si>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</si>
  <si>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</si>
  <si>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</si>
  <si>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</si>
  <si>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</si>
  <si>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</si>
  <si>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</si>
  <si>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</si>
  <si>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</si>
  <si>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</si>
  <si>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</si>
  <si>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</si>
  <si>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</si>
  <si>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</si>
  <si>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</si>
  <si>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</si>
  <si>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</si>
  <si>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</si>
  <si>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</si>
  <si>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</si>
  <si>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</si>
  <si>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</si>
  <si>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</si>
  <si>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</si>
  <si>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</si>
  <si>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</si>
  <si>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</si>
  <si>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</si>
  <si>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</si>
  <si>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</si>
  <si>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</si>
  <si>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</si>
  <si>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</si>
  <si>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</si>
  <si>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</si>
  <si>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</si>
  <si>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</si>
  <si>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</si>
  <si>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</si>
  <si>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</si>
  <si>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</si>
  <si>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</si>
  <si>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</si>
  <si>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</si>
  <si>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</si>
  <si>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</si>
  <si>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</si>
  <si>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</si>
  <si>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</si>
  <si>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</si>
  <si>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</si>
  <si>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</si>
  <si>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</si>
  <si>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</si>
  <si>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</si>
  <si>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</si>
  <si>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</si>
  <si>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</si>
  <si>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</si>
  <si>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</si>
  <si>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</si>
  <si>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</si>
  <si>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</si>
  <si>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</si>
  <si>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</si>
  <si>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</si>
  <si>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</si>
  <si>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</si>
  <si>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</si>
  <si>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</si>
  <si>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</si>
  <si>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</si>
  <si>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</si>
  <si>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</si>
  <si>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</si>
  <si>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</si>
  <si>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</si>
  <si>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</si>
  <si>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</si>
  <si>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</si>
  <si>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</si>
  <si>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</si>
  <si>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</si>
  <si>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</si>
  <si>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</si>
  <si>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</si>
  <si>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</si>
  <si>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</si>
  <si>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</si>
  <si>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</si>
  <si>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</si>
  <si>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</si>
  <si>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</si>
  <si>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</si>
  <si>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</si>
  <si>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</si>
  <si>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</si>
  <si>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</si>
  <si>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</si>
  <si>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</si>
  <si>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</si>
  <si>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</si>
  <si>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</si>
  <si>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</si>
  <si>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</si>
  <si>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</si>
  <si>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</si>
  <si>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</si>
  <si>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</si>
  <si>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</si>
  <si>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</si>
  <si>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</si>
  <si>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</si>
  <si>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</si>
  <si>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</si>
  <si>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</si>
  <si>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</si>
  <si>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</si>
  <si>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</si>
  <si>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</si>
  <si>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</si>
  <si>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</si>
  <si>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</si>
  <si>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</si>
  <si>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</si>
  <si>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</si>
  <si>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</si>
  <si>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</si>
  <si>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</si>
  <si>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</si>
  <si>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</si>
  <si>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</si>
  <si>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</si>
  <si>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</si>
  <si>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</si>
  <si>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</si>
  <si>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</si>
  <si>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</si>
  <si>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</si>
  <si>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</si>
  <si>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</si>
  <si>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</si>
  <si>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</si>
  <si>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</si>
  <si>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</si>
  <si>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</si>
  <si>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</si>
  <si>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</si>
  <si>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</si>
  <si>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</si>
  <si>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</si>
  <si>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</si>
  <si>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</si>
  <si>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</si>
  <si>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</si>
  <si>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</si>
  <si>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</si>
  <si>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</si>
  <si>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</si>
  <si>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</si>
  <si>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</si>
  <si>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</si>
  <si>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</si>
  <si>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</si>
  <si>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</si>
  <si>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</si>
  <si>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</si>
  <si>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</si>
  <si>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</si>
  <si>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</si>
  <si>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</si>
  <si>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</si>
  <si>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</si>
  <si>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</si>
  <si>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</si>
  <si>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</si>
  <si>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</si>
  <si>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</si>
  <si>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</si>
  <si>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</si>
  <si>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</si>
  <si>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</si>
  <si>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</si>
  <si>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</si>
  <si>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</si>
  <si>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</si>
  <si>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</si>
  <si>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</si>
  <si>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</si>
  <si>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</si>
  <si>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</si>
  <si>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</si>
  <si>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</si>
  <si>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</si>
  <si>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</si>
  <si>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</si>
  <si>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</si>
  <si>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</si>
  <si>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</si>
  <si>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</si>
  <si>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</si>
  <si>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</si>
  <si>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</si>
  <si>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</si>
  <si>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</si>
  <si>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</si>
  <si>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</si>
  <si>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</si>
  <si>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</si>
  <si>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</si>
  <si>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</si>
  <si>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</si>
  <si>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</si>
  <si>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</si>
  <si>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</si>
  <si>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</si>
  <si>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</si>
  <si>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</si>
  <si>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</si>
  <si>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</si>
  <si>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</si>
  <si>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</si>
  <si>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</si>
  <si>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</si>
  <si>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</si>
  <si>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</si>
  <si>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</si>
  <si>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</si>
  <si>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</si>
  <si>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</si>
  <si>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</si>
  <si>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</si>
  <si>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</si>
  <si>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</si>
  <si>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</si>
  <si>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</si>
  <si>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</si>
  <si>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</si>
  <si>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</si>
  <si>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</si>
  <si>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</si>
  <si>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</si>
  <si>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</si>
  <si>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</si>
  <si>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</si>
  <si>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</si>
  <si>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</si>
  <si>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</si>
  <si>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</si>
  <si>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</si>
  <si>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</si>
  <si>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</si>
  <si>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</si>
  <si>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</si>
  <si>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</si>
  <si>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</si>
  <si>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</si>
  <si>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</si>
  <si>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</si>
  <si>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</si>
  <si>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</si>
  <si>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</si>
  <si>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</si>
  <si>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</si>
  <si>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</si>
  <si>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</si>
  <si>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</si>
  <si>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</si>
  <si>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</si>
  <si>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</si>
  <si>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</si>
  <si>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</si>
  <si>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</si>
  <si>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</si>
  <si>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</si>
  <si>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</si>
  <si>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</si>
  <si>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</si>
  <si>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</si>
  <si>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</si>
  <si>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</si>
  <si>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</si>
  <si>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</si>
  <si>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</si>
  <si>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</si>
  <si>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</si>
  <si>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</si>
  <si>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</si>
  <si>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</si>
  <si>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</si>
  <si>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</si>
  <si>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</si>
  <si>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</si>
  <si>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</si>
  <si>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</si>
  <si>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</si>
  <si>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</si>
  <si>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</si>
  <si>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</si>
  <si>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</si>
  <si>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</si>
  <si>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</si>
  <si>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</si>
  <si>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</si>
  <si>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</si>
  <si>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</si>
  <si>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</si>
  <si>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</si>
  <si>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</si>
  <si>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</si>
  <si>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</si>
  <si>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</si>
  <si>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</si>
  <si>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</si>
  <si>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</si>
  <si>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</si>
  <si>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</si>
  <si>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</si>
  <si>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</si>
  <si>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</si>
  <si>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</si>
  <si>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</si>
  <si>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</si>
  <si>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</si>
  <si>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</si>
  <si>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</si>
  <si>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</si>
  <si>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</si>
  <si>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</si>
  <si>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</si>
  <si>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</si>
  <si>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</si>
  <si>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</si>
  <si>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</si>
  <si>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</si>
  <si>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</si>
  <si>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</si>
  <si>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</si>
  <si>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</si>
  <si>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</si>
  <si>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</si>
  <si>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</si>
  <si>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</si>
  <si>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</si>
  <si>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</si>
  <si>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</si>
  <si>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</si>
  <si>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</si>
  <si>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</si>
  <si>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</si>
  <si>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</si>
  <si>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</si>
  <si>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</si>
  <si>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</si>
  <si>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</si>
  <si>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</si>
  <si>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</si>
  <si>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</si>
  <si>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</si>
  <si>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</si>
  <si>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</si>
  <si>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</si>
  <si>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</si>
  <si>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</si>
  <si>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</si>
  <si>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</si>
  <si>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</si>
  <si>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</si>
  <si>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</si>
  <si>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</si>
  <si>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</si>
  <si>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</si>
  <si>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</si>
  <si>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</si>
  <si>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</si>
  <si>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</si>
  <si>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</si>
  <si>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</si>
  <si>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</si>
  <si>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</si>
  <si>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</si>
  <si>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</si>
  <si>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</si>
  <si>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</si>
  <si>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</si>
  <si>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</si>
  <si>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</si>
  <si>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</si>
  <si>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</si>
  <si>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</si>
  <si>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</si>
  <si>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</si>
  <si>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</si>
  <si>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</si>
  <si>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</si>
  <si>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</si>
  <si>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</si>
  <si>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</si>
  <si>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</si>
  <si>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</si>
  <si>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</si>
  <si>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</si>
  <si>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</si>
  <si>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</si>
  <si>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</si>
  <si>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</si>
  <si>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</si>
  <si>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</si>
  <si>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</si>
  <si>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</si>
  <si>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</si>
  <si>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</si>
  <si>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</si>
  <si>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</si>
  <si>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</si>
  <si>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</si>
  <si>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</si>
  <si>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</si>
  <si>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</si>
  <si>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</si>
  <si>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</si>
  <si>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</si>
  <si>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</si>
  <si>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</si>
  <si>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</si>
  <si>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</si>
  <si>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</si>
  <si>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</si>
  <si>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</si>
  <si>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</si>
  <si>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</si>
  <si>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</si>
  <si>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</si>
  <si>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</si>
  <si>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</si>
  <si>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</si>
  <si>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</si>
  <si>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</si>
  <si>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</si>
  <si>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</si>
  <si>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</si>
  <si>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</si>
  <si>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</si>
  <si>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</si>
  <si>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</si>
  <si>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</si>
  <si>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</si>
  <si>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</si>
  <si>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</si>
  <si>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</si>
  <si>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</si>
  <si>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</si>
  <si>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</si>
  <si>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</si>
  <si>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</si>
  <si>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</si>
  <si>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</si>
  <si>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</si>
  <si>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</si>
  <si>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</si>
  <si>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</si>
  <si>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</si>
  <si>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</si>
  <si>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</si>
  <si>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</si>
  <si>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</si>
  <si>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</si>
  <si>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</si>
  <si>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</si>
  <si>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</si>
  <si>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</si>
  <si>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</si>
  <si>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</si>
  <si>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</si>
  <si>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</si>
  <si>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</si>
  <si>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</si>
  <si>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</si>
  <si>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</si>
  <si>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</si>
  <si>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</si>
  <si>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</si>
  <si>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</si>
  <si>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</si>
  <si>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</si>
  <si>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</si>
  <si>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</si>
  <si>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</si>
  <si>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</si>
  <si>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</si>
  <si>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</si>
  <si>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</si>
  <si>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</si>
  <si>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</si>
  <si>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</si>
  <si>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</si>
  <si>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</si>
  <si>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</si>
  <si>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</si>
  <si>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</si>
  <si>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</si>
  <si>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</si>
  <si>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</si>
  <si>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</si>
  <si>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</si>
  <si>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</si>
  <si>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</si>
  <si>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</si>
  <si>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</si>
  <si>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</si>
  <si>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</si>
  <si>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</si>
  <si>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</si>
  <si>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</si>
  <si>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</si>
  <si>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</si>
  <si>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</si>
  <si>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</si>
  <si>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</si>
  <si>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</si>
  <si>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</si>
  <si>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</si>
  <si>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</si>
  <si>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</si>
  <si>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</si>
  <si>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</si>
  <si>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</si>
  <si>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</si>
  <si>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</si>
  <si>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</si>
  <si>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</si>
  <si>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</si>
  <si>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</si>
  <si>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</si>
  <si>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</si>
  <si>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</si>
  <si>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</si>
  <si>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</si>
  <si>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</si>
  <si>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</si>
  <si>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</si>
  <si>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</si>
  <si>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</si>
  <si>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</si>
  <si>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</si>
  <si>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</si>
  <si>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</si>
  <si>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</si>
  <si>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</si>
  <si>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</si>
  <si>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</si>
  <si>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</si>
  <si>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</si>
  <si>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</si>
  <si>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</si>
  <si>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</si>
  <si>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</si>
  <si>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</si>
  <si>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</si>
  <si>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</si>
  <si>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</si>
  <si>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</si>
  <si>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</si>
  <si>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</si>
  <si>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</si>
  <si>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</si>
  <si>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</si>
  <si>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</si>
  <si>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</si>
  <si>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</si>
  <si>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</si>
  <si>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</si>
  <si>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</si>
  <si>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</si>
  <si>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</si>
  <si>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</si>
  <si>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</si>
  <si>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</si>
  <si>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</si>
  <si>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</si>
  <si>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</si>
  <si>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</si>
  <si>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</si>
  <si>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</si>
  <si>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</si>
  <si>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</si>
  <si>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</si>
  <si>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</si>
  <si>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</si>
  <si>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</si>
  <si>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</si>
  <si>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</si>
  <si>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</si>
  <si>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</si>
  <si>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</si>
  <si>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</si>
  <si>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</si>
  <si>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</si>
  <si>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</si>
  <si>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</si>
  <si>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</si>
  <si>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</si>
  <si>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</si>
  <si>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</si>
  <si>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</si>
  <si>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</si>
  <si>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</si>
  <si>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</si>
  <si>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</si>
  <si>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</si>
  <si>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</si>
  <si>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</si>
  <si>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</si>
  <si>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</si>
  <si>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</si>
  <si>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</si>
  <si>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</si>
  <si>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</si>
  <si>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</si>
  <si>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</si>
  <si>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</si>
  <si>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</si>
  <si>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</si>
  <si>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</si>
  <si>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</si>
  <si>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</si>
  <si>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</si>
  <si>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</si>
  <si>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</si>
  <si>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</si>
  <si>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</si>
  <si>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</si>
  <si>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</si>
  <si>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</si>
  <si>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</si>
  <si>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</si>
  <si>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</si>
  <si>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</si>
  <si>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</si>
  <si>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</si>
  <si>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</si>
  <si>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</si>
  <si>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</si>
  <si>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</si>
  <si>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</si>
  <si>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</si>
  <si>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</si>
  <si>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</si>
  <si>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</si>
  <si>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</si>
  <si>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</si>
  <si>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</si>
  <si>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</si>
  <si>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</si>
  <si>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</si>
  <si>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</si>
  <si>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</si>
  <si>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</si>
  <si>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</si>
  <si>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</si>
  <si>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</si>
  <si>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</si>
  <si>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</si>
  <si>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</si>
  <si>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</si>
  <si>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</si>
  <si>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</si>
  <si>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</si>
  <si>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</si>
  <si>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</si>
  <si>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</si>
  <si>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</si>
  <si>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</si>
  <si>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</si>
  <si>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</si>
  <si>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</si>
  <si>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</si>
  <si>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</si>
  <si>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</si>
  <si>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</si>
  <si>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</si>
  <si>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</si>
  <si>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</si>
  <si>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</si>
  <si>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</si>
  <si>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</si>
  <si>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</si>
  <si>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</si>
  <si>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</si>
  <si>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</si>
  <si>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</si>
  <si>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</si>
  <si>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</si>
  <si>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</si>
  <si>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</si>
  <si>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</si>
  <si>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</si>
  <si>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</si>
  <si>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</si>
  <si>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</si>
  <si>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</si>
  <si>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</si>
  <si>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</si>
  <si>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</si>
  <si>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</si>
  <si>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</si>
  <si>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</si>
  <si>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</si>
  <si>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</si>
  <si>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</si>
  <si>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</si>
  <si>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</si>
  <si>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</si>
  <si>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</si>
  <si>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</si>
  <si>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</si>
  <si>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</si>
  <si>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</si>
  <si>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</si>
  <si>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</si>
  <si>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</si>
  <si>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</si>
  <si>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</si>
  <si>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</si>
  <si>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</si>
  <si>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</si>
  <si>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</si>
  <si>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</si>
  <si>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</si>
  <si>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</si>
  <si>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</si>
  <si>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</si>
  <si>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</si>
  <si>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</si>
  <si>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</si>
  <si>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</si>
  <si>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</si>
  <si>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</si>
  <si>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</si>
  <si>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</si>
  <si>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</si>
  <si>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</si>
  <si>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</si>
  <si>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</si>
  <si>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</si>
  <si>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</si>
  <si>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</si>
  <si>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</si>
  <si>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</si>
  <si>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</si>
  <si>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</si>
  <si>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</si>
  <si>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</si>
  <si>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</si>
  <si>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</si>
  <si>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</si>
  <si>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</si>
  <si>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</si>
  <si>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</si>
  <si>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</si>
  <si>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</si>
  <si>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</si>
  <si>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</si>
  <si>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</si>
  <si>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</si>
  <si>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</si>
  <si>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</si>
  <si>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</si>
  <si>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</si>
  <si>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</si>
  <si>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</si>
  <si>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</si>
  <si>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</si>
  <si>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</si>
  <si>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</si>
  <si>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</si>
  <si>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</si>
  <si>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</si>
  <si>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</si>
  <si>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</si>
  <si>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</si>
  <si>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</si>
  <si>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</si>
  <si>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</si>
  <si>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</si>
  <si>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</si>
  <si>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</si>
  <si>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</si>
  <si>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</si>
  <si>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</si>
  <si>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</si>
  <si>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</si>
  <si>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</si>
  <si>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</si>
  <si>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</si>
  <si>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</si>
  <si>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</si>
  <si>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</si>
  <si>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</si>
  <si>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</si>
  <si>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</si>
  <si>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</si>
  <si>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</si>
  <si>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</si>
  <si>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</si>
  <si>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</si>
  <si>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</si>
  <si>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</si>
  <si>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</si>
  <si>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</si>
  <si>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</si>
  <si>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</si>
  <si>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</si>
  <si>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</si>
  <si>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</si>
  <si>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</si>
  <si>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</si>
  <si>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</si>
  <si>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</si>
  <si>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</si>
  <si>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</si>
  <si>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</si>
  <si>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</si>
  <si>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</si>
  <si>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</si>
  <si>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</si>
  <si>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</si>
  <si>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</si>
  <si>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</si>
  <si>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</si>
  <si>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</si>
  <si>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</si>
  <si>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</si>
  <si>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</si>
  <si>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</si>
  <si>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</si>
  <si>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</si>
  <si>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</si>
  <si>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</si>
  <si>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</si>
  <si>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</si>
  <si>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</si>
  <si>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</si>
  <si>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</si>
  <si>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</si>
  <si>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</si>
  <si>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</si>
  <si>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</si>
  <si>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</si>
  <si>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</si>
  <si>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</si>
  <si>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</si>
  <si>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</si>
  <si>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</si>
  <si>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</si>
  <si>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</si>
  <si>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</si>
  <si>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</si>
  <si>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</si>
  <si>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</si>
  <si>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</si>
  <si>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</si>
  <si>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</si>
  <si>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</si>
  <si>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</si>
  <si>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</si>
  <si>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</si>
  <si>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</si>
  <si>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</si>
  <si>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</si>
  <si>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</si>
  <si>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</si>
  <si>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</si>
  <si>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</si>
  <si>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</si>
  <si>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</si>
  <si>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</si>
  <si>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</si>
  <si>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</si>
  <si>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</si>
  <si>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</si>
  <si>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</si>
  <si>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</si>
  <si>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</si>
  <si>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</si>
  <si>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</si>
  <si>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</si>
  <si>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</si>
  <si>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</si>
  <si>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</si>
  <si>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</si>
  <si>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</si>
  <si>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</si>
  <si>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</si>
  <si>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</si>
  <si>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</si>
  <si>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</si>
  <si>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</si>
  <si>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</si>
  <si>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</si>
  <si>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</si>
  <si>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</si>
  <si>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</si>
  <si>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</si>
  <si>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</si>
  <si>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</si>
  <si>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</si>
  <si>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</si>
  <si>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</si>
  <si>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</si>
  <si>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</si>
  <si>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</si>
  <si>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</si>
  <si>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</si>
  <si>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</si>
  <si>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</si>
  <si>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</si>
  <si>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</si>
  <si>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</si>
  <si>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</si>
  <si>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</si>
  <si>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</si>
  <si>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</si>
  <si>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</si>
  <si>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</si>
  <si>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</si>
  <si>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</si>
  <si>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</si>
  <si>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</si>
  <si>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</si>
  <si>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</si>
  <si>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</si>
  <si>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</si>
  <si>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</si>
  <si>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</si>
  <si>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</si>
  <si>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</si>
  <si>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</si>
  <si>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</si>
  <si>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</si>
  <si>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</si>
  <si>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</si>
  <si>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</si>
  <si>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</si>
  <si>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</si>
  <si>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</si>
  <si>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</si>
  <si>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</si>
  <si>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</si>
  <si>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</si>
  <si>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</si>
  <si>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</si>
  <si>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</si>
  <si>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</si>
  <si>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</si>
  <si>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</si>
  <si>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</si>
  <si>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</si>
  <si>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</si>
  <si>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</si>
  <si>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</si>
  <si>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</si>
  <si>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</si>
  <si>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</si>
  <si>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</si>
  <si>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</si>
  <si>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</si>
  <si>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</si>
  <si>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</si>
  <si>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</si>
  <si>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</si>
  <si>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</si>
  <si>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</si>
  <si>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</si>
  <si>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</si>
  <si>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</si>
  <si>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</si>
  <si>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</si>
  <si>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</si>
  <si>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</si>
  <si>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</si>
  <si>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</si>
  <si>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</si>
  <si>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</si>
  <si>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</si>
  <si>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</si>
  <si>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</si>
  <si>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</si>
  <si>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</si>
  <si>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</si>
  <si>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</si>
  <si>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</si>
  <si>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</si>
  <si>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</si>
  <si>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</si>
  <si>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</si>
  <si>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</si>
  <si>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</si>
  <si>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</si>
  <si>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</si>
  <si>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</si>
  <si>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4. Mitu aafrika ja aasia võistkonda pääseb alagrupiturniirilt edasi?</t>
  </si>
  <si>
    <t>MESSI</t>
  </si>
  <si>
    <t>MEXICO</t>
  </si>
  <si>
    <t>ARGENTIINA</t>
  </si>
  <si>
    <t>ÜKS</t>
  </si>
  <si>
    <t>PRANTSUSMAA</t>
  </si>
  <si>
    <t>QATAR</t>
  </si>
  <si>
    <t>TUNISIA</t>
  </si>
  <si>
    <t>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</si>
</sst>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</cellXfs>
  <cellStyles count="3">
    <cellStyle name="Hüperlink" xfId="1" builtinId="8"/>
    <cellStyle name="Märkus" xfId="2" builtinId="10"/>
    <cellStyle name="Normaallaad" xfId="0" builtinId="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7.sv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9" Type="http://schemas.openxmlformats.org/officeDocument/2006/relationships/image" Target="../media/image30.pn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66" Type="http://schemas.openxmlformats.org/officeDocument/2006/relationships/image" Target="../media/image67.png"/><Relationship Id="rId5" Type="http://schemas.openxmlformats.org/officeDocument/2006/relationships/image" Target="../media/image6.png"/><Relationship Id="rId61" Type="http://schemas.openxmlformats.org/officeDocument/2006/relationships/image" Target="../media/image62.png"/><Relationship Id="rId19" Type="http://schemas.openxmlformats.org/officeDocument/2006/relationships/image" Target="../media/image2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Relationship Id="rId20" Type="http://schemas.openxmlformats.org/officeDocument/2006/relationships/image" Target="../media/image21.sv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10" Type="http://schemas.openxmlformats.org/officeDocument/2006/relationships/image" Target="../media/image11.sv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3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51</xdr:row>
      <xdr:rowOff>1383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3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3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3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3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3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3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3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3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3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3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3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3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3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3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3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3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3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3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3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3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3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3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3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3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3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3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3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3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3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3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3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3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3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3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3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3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3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3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3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3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3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3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3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3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3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3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3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3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3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3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3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3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3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3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3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3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3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3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3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3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3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3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3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3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3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3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3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3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3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3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3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3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3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3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3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3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3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3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3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3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3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3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3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3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3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3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3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3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3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3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3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3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3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3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3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3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3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3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3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3">
      <c r="A103" s="1"/>
    </row>
    <row r="104" spans="1:42" x14ac:dyDescent="0.3">
      <c r="A104" s="1"/>
    </row>
    <row r="105" spans="1:42" x14ac:dyDescent="0.3">
      <c r="A105" s="1"/>
    </row>
    <row r="106" spans="1:42" x14ac:dyDescent="0.3">
      <c r="A106" s="1"/>
    </row>
    <row r="107" spans="1:42" x14ac:dyDescent="0.3">
      <c r="A107" s="1"/>
    </row>
    <row r="108" spans="1:42" x14ac:dyDescent="0.3">
      <c r="A108" s="1"/>
    </row>
    <row r="109" spans="1:42" x14ac:dyDescent="0.3">
      <c r="A109" s="1"/>
    </row>
    <row r="110" spans="1:42" x14ac:dyDescent="0.3">
      <c r="A110" s="1"/>
    </row>
    <row r="111" spans="1:42" x14ac:dyDescent="0.3">
      <c r="A111" s="1"/>
    </row>
    <row r="112" spans="1:42" x14ac:dyDescent="0.3">
      <c r="A112" s="1"/>
    </row>
    <row r="113" spans="1:42" x14ac:dyDescent="0.3">
      <c r="A113" s="1"/>
    </row>
    <row r="114" spans="1:42" x14ac:dyDescent="0.3">
      <c r="A114" s="1"/>
    </row>
    <row r="115" spans="1:42" x14ac:dyDescent="0.3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topLeftCell="A22" workbookViewId="0">
      <selection activeCell="C4" sqref="C4"/>
    </sheetView>
  </sheetViews>
  <sheetFormatPr defaultColWidth="9.21875" defaultRowHeight="14.4" x14ac:dyDescent="0.3"/>
  <cols>
    <col min="1" max="1" width="1.21875" style="10" customWidth="1"/>
    <col min="2" max="2" width="18.77734375" style="10" bestFit="1" customWidth="1"/>
    <col min="3" max="3" width="20.21875" style="10" customWidth="1"/>
    <col min="4" max="4" width="9.21875" style="10"/>
    <col min="5" max="5" width="1.21875" style="10" customWidth="1"/>
    <col min="6" max="6" width="9.21875" style="10"/>
    <col min="7" max="7" width="27.5546875" style="10" bestFit="1" customWidth="1"/>
    <col min="8" max="8" width="2.77734375" style="10" customWidth="1"/>
    <col min="9" max="9" width="1.21875" style="10" customWidth="1"/>
    <col min="10" max="16384" width="9.21875" style="10"/>
  </cols>
  <sheetData>
    <row r="1" spans="2:12" ht="7.5" customHeight="1" x14ac:dyDescent="0.3"/>
    <row r="2" spans="2:12" ht="16.2" thickBot="1" x14ac:dyDescent="0.35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3">
      <c r="B3" s="64"/>
      <c r="C3" s="65"/>
      <c r="D3" s="66"/>
      <c r="F3" s="64"/>
      <c r="G3" s="65"/>
      <c r="H3" s="66"/>
    </row>
    <row r="4" spans="2:12" x14ac:dyDescent="0.3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3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3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3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3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3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3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3">
      <c r="B11" s="64"/>
      <c r="C11" s="65"/>
      <c r="D11" s="66"/>
      <c r="F11" s="73"/>
      <c r="G11" s="74"/>
      <c r="H11" s="75"/>
    </row>
    <row r="12" spans="2:12" x14ac:dyDescent="0.3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3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3">
      <c r="F14" s="83"/>
      <c r="G14" s="83"/>
      <c r="H14" s="83"/>
      <c r="I14" s="83"/>
      <c r="J14" s="83"/>
      <c r="K14" s="99"/>
      <c r="L14" s="99"/>
    </row>
    <row r="15" spans="2:12" ht="9" customHeight="1" x14ac:dyDescent="0.3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2" thickBot="1" x14ac:dyDescent="0.35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3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3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3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3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3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3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3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3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3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3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3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3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3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3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3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3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3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3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3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3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3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3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3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3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3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3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3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3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3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3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3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3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3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opLeftCell="A12" zoomScale="98" zoomScaleNormal="100" workbookViewId="0">
      <selection activeCell="G31" sqref="G31"/>
    </sheetView>
  </sheetViews>
  <sheetFormatPr defaultColWidth="9.21875" defaultRowHeight="14.4" x14ac:dyDescent="0.3"/>
  <cols>
    <col min="1" max="1" width="4.77734375" style="3" customWidth="1"/>
    <col min="2" max="2" width="6.21875" style="3" customWidth="1"/>
    <col min="3" max="3" width="11.77734375" style="3" bestFit="1" customWidth="1"/>
    <col min="4" max="4" width="7.21875" style="4" customWidth="1"/>
    <col min="5" max="5" width="22.5546875" style="5" customWidth="1"/>
    <col min="6" max="7" width="4.21875" style="6" customWidth="1"/>
    <col min="8" max="8" width="22.5546875" style="7" customWidth="1"/>
    <col min="9" max="9" width="3.44140625" style="2" customWidth="1"/>
    <col min="10" max="10" width="14" style="8" customWidth="1"/>
    <col min="11" max="14" width="5.44140625" style="9" customWidth="1"/>
    <col min="15" max="15" width="7.77734375" style="9" customWidth="1"/>
    <col min="16" max="16" width="6.77734375" style="9" customWidth="1"/>
    <col min="17" max="17" width="3.44140625" style="98" customWidth="1"/>
    <col min="18" max="18" width="15.44140625" style="47" hidden="1" customWidth="1"/>
    <col min="19" max="20" width="16" style="88" hidden="1" customWidth="1"/>
    <col min="21" max="21" width="5" style="48" hidden="1" customWidth="1"/>
    <col min="22" max="25" width="6.21875" style="47" hidden="1" customWidth="1"/>
    <col min="26" max="26" width="4.21875" style="48" hidden="1" customWidth="1"/>
    <col min="27" max="27" width="5.44140625" style="47" hidden="1" customWidth="1"/>
    <col min="28" max="28" width="13.44140625" style="48" hidden="1" customWidth="1"/>
    <col min="29" max="33" width="5.44140625" style="47" hidden="1" customWidth="1"/>
    <col min="34" max="36" width="6" style="47" hidden="1" customWidth="1"/>
    <col min="37" max="37" width="5.44140625" style="47" hidden="1" customWidth="1"/>
    <col min="38" max="38" width="6" style="47" hidden="1" customWidth="1"/>
    <col min="39" max="39" width="7.21875" style="48" hidden="1" customWidth="1"/>
    <col min="40" max="40" width="10" style="48" hidden="1" customWidth="1"/>
    <col min="41" max="41" width="15.21875" style="48" hidden="1" customWidth="1"/>
    <col min="42" max="46" width="4.77734375" style="47" hidden="1" customWidth="1"/>
    <col min="47" max="49" width="9.21875" style="48" hidden="1" customWidth="1"/>
    <col min="50" max="50" width="9.21875" style="49" hidden="1" customWidth="1"/>
    <col min="51" max="51" width="3.21875" style="2" customWidth="1"/>
    <col min="52" max="52" width="19.77734375" style="2" customWidth="1"/>
    <col min="53" max="55" width="3" style="2" customWidth="1"/>
    <col min="56" max="57" width="2" style="2" customWidth="1"/>
    <col min="58" max="58" width="3.21875" style="2" customWidth="1"/>
    <col min="59" max="59" width="19.77734375" style="2" customWidth="1"/>
    <col min="60" max="62" width="3" style="2" customWidth="1"/>
    <col min="63" max="64" width="2" style="2" customWidth="1"/>
    <col min="65" max="65" width="3.21875" style="2" customWidth="1"/>
    <col min="66" max="66" width="19.77734375" style="2" customWidth="1"/>
    <col min="67" max="69" width="3" style="2" customWidth="1"/>
    <col min="70" max="71" width="2" style="2" customWidth="1"/>
    <col min="72" max="72" width="3.21875" style="2" customWidth="1"/>
    <col min="73" max="73" width="19.77734375" style="2" customWidth="1"/>
    <col min="74" max="76" width="3" style="2" customWidth="1"/>
    <col min="77" max="16384" width="9.21875" style="2"/>
  </cols>
  <sheetData>
    <row r="1" spans="1:76" ht="46.2" x14ac:dyDescent="0.3">
      <c r="A1" s="110" t="str">
        <f>INDEX(T,2,lang)</f>
        <v>2022 World Cup Final Tournament Schedule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3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3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11" t="str">
        <f>"Language: " &amp; Settings!C4</f>
        <v>Language: English</v>
      </c>
      <c r="P3" s="111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3"/>
    <row r="5" spans="1:76" ht="15" customHeight="1" x14ac:dyDescent="0.3">
      <c r="A5" s="112" t="str">
        <f>INDEX(T,3,lang)</f>
        <v>Group Stage</v>
      </c>
      <c r="B5" s="113"/>
      <c r="C5" s="113"/>
      <c r="D5" s="113"/>
      <c r="E5" s="113"/>
      <c r="F5" s="113"/>
      <c r="G5" s="113"/>
      <c r="H5" s="114"/>
      <c r="J5" s="118" t="s">
        <v>2006</v>
      </c>
      <c r="K5" s="119"/>
      <c r="L5" s="119"/>
      <c r="M5" s="119"/>
      <c r="N5" s="119"/>
      <c r="O5" s="119"/>
      <c r="P5" s="120"/>
    </row>
    <row r="6" spans="1:76" ht="15" customHeight="1" x14ac:dyDescent="0.3">
      <c r="A6" s="115"/>
      <c r="B6" s="116"/>
      <c r="C6" s="116"/>
      <c r="D6" s="116"/>
      <c r="E6" s="116"/>
      <c r="F6" s="116"/>
      <c r="G6" s="116"/>
      <c r="H6" s="117"/>
      <c r="J6" s="121"/>
      <c r="K6" s="122"/>
      <c r="L6" s="122"/>
      <c r="M6" s="122"/>
      <c r="N6" s="122"/>
      <c r="O6" s="122"/>
      <c r="P6" s="123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04" t="str">
        <f>INDEX(T,4,lang)</f>
        <v>Round of 16</v>
      </c>
      <c r="AZ6" s="105"/>
      <c r="BA6" s="105"/>
      <c r="BB6" s="105"/>
      <c r="BC6" s="106"/>
      <c r="BF6" s="104" t="str">
        <f>INDEX(T,5,lang)</f>
        <v>Quarterfinals</v>
      </c>
      <c r="BG6" s="105"/>
      <c r="BH6" s="105"/>
      <c r="BI6" s="105"/>
      <c r="BJ6" s="106"/>
      <c r="BM6" s="104" t="str">
        <f>INDEX(T,6,lang)</f>
        <v>Semi-Finals</v>
      </c>
      <c r="BN6" s="105"/>
      <c r="BO6" s="105"/>
      <c r="BP6" s="105"/>
      <c r="BQ6" s="106"/>
      <c r="BT6" s="104" t="str">
        <f>INDEX(T,8,lang)</f>
        <v>Final</v>
      </c>
      <c r="BU6" s="105"/>
      <c r="BV6" s="105"/>
      <c r="BW6" s="105"/>
      <c r="BX6" s="106"/>
    </row>
    <row r="7" spans="1:76" ht="15" customHeight="1" x14ac:dyDescent="0.3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0</v>
      </c>
      <c r="G7" s="16">
        <v>1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07"/>
      <c r="AZ7" s="108"/>
      <c r="BA7" s="108"/>
      <c r="BB7" s="108"/>
      <c r="BC7" s="109"/>
      <c r="BF7" s="107"/>
      <c r="BG7" s="108"/>
      <c r="BH7" s="108"/>
      <c r="BI7" s="108"/>
      <c r="BJ7" s="109"/>
      <c r="BM7" s="107"/>
      <c r="BN7" s="108"/>
      <c r="BO7" s="108"/>
      <c r="BP7" s="108"/>
      <c r="BQ7" s="109"/>
      <c r="BT7" s="107"/>
      <c r="BU7" s="108"/>
      <c r="BV7" s="108"/>
      <c r="BW7" s="108"/>
      <c r="BX7" s="109"/>
    </row>
    <row r="8" spans="1:76" ht="15" customHeight="1" x14ac:dyDescent="0.3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1</v>
      </c>
      <c r="G8" s="22">
        <v>2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1</v>
      </c>
      <c r="AD8" s="47">
        <f>COUNTIF($S$7:$T$54,"=" &amp; AB8 &amp; "_draw")</f>
        <v>1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4</v>
      </c>
      <c r="AH8" s="47">
        <f>(AF8-AG8)*100+AK8*10000+AF8</f>
        <v>40105</v>
      </c>
      <c r="AI8" s="47">
        <f>AF8-AG8</f>
        <v>1</v>
      </c>
      <c r="AJ8" s="47">
        <f>(AI8-AI13)/AI12</f>
        <v>0.6</v>
      </c>
      <c r="AK8" s="47">
        <f>AC8*3+AD8</f>
        <v>4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467.14364922285716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3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7 - 3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1</v>
      </c>
      <c r="AG9" s="47">
        <f>SUMIF($E$7:$E$54,$AB9,$G$7:$G$54) + SUMIF($H$7:$H$54,$AB9,$F$7:$F$54)</f>
        <v>6</v>
      </c>
      <c r="AH9" s="47">
        <f>(AF9-AG9)*100+AK9*10000+AF9</f>
        <v>-499</v>
      </c>
      <c r="AI9" s="47">
        <f>AF9-AG9</f>
        <v>-5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1.4292919285714285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3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1</v>
      </c>
      <c r="G10" s="22">
        <v>0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1</v>
      </c>
      <c r="M10" s="25">
        <f>VLOOKUP(2,AA8:AK11,4,FALSE)</f>
        <v>1</v>
      </c>
      <c r="N10" s="25">
        <f>VLOOKUP(2,AA8:AK11,5,FALSE)</f>
        <v>1</v>
      </c>
      <c r="O10" s="25" t="str">
        <f>VLOOKUP(2,AA8:AK11,6,FALSE) &amp; " - " &amp; VLOOKUP(2,AA8:AK11,7,FALSE)</f>
        <v>5 - 4</v>
      </c>
      <c r="P10" s="54">
        <f>L10*3+M10</f>
        <v>4</v>
      </c>
      <c r="R10" s="47">
        <f>DATE(2022,11,21)+TIME(8,0,0)+gmt_delta</f>
        <v>44886.916666666672</v>
      </c>
      <c r="S10" s="88" t="str">
        <f t="shared" si="3"/>
        <v>United States_win</v>
      </c>
      <c r="T10" s="88" t="str">
        <f t="shared" si="4"/>
        <v>Wales_lose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1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1</v>
      </c>
      <c r="AE10" s="47">
        <f>COUNTIF($S$7:$T$54,"=" &amp; AB10 &amp; "_lose")</f>
        <v>1</v>
      </c>
      <c r="AF10" s="47">
        <f>SUMIF($E$7:$E$54,$AB10,$F$7:$F$54) + SUMIF($H$7:$H$54,$AB10,$G$7:$G$54)</f>
        <v>4</v>
      </c>
      <c r="AG10" s="47">
        <f>SUMIF($E$7:$E$54,$AB10,$G$7:$G$54) + SUMIF($H$7:$H$54,$AB10,$F$7:$F$54)</f>
        <v>4</v>
      </c>
      <c r="AH10" s="47">
        <f>(AF10-AG10)*100+AK10*10000+AF10</f>
        <v>40004</v>
      </c>
      <c r="AI10" s="47">
        <f>AF10-AG10</f>
        <v>0</v>
      </c>
      <c r="AJ10" s="47">
        <f>(AI10-AI13)/AI12</f>
        <v>0.5</v>
      </c>
      <c r="AK10" s="47">
        <f>AC10*3+AD10</f>
        <v>4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455.71501221428571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24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3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1</v>
      </c>
      <c r="N11" s="25">
        <f>VLOOKUP(3,AA8:AK11,5,FALSE)</f>
        <v>1</v>
      </c>
      <c r="O11" s="25" t="str">
        <f>VLOOKUP(3,AA8:AK11,6,FALSE) &amp; " - " &amp; VLOOKUP(3,AA8:AK11,7,FALSE)</f>
        <v>4 - 4</v>
      </c>
      <c r="P11" s="54">
        <f>L11*3+M11</f>
        <v>4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7</v>
      </c>
      <c r="AG11" s="47">
        <f>SUMIF($E$7:$E$54,$AB11,$G$7:$G$54) + SUMIF($H$7:$H$54,$AB11,$F$7:$F$54)</f>
        <v>3</v>
      </c>
      <c r="AH11" s="47">
        <f>(AF11-AG11)*100+AK11*10000+AF11</f>
        <v>90407</v>
      </c>
      <c r="AI11" s="47">
        <f>AF11-AG11</f>
        <v>4</v>
      </c>
      <c r="AJ11" s="47">
        <f>(AI11-AI13)/AI12</f>
        <v>0.9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1000.00082933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25"/>
      <c r="AZ11" s="28" t="str">
        <f>AO15</f>
        <v>United States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3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3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1 - 6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2</v>
      </c>
      <c r="AE12" s="47">
        <f t="shared" si="10"/>
        <v>4</v>
      </c>
      <c r="AF12" s="47">
        <f t="shared" si="10"/>
        <v>7</v>
      </c>
      <c r="AG12" s="47">
        <f t="shared" si="10"/>
        <v>4</v>
      </c>
      <c r="AH12" s="47">
        <f>MAX(AH8:AH11)-AH13+1</f>
        <v>90907</v>
      </c>
      <c r="AI12" s="47">
        <f>MAX(AI8:AI11)-AI13+1</f>
        <v>10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24">
        <v>57</v>
      </c>
      <c r="BG12" s="26" t="str">
        <f>T58</f>
        <v>Netherlands</v>
      </c>
      <c r="BH12" s="84">
        <v>1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3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-499</v>
      </c>
      <c r="AI13" s="47">
        <f>MIN(AI8:AI11)</f>
        <v>-5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25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3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5</v>
      </c>
      <c r="G14" s="22">
        <v>1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8</v>
      </c>
      <c r="AG14" s="47">
        <f>SUMIF($E$7:$E$54,$AB14,$G$7:$G$54) + SUMIF($H$7:$H$54,$AB14,$F$7:$F$54)</f>
        <v>3</v>
      </c>
      <c r="AH14" s="47">
        <f>(AF14-AG14)*100+AK14*10000+AF14</f>
        <v>90508</v>
      </c>
      <c r="AI14" s="47">
        <f>AF14-AG14</f>
        <v>5</v>
      </c>
      <c r="AJ14" s="47">
        <f>(AI14-AI19)/AI18</f>
        <v>0.91666666666666663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1003.0961190952381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24">
        <v>50</v>
      </c>
      <c r="AZ14" s="26" t="str">
        <f>AO20</f>
        <v>Argentina</v>
      </c>
      <c r="BA14" s="84">
        <v>2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3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0</v>
      </c>
      <c r="G15" s="22">
        <v>1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8 - 3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8</v>
      </c>
      <c r="AH15" s="47">
        <f>(AF15-AG15)*100+AK15*10000+AF15</f>
        <v>-598</v>
      </c>
      <c r="AI15" s="47">
        <f>AF15-AG15</f>
        <v>-6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2.8579248571428573</v>
      </c>
      <c r="AO15" s="48" t="str">
        <f>IF(SUM(AC14:AE17)=12,J16,INDEX(T,73,lang))</f>
        <v>United States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25"/>
      <c r="AZ15" s="28" t="str">
        <f>AO27</f>
        <v>Denmark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3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2</v>
      </c>
      <c r="G16" s="22">
        <v>0</v>
      </c>
      <c r="H16" s="90" t="str">
        <f>AB35</f>
        <v>Japan</v>
      </c>
      <c r="J16" s="53" t="str">
        <f>VLOOKUP(2,AA14:AK17,2,FALSE)</f>
        <v>United States</v>
      </c>
      <c r="K16" s="25">
        <f>L16+M16+N16</f>
        <v>3</v>
      </c>
      <c r="L16" s="25">
        <f>VLOOKUP(2,AA14:AK17,3,FALSE)</f>
        <v>2</v>
      </c>
      <c r="M16" s="25">
        <f>VLOOKUP(2,AA14:AK17,4,FALSE)</f>
        <v>0</v>
      </c>
      <c r="N16" s="25">
        <f>VLOOKUP(2,AA14:AK17,5,FALSE)</f>
        <v>1</v>
      </c>
      <c r="O16" s="25" t="str">
        <f>VLOOKUP(2,AA14:AK17,6,FALSE) &amp; " - " &amp; VLOOKUP(2,AA14:AK17,7,FALSE)</f>
        <v>5 - 4</v>
      </c>
      <c r="P16" s="54">
        <f>L16*3+M16</f>
        <v>6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2</v>
      </c>
      <c r="AB16" s="48" t="str">
        <f>VLOOKUP("United States",T,lang,FALSE)</f>
        <v>United States</v>
      </c>
      <c r="AC16" s="47">
        <f>COUNTIF($S$7:$T$54,"=" &amp; AB16 &amp; "_win")</f>
        <v>2</v>
      </c>
      <c r="AD16" s="47">
        <f>COUNTIF($S$7:$T$54,"=" &amp; AB16 &amp; "_draw")</f>
        <v>0</v>
      </c>
      <c r="AE16" s="47">
        <f>COUNTIF($S$7:$T$54,"=" &amp; AB16 &amp; "_lose")</f>
        <v>1</v>
      </c>
      <c r="AF16" s="47">
        <f>SUMIF($E$7:$E$54,$AB16,$F$7:$F$54) + SUMIF($H$7:$H$54,$AB16,$G$7:$G$54)</f>
        <v>5</v>
      </c>
      <c r="AG16" s="47">
        <f>SUMIF($E$7:$E$54,$AB16,$G$7:$G$54) + SUMIF($H$7:$H$54,$AB16,$F$7:$F$54)</f>
        <v>4</v>
      </c>
      <c r="AH16" s="47">
        <f>(AF16-AG16)*100+AK16*10000+AF16</f>
        <v>60105</v>
      </c>
      <c r="AI16" s="47">
        <f>AF16-AG16</f>
        <v>1</v>
      </c>
      <c r="AJ16" s="47">
        <f>(AI16-AI19)/AI18</f>
        <v>0.58333333333333337</v>
      </c>
      <c r="AK16" s="47">
        <f>AC16*3+AD16</f>
        <v>6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665.47700733619047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24">
        <v>61</v>
      </c>
      <c r="BN16" s="26" t="str">
        <f>T69</f>
        <v>Argentina</v>
      </c>
      <c r="BO16" s="84">
        <v>3</v>
      </c>
      <c r="BP16" s="86"/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3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3</v>
      </c>
      <c r="G17" s="22">
        <v>0</v>
      </c>
      <c r="H17" s="90" t="str">
        <f>AB33</f>
        <v>Costa Rica</v>
      </c>
      <c r="J17" s="53" t="str">
        <f>VLOOKUP(3,AA14:AK17,2,FALSE)</f>
        <v>Wales</v>
      </c>
      <c r="K17" s="25">
        <f>L17+M17+N17</f>
        <v>3</v>
      </c>
      <c r="L17" s="25">
        <f>VLOOKUP(3,AA14:AK17,3,FALSE)</f>
        <v>1</v>
      </c>
      <c r="M17" s="25">
        <f>VLOOKUP(3,AA14:AK17,4,FALSE)</f>
        <v>0</v>
      </c>
      <c r="N17" s="25">
        <f>VLOOKUP(3,AA14:AK17,5,FALSE)</f>
        <v>2</v>
      </c>
      <c r="O17" s="25" t="str">
        <f>VLOOKUP(3,AA14:AK17,6,FALSE) &amp; " - " &amp; VLOOKUP(3,AA14:AK17,7,FALSE)</f>
        <v>4 - 4</v>
      </c>
      <c r="P17" s="54">
        <f>L17*3+M17</f>
        <v>3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3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0</v>
      </c>
      <c r="AE17" s="47">
        <f>COUNTIF($S$7:$T$54,"=" &amp; AB17 &amp; "_lose")</f>
        <v>2</v>
      </c>
      <c r="AF17" s="47">
        <f>SUMIF($E$7:$E$54,$AB17,$F$7:$F$54) + SUMIF($H$7:$H$54,$AB17,$G$7:$G$54)</f>
        <v>4</v>
      </c>
      <c r="AG17" s="47">
        <f>SUMIF($E$7:$E$54,$AB17,$G$7:$G$54) + SUMIF($H$7:$H$54,$AB17,$F$7:$F$54)</f>
        <v>4</v>
      </c>
      <c r="AH17" s="47">
        <f>(AF17-AG17)*100+AK17*10000+AF17</f>
        <v>30004</v>
      </c>
      <c r="AI17" s="47">
        <f>AF17-AG17</f>
        <v>0</v>
      </c>
      <c r="AJ17" s="47">
        <f>(AI17-AI19)/AI18</f>
        <v>0.5</v>
      </c>
      <c r="AK17" s="47">
        <f>AC17*3+AD17</f>
        <v>3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355.71507677928571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25"/>
      <c r="BN17" s="28" t="str">
        <f>T70</f>
        <v>Brazil</v>
      </c>
      <c r="BO17" s="85">
        <v>2</v>
      </c>
      <c r="BP17" s="87"/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3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4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2 - 8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1</v>
      </c>
      <c r="AE18" s="47">
        <f t="shared" si="11"/>
        <v>4</v>
      </c>
      <c r="AF18" s="47">
        <f t="shared" si="11"/>
        <v>7</v>
      </c>
      <c r="AG18" s="47">
        <f t="shared" si="11"/>
        <v>6</v>
      </c>
      <c r="AH18" s="47">
        <f>MAX(AH14:AH17)-AH19+1</f>
        <v>91107</v>
      </c>
      <c r="AI18" s="47">
        <f>MAX(AI14:AI17)-AI19+1</f>
        <v>12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24">
        <v>53</v>
      </c>
      <c r="AZ18" s="26" t="str">
        <f>AO32</f>
        <v>Spain</v>
      </c>
      <c r="BA18" s="84">
        <v>1</v>
      </c>
      <c r="BB18" s="86">
        <v>3</v>
      </c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3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1</v>
      </c>
      <c r="G19" s="22">
        <v>1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-598</v>
      </c>
      <c r="AI19" s="47">
        <f>MIN(AI14:AI17)</f>
        <v>-6</v>
      </c>
      <c r="AY19" s="125"/>
      <c r="AZ19" s="28" t="str">
        <f>AO39</f>
        <v>Croatia</v>
      </c>
      <c r="BA19" s="85">
        <v>1</v>
      </c>
      <c r="BB19" s="87">
        <v>2</v>
      </c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3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1</v>
      </c>
      <c r="G20" s="22">
        <v>2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Uruguay_lose</v>
      </c>
      <c r="T20" s="88" t="str">
        <f t="shared" si="4"/>
        <v>Korea Republic_win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-1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7</v>
      </c>
      <c r="AG20" s="47">
        <f>SUMIF($E$7:$E$54,$AB20,$G$7:$G$54) + SUMIF($H$7:$H$54,$AB20,$F$7:$F$54)</f>
        <v>1</v>
      </c>
      <c r="AH20" s="47">
        <f>(AF20-AG20)*100+AK20*10000+AF20</f>
        <v>90607</v>
      </c>
      <c r="AI20" s="47">
        <f>AF20-AG20</f>
        <v>6</v>
      </c>
      <c r="AJ20" s="47">
        <f>(AI20-AI25)/AI24</f>
        <v>0.90909090909090906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1102.5766400757577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24">
        <v>58</v>
      </c>
      <c r="BG20" s="26" t="str">
        <f>T62</f>
        <v>Spain</v>
      </c>
      <c r="BH20" s="84">
        <v>1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3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1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7 - 1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1</v>
      </c>
      <c r="AE21" s="47">
        <f>COUNTIF($S$7:$T$54,"=" &amp; AB21 &amp; "_lose")</f>
        <v>2</v>
      </c>
      <c r="AF21" s="47">
        <f>SUMIF($E$7:$E$54,$AB21,$F$7:$F$54) + SUMIF($H$7:$H$54,$AB21,$G$7:$G$54)</f>
        <v>2</v>
      </c>
      <c r="AG21" s="47">
        <f>SUMIF($E$7:$E$54,$AB21,$G$7:$G$54) + SUMIF($H$7:$H$54,$AB21,$F$7:$F$54)</f>
        <v>6</v>
      </c>
      <c r="AH21" s="47">
        <f>(AF21-AG21)*100+AK21*10000+AF21</f>
        <v>9602</v>
      </c>
      <c r="AI21" s="47">
        <f>AF21-AG21</f>
        <v>-4</v>
      </c>
      <c r="AJ21" s="47">
        <f>(AI21-AI25)/AI24</f>
        <v>0</v>
      </c>
      <c r="AK21" s="47">
        <f>AC21*3+AD21</f>
        <v>1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114.44516694444444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25"/>
      <c r="BG21" s="28" t="str">
        <f>T63</f>
        <v>Brazil</v>
      </c>
      <c r="BH21" s="85">
        <v>3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3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2</v>
      </c>
      <c r="G22" s="22">
        <v>0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2 - 3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0</v>
      </c>
      <c r="AD22" s="47">
        <f>COUNTIF($S$7:$T$54,"=" &amp; AB22 &amp; "_draw")</f>
        <v>2</v>
      </c>
      <c r="AE22" s="47">
        <f>COUNTIF($S$7:$T$54,"=" &amp; AB22 &amp; "_lose")</f>
        <v>1</v>
      </c>
      <c r="AF22" s="47">
        <f>SUMIF($E$7:$E$54,$AB22,$F$7:$F$54) + SUMIF($H$7:$H$54,$AB22,$G$7:$G$54)</f>
        <v>4</v>
      </c>
      <c r="AG22" s="47">
        <f>SUMIF($E$7:$E$54,$AB22,$G$7:$G$54) + SUMIF($H$7:$H$54,$AB22,$F$7:$F$54)</f>
        <v>5</v>
      </c>
      <c r="AH22" s="47">
        <f>(AF22-AG22)*100+AK22*10000+AF22</f>
        <v>19904</v>
      </c>
      <c r="AI22" s="47">
        <f>AF22-AG22</f>
        <v>-1</v>
      </c>
      <c r="AJ22" s="47">
        <f>(AI22-AI25)/AI24</f>
        <v>0.27272727272727271</v>
      </c>
      <c r="AK22" s="47">
        <f>AC22*3+AD22</f>
        <v>2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256.16244557161616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24">
        <v>54</v>
      </c>
      <c r="AZ22" s="26" t="str">
        <f>AO44</f>
        <v>Brazil</v>
      </c>
      <c r="BA22" s="84">
        <v>4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3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3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0</v>
      </c>
      <c r="M23" s="25">
        <f>VLOOKUP(3,AA20:AK23,4,FALSE)</f>
        <v>2</v>
      </c>
      <c r="N23" s="25">
        <f>VLOOKUP(3,AA20:AK23,5,FALSE)</f>
        <v>1</v>
      </c>
      <c r="O23" s="25" t="str">
        <f>VLOOKUP(3,AA20:AK23,6,FALSE) &amp; " - " &amp; VLOOKUP(3,AA20:AK23,7,FALSE)</f>
        <v>4 - 5</v>
      </c>
      <c r="P23" s="54">
        <f>L23*3+M23</f>
        <v>2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2</v>
      </c>
      <c r="AG23" s="47">
        <f>SUMIF($E$7:$E$54,$AB23,$G$7:$G$54) + SUMIF($H$7:$H$54,$AB23,$F$7:$F$54)</f>
        <v>3</v>
      </c>
      <c r="AH23" s="47">
        <f>(AF23-AG23)*100+AK23*10000+AF23</f>
        <v>39902</v>
      </c>
      <c r="AI23" s="47">
        <f>AF23-AG23</f>
        <v>-1</v>
      </c>
      <c r="AJ23" s="47">
        <f>(AI23-AI25)/AI24</f>
        <v>0.27272727272727271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475.05127705050501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25"/>
      <c r="AZ23" s="28" t="str">
        <f>AO51</f>
        <v>Uruguay</v>
      </c>
      <c r="BA23" s="85">
        <v>1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24">
        <v>64</v>
      </c>
      <c r="BU23" s="26" t="str">
        <f>T76</f>
        <v>Argentina</v>
      </c>
      <c r="BV23" s="84">
        <v>2</v>
      </c>
      <c r="BW23" s="86">
        <v>3</v>
      </c>
      <c r="BX23" s="27"/>
    </row>
    <row r="24" spans="1:76" ht="15" customHeight="1" x14ac:dyDescent="0.3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1</v>
      </c>
      <c r="G24" s="22">
        <v>3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1</v>
      </c>
      <c r="N24" s="56">
        <f>VLOOKUP(4,AA20:AK23,5,FALSE)</f>
        <v>2</v>
      </c>
      <c r="O24" s="56" t="str">
        <f>VLOOKUP(4,AA20:AK23,6,FALSE) &amp; " - " &amp; VLOOKUP(4,AA20:AK23,7,FALSE)</f>
        <v>2 - 6</v>
      </c>
      <c r="P24" s="57">
        <f>L24*3+M24</f>
        <v>1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3</v>
      </c>
      <c r="AE24" s="47">
        <f t="shared" si="12"/>
        <v>3</v>
      </c>
      <c r="AF24" s="47">
        <f t="shared" si="12"/>
        <v>6</v>
      </c>
      <c r="AG24" s="47">
        <f t="shared" si="12"/>
        <v>6</v>
      </c>
      <c r="AH24" s="47">
        <f>MAX(AH20:AH23)-AH25+1</f>
        <v>81006</v>
      </c>
      <c r="AI24" s="47">
        <f>MAX(AI20:AI23)-AI25+1</f>
        <v>11</v>
      </c>
      <c r="AK24" s="47">
        <f t="shared" si="12"/>
        <v>9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25"/>
      <c r="BU24" s="28" t="str">
        <f>T77</f>
        <v>Portugal</v>
      </c>
      <c r="BV24" s="85">
        <v>2</v>
      </c>
      <c r="BW24" s="87">
        <v>2</v>
      </c>
      <c r="BX24" s="30"/>
    </row>
    <row r="25" spans="1:76" ht="15" customHeight="1" x14ac:dyDescent="0.3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2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9602</v>
      </c>
      <c r="AI25" s="47">
        <f>MIN(AI20:AI23)</f>
        <v>-4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3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3</v>
      </c>
      <c r="G26" s="22">
        <v>2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1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1</v>
      </c>
      <c r="AE26" s="47">
        <f>COUNTIF($S$7:$T$54,"=" &amp; AB26 &amp; "_lose")</f>
        <v>0</v>
      </c>
      <c r="AF26" s="47">
        <f>SUMIF($E$7:$E$54,$AB26,$F$7:$F$54) + SUMIF($H$7:$H$54,$AB26,$G$7:$G$54)</f>
        <v>11</v>
      </c>
      <c r="AG26" s="47">
        <f>SUMIF($E$7:$E$54,$AB26,$G$7:$G$54) + SUMIF($H$7:$H$54,$AB26,$F$7:$F$54)</f>
        <v>3</v>
      </c>
      <c r="AH26" s="47">
        <f>(AF26-AG26)*100+AK26*10000+AF26</f>
        <v>70811</v>
      </c>
      <c r="AI26" s="47">
        <f>AF26-AG26</f>
        <v>8</v>
      </c>
      <c r="AJ26" s="47">
        <f>(AI26-AI31)/AI30</f>
        <v>0.93333333333333335</v>
      </c>
      <c r="AK26" s="47">
        <f>AC26*3+AD26</f>
        <v>7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1104.3342283333332</v>
      </c>
      <c r="AO26" s="48" t="str">
        <f>IF(SUM(AC26:AE29)=12,J27,INDEX(T,76,lang))</f>
        <v>France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24">
        <v>51</v>
      </c>
      <c r="AZ26" s="26" t="str">
        <f>AO14</f>
        <v>England</v>
      </c>
      <c r="BA26" s="84">
        <v>1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3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1</v>
      </c>
      <c r="G27" s="22">
        <v>1</v>
      </c>
      <c r="H27" s="90" t="str">
        <f>AB27</f>
        <v>Australia</v>
      </c>
      <c r="J27" s="50" t="str">
        <f>VLOOKUP(1,AA26:AK29,2,FALSE)</f>
        <v>France</v>
      </c>
      <c r="K27" s="51">
        <f>L27+M27+N27</f>
        <v>3</v>
      </c>
      <c r="L27" s="51">
        <f>VLOOKUP(1,AA26:AK29,3,FALSE)</f>
        <v>2</v>
      </c>
      <c r="M27" s="51">
        <f>VLOOKUP(1,AA26:AK29,4,FALSE)</f>
        <v>1</v>
      </c>
      <c r="N27" s="51">
        <f>VLOOKUP(1,AA26:AK29,5,FALSE)</f>
        <v>0</v>
      </c>
      <c r="O27" s="51" t="str">
        <f>VLOOKUP(1,AA26:AK29,6,FALSE) &amp; " - " &amp; VLOOKUP(1,AA26:AK29,7,FALSE)</f>
        <v>11 - 3</v>
      </c>
      <c r="P27" s="52">
        <f>L27*3+M27</f>
        <v>7</v>
      </c>
      <c r="R27" s="47">
        <f>DATE(2022,11,25)+TIME(23,0,0)+gmt_delta</f>
        <v>44891.541666666672</v>
      </c>
      <c r="S27" s="88" t="str">
        <f t="shared" si="3"/>
        <v>Tunisia_draw</v>
      </c>
      <c r="T27" s="88" t="str">
        <f t="shared" si="4"/>
        <v>Australia_draw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0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0</v>
      </c>
      <c r="AD27" s="47">
        <f>COUNTIF($S$7:$T$54,"=" &amp; AB27 &amp; "_draw")</f>
        <v>1</v>
      </c>
      <c r="AE27" s="47">
        <f>COUNTIF($S$7:$T$54,"=" &amp; AB27 &amp; "_lose")</f>
        <v>2</v>
      </c>
      <c r="AF27" s="47">
        <f>SUMIF($E$7:$E$54,$AB27,$F$7:$F$54) + SUMIF($H$7:$H$54,$AB27,$G$7:$G$54)</f>
        <v>3</v>
      </c>
      <c r="AG27" s="47">
        <f>SUMIF($E$7:$E$54,$AB27,$G$7:$G$54) + SUMIF($H$7:$H$54,$AB27,$F$7:$F$54)</f>
        <v>8</v>
      </c>
      <c r="AH27" s="47">
        <f>(AF27-AG27)*100+AK27*10000+AF27</f>
        <v>9503</v>
      </c>
      <c r="AI27" s="47">
        <f>AF27-AG27</f>
        <v>-5</v>
      </c>
      <c r="AJ27" s="47">
        <f>(AI27-AI31)/AI30</f>
        <v>6.6666666666666666E-2</v>
      </c>
      <c r="AK27" s="47">
        <f>AC27*3+AD27</f>
        <v>1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152.52455138880953</v>
      </c>
      <c r="AO27" s="48" t="str">
        <f>IF(SUM(AC26:AE29)=12,J28,INDEX(T,77,lang))</f>
        <v>Denmark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25"/>
      <c r="AZ27" s="28" t="str">
        <f>AO9</f>
        <v>Senegal</v>
      </c>
      <c r="BA27" s="85">
        <v>0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3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1</v>
      </c>
      <c r="G28" s="22">
        <v>0</v>
      </c>
      <c r="H28" s="90" t="str">
        <f>AB21</f>
        <v>Saudi Arabia</v>
      </c>
      <c r="J28" s="53" t="str">
        <f>VLOOKUP(2,AA26:AK29,2,FALSE)</f>
        <v>Denmark</v>
      </c>
      <c r="K28" s="25">
        <f>L28+M28+N28</f>
        <v>3</v>
      </c>
      <c r="L28" s="25">
        <f>VLOOKUP(2,AA26:AK29,3,FALSE)</f>
        <v>2</v>
      </c>
      <c r="M28" s="25">
        <f>VLOOKUP(2,AA26:AK29,4,FALSE)</f>
        <v>1</v>
      </c>
      <c r="N28" s="25">
        <f>VLOOKUP(2,AA26:AK29,5,FALSE)</f>
        <v>0</v>
      </c>
      <c r="O28" s="25" t="str">
        <f>VLOOKUP(2,AA26:AK29,6,FALSE) &amp; " - " &amp; VLOOKUP(2,AA26:AK29,7,FALSE)</f>
        <v>7 - 4</v>
      </c>
      <c r="P28" s="54">
        <f>L28*3+M28</f>
        <v>7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2</v>
      </c>
      <c r="AB28" s="48" t="str">
        <f>VLOOKUP("Denmark",T,lang,FALSE)</f>
        <v>Denmark</v>
      </c>
      <c r="AC28" s="47">
        <f>COUNTIF($S$7:$T$54,"=" &amp; AB28 &amp; "_win")</f>
        <v>2</v>
      </c>
      <c r="AD28" s="47">
        <f>COUNTIF($S$7:$T$54,"=" &amp; AB28 &amp; "_draw")</f>
        <v>1</v>
      </c>
      <c r="AE28" s="47">
        <f>COUNTIF($S$7:$T$54,"=" &amp; AB28 &amp; "_lose")</f>
        <v>0</v>
      </c>
      <c r="AF28" s="47">
        <f>SUMIF($E$7:$E$54,$AB28,$F$7:$F$54) + SUMIF($H$7:$H$54,$AB28,$G$7:$G$54)</f>
        <v>7</v>
      </c>
      <c r="AG28" s="47">
        <f>SUMIF($E$7:$E$54,$AB28,$G$7:$G$54) + SUMIF($H$7:$H$54,$AB28,$F$7:$F$54)</f>
        <v>4</v>
      </c>
      <c r="AH28" s="47">
        <f>(AF28-AG28)*100+AK28*10000+AF28</f>
        <v>70307</v>
      </c>
      <c r="AI28" s="47">
        <f>AF28-AG28</f>
        <v>3</v>
      </c>
      <c r="AJ28" s="47">
        <f>(AI28-AI31)/AI30</f>
        <v>0.6</v>
      </c>
      <c r="AK28" s="47">
        <f>AC28*3+AD28</f>
        <v>7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1067.0008267999999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24">
        <v>59</v>
      </c>
      <c r="BG28" s="26" t="str">
        <f>T60</f>
        <v>England</v>
      </c>
      <c r="BH28" s="84">
        <v>0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3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2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0</v>
      </c>
      <c r="M29" s="25">
        <f>VLOOKUP(3,AA26:AK29,4,FALSE)</f>
        <v>1</v>
      </c>
      <c r="N29" s="25">
        <f>VLOOKUP(3,AA26:AK29,5,FALSE)</f>
        <v>2</v>
      </c>
      <c r="O29" s="25" t="str">
        <f>VLOOKUP(3,AA26:AK29,6,FALSE) &amp; " - " &amp; VLOOKUP(3,AA26:AK29,7,FALSE)</f>
        <v>3 - 8</v>
      </c>
      <c r="P29" s="54">
        <f>L29*3+M29</f>
        <v>1</v>
      </c>
      <c r="R29" s="47">
        <f>DATE(2022,11,26)+TIME(5,0,0)+gmt_delta</f>
        <v>44891.791666666672</v>
      </c>
      <c r="S29" s="88" t="str">
        <f t="shared" si="3"/>
        <v>France_draw</v>
      </c>
      <c r="T29" s="88" t="str">
        <f t="shared" si="4"/>
        <v>Denmark_draw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0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1</v>
      </c>
      <c r="AE29" s="47">
        <f>COUNTIF($S$7:$T$54,"=" &amp; AB29 &amp; "_lose")</f>
        <v>2</v>
      </c>
      <c r="AF29" s="47">
        <f>SUMIF($E$7:$E$54,$AB29,$F$7:$F$54) + SUMIF($H$7:$H$54,$AB29,$G$7:$G$54)</f>
        <v>2</v>
      </c>
      <c r="AG29" s="47">
        <f>SUMIF($E$7:$E$54,$AB29,$G$7:$G$54) + SUMIF($H$7:$H$54,$AB29,$F$7:$F$54)</f>
        <v>8</v>
      </c>
      <c r="AH29" s="47">
        <f>(AF29-AG29)*100+AK29*10000+AF29</f>
        <v>9402</v>
      </c>
      <c r="AI29" s="47">
        <f>AF29-AG29</f>
        <v>-6</v>
      </c>
      <c r="AJ29" s="47">
        <f>(AI29-AI31)/AI30</f>
        <v>0</v>
      </c>
      <c r="AK29" s="47">
        <f>AC29*3+AD29</f>
        <v>1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144.85789275714285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25"/>
      <c r="BG29" s="28" t="str">
        <f>T61</f>
        <v>France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3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1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1</v>
      </c>
      <c r="N30" s="56">
        <f>VLOOKUP(4,AA26:AK29,5,FALSE)</f>
        <v>2</v>
      </c>
      <c r="O30" s="56" t="str">
        <f>VLOOKUP(4,AA26:AK29,6,FALSE) &amp; " - " &amp; VLOOKUP(4,AA26:AK29,7,FALSE)</f>
        <v>2 - 8</v>
      </c>
      <c r="P30" s="57">
        <f>L30*3+M30</f>
        <v>1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3</v>
      </c>
      <c r="AD30" s="47">
        <f t="shared" si="13"/>
        <v>1</v>
      </c>
      <c r="AE30" s="47">
        <f t="shared" si="13"/>
        <v>3</v>
      </c>
      <c r="AF30" s="47">
        <f t="shared" si="13"/>
        <v>10</v>
      </c>
      <c r="AG30" s="47">
        <f t="shared" si="13"/>
        <v>6</v>
      </c>
      <c r="AH30" s="47">
        <f>MAX(AH26:AH29)-AH31+1</f>
        <v>61410</v>
      </c>
      <c r="AI30" s="47">
        <f>MAX(AI26:AI29)-AI31+1</f>
        <v>15</v>
      </c>
      <c r="AK30" s="47">
        <f t="shared" si="13"/>
        <v>7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24">
        <v>52</v>
      </c>
      <c r="AZ30" s="26" t="str">
        <f>AO26</f>
        <v>France</v>
      </c>
      <c r="BA30" s="84">
        <v>3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3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2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Japan_win</v>
      </c>
      <c r="T31" s="88" t="str">
        <f t="shared" si="4"/>
        <v>Costa Rica_lose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1</v>
      </c>
      <c r="AH31" s="47">
        <f>MIN(AH26:AH29)</f>
        <v>9402</v>
      </c>
      <c r="AI31" s="47">
        <f>MIN(AI26:AI29)</f>
        <v>-6</v>
      </c>
      <c r="AY31" s="125"/>
      <c r="AZ31" s="28" t="str">
        <f>AO21</f>
        <v>Poland</v>
      </c>
      <c r="BA31" s="85">
        <v>1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26" t="str">
        <f>INDEX(T,7,lang)</f>
        <v>Third-Place Play-Off</v>
      </c>
      <c r="BU31" s="127"/>
      <c r="BV31" s="127"/>
      <c r="BW31" s="127"/>
      <c r="BX31" s="128"/>
    </row>
    <row r="32" spans="1:76" ht="15" customHeight="1" x14ac:dyDescent="0.3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3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1</v>
      </c>
      <c r="AB32" s="48" t="str">
        <f>VLOOKUP("Spain",T,lang,FALSE)</f>
        <v>Spain</v>
      </c>
      <c r="AC32" s="47">
        <f>COUNTIF($S$7:$T$54,"=" &amp; AB32 &amp; "_win")</f>
        <v>3</v>
      </c>
      <c r="AD32" s="47">
        <f>COUNTIF($S$7:$T$54,"=" &amp; AB32 &amp; "_draw")</f>
        <v>0</v>
      </c>
      <c r="AE32" s="47">
        <f>COUNTIF($S$7:$T$54,"=" &amp; AB32 &amp; "_lose")</f>
        <v>0</v>
      </c>
      <c r="AF32" s="47">
        <f>SUMIF($E$7:$E$54,$AB32,$F$7:$F$54) + SUMIF($H$7:$H$54,$AB32,$G$7:$G$54)</f>
        <v>10</v>
      </c>
      <c r="AG32" s="47">
        <f>SUMIF($E$7:$E$54,$AB32,$G$7:$G$54) + SUMIF($H$7:$H$54,$AB32,$F$7:$F$54)</f>
        <v>4</v>
      </c>
      <c r="AH32" s="47">
        <f>(AF32-AG32)*100+AK32*10000+AF32</f>
        <v>90610</v>
      </c>
      <c r="AI32" s="47">
        <f>AF32-AG32</f>
        <v>6</v>
      </c>
      <c r="AJ32" s="47">
        <f>(AI32-AI37)/AI36</f>
        <v>0.92307692307692313</v>
      </c>
      <c r="AK32" s="47">
        <f>AC32*3+AD32</f>
        <v>9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1002.3085468076922</v>
      </c>
      <c r="AO32" s="48" t="str">
        <f>IF(SUM(AC32:AE35)=12,J33,INDEX(T,78,lang))</f>
        <v>Spain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24">
        <v>62</v>
      </c>
      <c r="BN32" s="26" t="str">
        <f>T71</f>
        <v>France</v>
      </c>
      <c r="BO32" s="84">
        <v>1</v>
      </c>
      <c r="BP32" s="86"/>
      <c r="BQ32" s="27"/>
      <c r="BR32" s="35"/>
      <c r="BS32" s="23"/>
      <c r="BT32" s="129"/>
      <c r="BU32" s="130"/>
      <c r="BV32" s="130"/>
      <c r="BW32" s="130"/>
      <c r="BX32" s="131"/>
    </row>
    <row r="33" spans="1:76" ht="15" customHeight="1" x14ac:dyDescent="0.3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Spain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10 - 4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4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0</v>
      </c>
      <c r="AE33" s="47">
        <f>COUNTIF($S$7:$T$54,"=" &amp; AB33 &amp; "_lose")</f>
        <v>3</v>
      </c>
      <c r="AF33" s="47">
        <f>SUMIF($E$7:$E$54,$AB33,$F$7:$F$54) + SUMIF($H$7:$H$54,$AB33,$G$7:$G$54)</f>
        <v>1</v>
      </c>
      <c r="AG33" s="47">
        <f>SUMIF($E$7:$E$54,$AB33,$G$7:$G$54) + SUMIF($H$7:$H$54,$AB33,$F$7:$F$54)</f>
        <v>7</v>
      </c>
      <c r="AH33" s="47">
        <f>(AF33-AG33)*100+AK33*10000+AF33</f>
        <v>-599</v>
      </c>
      <c r="AI33" s="47">
        <f>AF33-AG33</f>
        <v>-6</v>
      </c>
      <c r="AJ33" s="47">
        <f>(AI33-AI37)/AI36</f>
        <v>0</v>
      </c>
      <c r="AK33" s="47">
        <f>AC33*3+AD33</f>
        <v>0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1.0007500300000001</v>
      </c>
      <c r="AO33" s="48" t="str">
        <f>IF(SUM(AC32:AE35)=12,J34,INDEX(T,79,lang))</f>
        <v>Germany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25"/>
      <c r="BN33" s="28" t="str">
        <f>T72</f>
        <v>Portugal</v>
      </c>
      <c r="BO33" s="85">
        <v>2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3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3</v>
      </c>
      <c r="G34" s="22">
        <v>2</v>
      </c>
      <c r="H34" s="90" t="str">
        <f>AB34</f>
        <v>Germany</v>
      </c>
      <c r="J34" s="53" t="str">
        <f>VLOOKUP(2,AA32:AK35,2,FALSE)</f>
        <v>Germany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6 - 3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Spain_win</v>
      </c>
      <c r="T34" s="88" t="str">
        <f t="shared" si="4"/>
        <v>Germany_lose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1</v>
      </c>
      <c r="AA34" s="47">
        <f>COUNTIF(AN32:AN35,CONCATENATE("&gt;=",AN34))</f>
        <v>2</v>
      </c>
      <c r="AB34" s="48" t="str">
        <f>VLOOKUP("Germany",T,lang,FALSE)</f>
        <v>Germany</v>
      </c>
      <c r="AC34" s="47">
        <f>COUNTIF($S$7:$T$54,"=" &amp; AB34 &amp; "_win")</f>
        <v>2</v>
      </c>
      <c r="AD34" s="47">
        <f>COUNTIF($S$7:$T$54,"=" &amp; AB34 &amp; "_draw")</f>
        <v>0</v>
      </c>
      <c r="AE34" s="47">
        <f>COUNTIF($S$7:$T$54,"=" &amp; AB34 &amp; "_lose")</f>
        <v>1</v>
      </c>
      <c r="AF34" s="47">
        <f>SUMIF($E$7:$E$54,$AB34,$F$7:$F$54) + SUMIF($H$7:$H$54,$AB34,$G$7:$G$54)</f>
        <v>6</v>
      </c>
      <c r="AG34" s="47">
        <f>SUMIF($E$7:$E$54,$AB34,$G$7:$G$54) + SUMIF($H$7:$H$54,$AB34,$F$7:$F$54)</f>
        <v>3</v>
      </c>
      <c r="AH34" s="47">
        <f>(AF34-AG34)*100+AK34*10000+AF34</f>
        <v>60306</v>
      </c>
      <c r="AI34" s="47">
        <f>AF34-AG34</f>
        <v>3</v>
      </c>
      <c r="AJ34" s="47">
        <f>(AI34-AI37)/AI36</f>
        <v>0.69230769230769229</v>
      </c>
      <c r="AK34" s="47">
        <f>AC34*3+AD34</f>
        <v>6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675.23159449576929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24">
        <v>55</v>
      </c>
      <c r="AZ34" s="26" t="str">
        <f>AO38</f>
        <v>Belgium</v>
      </c>
      <c r="BA34" s="84">
        <v>1</v>
      </c>
      <c r="BB34" s="86"/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3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1</v>
      </c>
      <c r="G35" s="22">
        <v>2</v>
      </c>
      <c r="H35" s="90" t="str">
        <f>AB45</f>
        <v>Serbia</v>
      </c>
      <c r="J35" s="53" t="str">
        <f>VLOOKUP(3,AA32:AK35,2,FALSE)</f>
        <v>Japan</v>
      </c>
      <c r="K35" s="25">
        <f>L35+M35+N35</f>
        <v>3</v>
      </c>
      <c r="L35" s="25">
        <f>VLOOKUP(3,AA32:AK35,3,FALSE)</f>
        <v>1</v>
      </c>
      <c r="M35" s="25">
        <f>VLOOKUP(3,AA32:AK35,4,FALSE)</f>
        <v>0</v>
      </c>
      <c r="N35" s="25">
        <f>VLOOKUP(3,AA32:AK35,5,FALSE)</f>
        <v>2</v>
      </c>
      <c r="O35" s="25" t="str">
        <f>VLOOKUP(3,AA32:AK35,6,FALSE) &amp; " - " &amp; VLOOKUP(3,AA32:AK35,7,FALSE)</f>
        <v>4 - 7</v>
      </c>
      <c r="P35" s="54">
        <f>L35*3+M35</f>
        <v>3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3</v>
      </c>
      <c r="AB35" s="48" t="str">
        <f>VLOOKUP("Japan",T,lang,FALSE)</f>
        <v>Japan</v>
      </c>
      <c r="AC35" s="47">
        <f>COUNTIF($S$7:$T$54,"=" &amp; AB35 &amp; "_win")</f>
        <v>1</v>
      </c>
      <c r="AD35" s="47">
        <f>COUNTIF($S$7:$T$54,"=" &amp; AB35 &amp; "_draw")</f>
        <v>0</v>
      </c>
      <c r="AE35" s="47">
        <f>COUNTIF($S$7:$T$54,"=" &amp; AB35 &amp; "_lose")</f>
        <v>2</v>
      </c>
      <c r="AF35" s="47">
        <f>SUMIF($E$7:$E$54,$AB35,$F$7:$F$54) + SUMIF($H$7:$H$54,$AB35,$G$7:$G$54)</f>
        <v>4</v>
      </c>
      <c r="AG35" s="47">
        <f>SUMIF($E$7:$E$54,$AB35,$G$7:$G$54) + SUMIF($H$7:$H$54,$AB35,$F$7:$F$54)</f>
        <v>7</v>
      </c>
      <c r="AH35" s="47">
        <f>(AF35-AG35)*100+AK35*10000+AF35</f>
        <v>29704</v>
      </c>
      <c r="AI35" s="47">
        <f>AF35-AG35</f>
        <v>-3</v>
      </c>
      <c r="AJ35" s="47">
        <f>(AI35-AI37)/AI36</f>
        <v>0.23076923076923078</v>
      </c>
      <c r="AK35" s="47">
        <f>AC35*3+AD35</f>
        <v>3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327.07769979692307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25"/>
      <c r="AZ35" s="28" t="str">
        <f>AO33</f>
        <v>Germany</v>
      </c>
      <c r="BA35" s="85">
        <v>2</v>
      </c>
      <c r="BB35" s="87"/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24">
        <v>63</v>
      </c>
      <c r="BU35" s="26" t="str">
        <f>Z76</f>
        <v>Brazil</v>
      </c>
      <c r="BV35" s="84">
        <v>2</v>
      </c>
      <c r="BW35" s="86"/>
      <c r="BX35" s="27"/>
    </row>
    <row r="36" spans="1:76" ht="15" customHeight="1" x14ac:dyDescent="0.3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2</v>
      </c>
      <c r="H36" s="90" t="str">
        <f>AB51</f>
        <v>Ghana</v>
      </c>
      <c r="J36" s="55" t="str">
        <f>VLOOKUP(4,AA32:AK35,2,FALSE)</f>
        <v>Costa Rica</v>
      </c>
      <c r="K36" s="56">
        <f>L36+M36+N36</f>
        <v>3</v>
      </c>
      <c r="L36" s="56">
        <f>VLOOKUP(4,AA32:AK35,3,FALSE)</f>
        <v>0</v>
      </c>
      <c r="M36" s="56">
        <f>VLOOKUP(4,AA32:AK35,4,FALSE)</f>
        <v>0</v>
      </c>
      <c r="N36" s="56">
        <f>VLOOKUP(4,AA32:AK35,5,FALSE)</f>
        <v>3</v>
      </c>
      <c r="O36" s="56" t="str">
        <f>VLOOKUP(4,AA32:AK35,6,FALSE) &amp; " - " &amp; VLOOKUP(4,AA32:AK35,7,FALSE)</f>
        <v>1 - 7</v>
      </c>
      <c r="P36" s="57">
        <f>L36*3+M36</f>
        <v>0</v>
      </c>
      <c r="R36" s="47">
        <f>DATE(2022,11,28)+TIME(2,0,0)+gmt_delta</f>
        <v>44893.666666666672</v>
      </c>
      <c r="S36" s="88" t="str">
        <f t="shared" si="3"/>
        <v>Korea Republic_lose</v>
      </c>
      <c r="T36" s="88" t="str">
        <f t="shared" si="4"/>
        <v>Ghana_win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-1</v>
      </c>
      <c r="AC36" s="47">
        <f t="shared" ref="AC36:AL36" si="14">MAX(AC32:AC35)-MIN(AC32:AC35)+1</f>
        <v>4</v>
      </c>
      <c r="AD36" s="47">
        <f t="shared" si="14"/>
        <v>1</v>
      </c>
      <c r="AE36" s="47">
        <f t="shared" si="14"/>
        <v>4</v>
      </c>
      <c r="AF36" s="47">
        <f t="shared" si="14"/>
        <v>10</v>
      </c>
      <c r="AG36" s="47">
        <f t="shared" si="14"/>
        <v>5</v>
      </c>
      <c r="AH36" s="47">
        <f>MAX(AH32:AH35)-AH37+1</f>
        <v>91210</v>
      </c>
      <c r="AI36" s="47">
        <f>MAX(AI32:AI35)-AI37+1</f>
        <v>13</v>
      </c>
      <c r="AK36" s="47">
        <f t="shared" si="14"/>
        <v>10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24">
        <v>60</v>
      </c>
      <c r="BG36" s="26" t="str">
        <f>T64</f>
        <v>Germany</v>
      </c>
      <c r="BH36" s="84">
        <v>1</v>
      </c>
      <c r="BI36" s="86">
        <v>3</v>
      </c>
      <c r="BJ36" s="27">
        <v>3</v>
      </c>
      <c r="BK36" s="35"/>
      <c r="BL36" s="23"/>
      <c r="BM36" s="23"/>
      <c r="BN36" s="23"/>
      <c r="BO36" s="23"/>
      <c r="BP36" s="23"/>
      <c r="BQ36" s="23"/>
      <c r="BR36" s="23"/>
      <c r="BS36" s="23"/>
      <c r="BT36" s="125"/>
      <c r="BU36" s="28" t="str">
        <f>Z77</f>
        <v>France</v>
      </c>
      <c r="BV36" s="85">
        <v>1</v>
      </c>
      <c r="BW36" s="87"/>
      <c r="BX36" s="30"/>
    </row>
    <row r="37" spans="1:76" ht="15" customHeight="1" x14ac:dyDescent="0.3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1</v>
      </c>
      <c r="G37" s="22">
        <v>0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-599</v>
      </c>
      <c r="AI37" s="47">
        <f>MIN(AI32:AI35)</f>
        <v>-6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25"/>
      <c r="BG37" s="28" t="str">
        <f>T65</f>
        <v>Portugal</v>
      </c>
      <c r="BH37" s="85">
        <v>1</v>
      </c>
      <c r="BI37" s="87">
        <v>3</v>
      </c>
      <c r="BJ37" s="30">
        <v>4</v>
      </c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3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1</v>
      </c>
      <c r="AB38" s="48" t="str">
        <f>VLOOKUP("Belgium",T,lang,FALSE)</f>
        <v>Belgium</v>
      </c>
      <c r="AC38" s="47">
        <f>COUNTIF($S$7:$T$54,"=" &amp; AB38 &amp; "_win")</f>
        <v>3</v>
      </c>
      <c r="AD38" s="47">
        <f>COUNTIF($S$7:$T$54,"=" &amp; AB38 &amp; "_draw")</f>
        <v>0</v>
      </c>
      <c r="AE38" s="47">
        <f>COUNTIF($S$7:$T$54,"=" &amp; AB38 &amp; "_lose")</f>
        <v>0</v>
      </c>
      <c r="AF38" s="47">
        <f>SUMIF($E$7:$E$54,$AB38,$F$7:$F$54) + SUMIF($H$7:$H$54,$AB38,$G$7:$G$54)</f>
        <v>9</v>
      </c>
      <c r="AG38" s="47">
        <f>SUMIF($E$7:$E$54,$AB38,$G$7:$G$54) + SUMIF($H$7:$H$54,$AB38,$F$7:$F$54)</f>
        <v>3</v>
      </c>
      <c r="AH38" s="47">
        <f>(AF38-AG38)*100+AK38*10000+AF38</f>
        <v>90609</v>
      </c>
      <c r="AI38" s="47">
        <f>AF38-AG38</f>
        <v>6</v>
      </c>
      <c r="AJ38" s="47">
        <f>(AI38-AI43)/AI42</f>
        <v>0.91666666666666663</v>
      </c>
      <c r="AK38" s="47">
        <f>AC38*3+AD38</f>
        <v>9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1104.5247230238097</v>
      </c>
      <c r="AO38" s="48" t="str">
        <f>IF(SUM(AC38:AE41)=12,J39,INDEX(T,80,lang))</f>
        <v>Belgium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24">
        <v>56</v>
      </c>
      <c r="AZ38" s="26" t="str">
        <f>AO50</f>
        <v>Portugal</v>
      </c>
      <c r="BA38" s="84">
        <v>1</v>
      </c>
      <c r="BB38" s="86">
        <v>2</v>
      </c>
      <c r="BC38" s="27">
        <v>5</v>
      </c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3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1</v>
      </c>
      <c r="H39" s="90" t="str">
        <f>AB8</f>
        <v>Senegal</v>
      </c>
      <c r="J39" s="50" t="str">
        <f>VLOOKUP(1,AA38:AK41,2,FALSE)</f>
        <v>Belgium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9 - 3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Ecuador_draw</v>
      </c>
      <c r="T39" s="88" t="str">
        <f t="shared" si="4"/>
        <v>Senegal_draw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0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1</v>
      </c>
      <c r="AE39" s="47">
        <f>COUNTIF($S$7:$T$54,"=" &amp; AB39 &amp; "_lose")</f>
        <v>2</v>
      </c>
      <c r="AF39" s="47">
        <f>SUMIF($E$7:$E$54,$AB39,$F$7:$F$54) + SUMIF($H$7:$H$54,$AB39,$G$7:$G$54)</f>
        <v>3</v>
      </c>
      <c r="AG39" s="47">
        <f>SUMIF($E$7:$E$54,$AB39,$G$7:$G$54) + SUMIF($H$7:$H$54,$AB39,$F$7:$F$54)</f>
        <v>8</v>
      </c>
      <c r="AH39" s="47">
        <f>(AF39-AG39)*100+AK39*10000+AF39</f>
        <v>9503</v>
      </c>
      <c r="AI39" s="47">
        <f>AF39-AG39</f>
        <v>-5</v>
      </c>
      <c r="AJ39" s="47">
        <f>(AI39-AI43)/AI42</f>
        <v>0</v>
      </c>
      <c r="AK39" s="47">
        <f>AC39*3+AD39</f>
        <v>1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115.3975648968254</v>
      </c>
      <c r="AO39" s="48" t="str">
        <f>IF(SUM(AC38:AE41)=12,J40,INDEX(T,81,lang))</f>
        <v>Croatia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25"/>
      <c r="AZ39" s="28" t="str">
        <f>AO45</f>
        <v>Switzerland</v>
      </c>
      <c r="BA39" s="85">
        <v>1</v>
      </c>
      <c r="BB39" s="87">
        <v>2</v>
      </c>
      <c r="BC39" s="30">
        <v>4</v>
      </c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5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0</v>
      </c>
      <c r="H40" s="90" t="str">
        <f>AB9</f>
        <v>Qatar</v>
      </c>
      <c r="J40" s="53" t="str">
        <f>VLOOKUP(2,AA38:AK41,2,FALSE)</f>
        <v>Croatia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4 - 2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0</v>
      </c>
      <c r="AD40" s="47">
        <f>COUNTIF($S$7:$T$54,"=" &amp; AB40 &amp; "_draw")</f>
        <v>1</v>
      </c>
      <c r="AE40" s="47">
        <f>COUNTIF($S$7:$T$54,"=" &amp; AB40 &amp; "_lose")</f>
        <v>2</v>
      </c>
      <c r="AF40" s="47">
        <f>SUMIF($E$7:$E$54,$AB40,$F$7:$F$54) + SUMIF($H$7:$H$54,$AB40,$G$7:$G$54)</f>
        <v>3</v>
      </c>
      <c r="AG40" s="47">
        <f>SUMIF($E$7:$E$54,$AB40,$G$7:$G$54) + SUMIF($H$7:$H$54,$AB40,$F$7:$F$54)</f>
        <v>6</v>
      </c>
      <c r="AH40" s="47">
        <f>(AF40-AG40)*100+AK40*10000+AF40</f>
        <v>9703</v>
      </c>
      <c r="AI40" s="47">
        <f>AF40-AG40</f>
        <v>-3</v>
      </c>
      <c r="AJ40" s="47">
        <f>(AI40-AI43)/AI42</f>
        <v>0.16666666666666666</v>
      </c>
      <c r="AK40" s="47">
        <f>AC40*3+AD40</f>
        <v>1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132.06426800349206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3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0</v>
      </c>
      <c r="M41" s="25">
        <f>VLOOKUP(3,AA38:AK41,4,FALSE)</f>
        <v>1</v>
      </c>
      <c r="N41" s="25">
        <f>VLOOKUP(3,AA38:AK41,5,FALSE)</f>
        <v>2</v>
      </c>
      <c r="O41" s="25" t="str">
        <f>VLOOKUP(3,AA38:AK41,6,FALSE) &amp; " - " &amp; VLOOKUP(3,AA38:AK41,7,FALSE)</f>
        <v>3 - 6</v>
      </c>
      <c r="P41" s="54">
        <f>L41*3+M41</f>
        <v>1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2</v>
      </c>
      <c r="AB41" s="48" t="str">
        <f>VLOOKUP("Croatia",T,lang,FALSE)</f>
        <v>Croatia</v>
      </c>
      <c r="AC41" s="47">
        <f>COUNTIF($S$7:$T$54,"=" &amp; AB41 &amp; "_win")</f>
        <v>2</v>
      </c>
      <c r="AD41" s="47">
        <f>COUNTIF($S$7:$T$54,"=" &amp; AB41 &amp; "_draw")</f>
        <v>0</v>
      </c>
      <c r="AE41" s="47">
        <f>COUNTIF($S$7:$T$54,"=" &amp; AB41 &amp; "_lose")</f>
        <v>1</v>
      </c>
      <c r="AF41" s="47">
        <f>SUMIF($E$7:$E$54,$AB41,$F$7:$F$54) + SUMIF($H$7:$H$54,$AB41,$G$7:$G$54)</f>
        <v>4</v>
      </c>
      <c r="AG41" s="47">
        <f>SUMIF($E$7:$E$54,$AB41,$G$7:$G$54) + SUMIF($H$7:$H$54,$AB41,$F$7:$F$54)</f>
        <v>2</v>
      </c>
      <c r="AH41" s="47">
        <f>(AF41-AG41)*100+AK41*10000+AF41</f>
        <v>60204</v>
      </c>
      <c r="AI41" s="47">
        <f>AF41-AG41</f>
        <v>2</v>
      </c>
      <c r="AJ41" s="47">
        <f>(AI41-AI43)/AI42</f>
        <v>0.58333333333333337</v>
      </c>
      <c r="AK41" s="47">
        <f>AC41*3+AD41</f>
        <v>6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730.71509626928571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32" t="s">
        <v>2515</v>
      </c>
      <c r="AZ41" s="133"/>
      <c r="BA41" s="133"/>
      <c r="BB41" s="133"/>
      <c r="BC41" s="134"/>
      <c r="BL41" s="141" t="str">
        <f>INDEX(T,102,lang)</f>
        <v>World Champion 2022</v>
      </c>
      <c r="BM41" s="141"/>
      <c r="BN41" s="141"/>
      <c r="BO41" s="141"/>
      <c r="BP41" s="141"/>
      <c r="BQ41" s="141"/>
      <c r="BR41" s="143" t="str">
        <f>S85</f>
        <v>Argentina</v>
      </c>
      <c r="BS41" s="143"/>
      <c r="BT41" s="143"/>
      <c r="BU41" s="143"/>
      <c r="BV41" s="143"/>
      <c r="BW41" s="143"/>
      <c r="BX41" s="143"/>
    </row>
    <row r="42" spans="1:76" ht="15" customHeight="1" x14ac:dyDescent="0.3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1</v>
      </c>
      <c r="N42" s="56">
        <f>VLOOKUP(4,AA38:AK41,5,FALSE)</f>
        <v>2</v>
      </c>
      <c r="O42" s="56" t="str">
        <f>VLOOKUP(4,AA38:AK41,6,FALSE) &amp; " - " &amp; VLOOKUP(4,AA38:AK41,7,FALSE)</f>
        <v>3 - 8</v>
      </c>
      <c r="P42" s="57">
        <f>L42*3+M42</f>
        <v>1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2</v>
      </c>
      <c r="AE42" s="47">
        <f t="shared" si="15"/>
        <v>3</v>
      </c>
      <c r="AF42" s="47">
        <f t="shared" si="15"/>
        <v>7</v>
      </c>
      <c r="AG42" s="47">
        <f t="shared" si="15"/>
        <v>7</v>
      </c>
      <c r="AH42" s="47">
        <f>MAX(AH38:AH41)-AH43+1</f>
        <v>81107</v>
      </c>
      <c r="AI42" s="47">
        <f>MAX(AI38:AI41)-AI43+1</f>
        <v>12</v>
      </c>
      <c r="AK42" s="47">
        <f t="shared" si="15"/>
        <v>9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35"/>
      <c r="AZ42" s="136"/>
      <c r="BA42" s="136"/>
      <c r="BB42" s="136"/>
      <c r="BC42" s="137"/>
      <c r="BL42" s="142"/>
      <c r="BM42" s="142"/>
      <c r="BN42" s="142"/>
      <c r="BO42" s="142"/>
      <c r="BP42" s="142"/>
      <c r="BQ42" s="142"/>
      <c r="BR42" s="144"/>
      <c r="BS42" s="144"/>
      <c r="BT42" s="144"/>
      <c r="BU42" s="144"/>
      <c r="BV42" s="144"/>
      <c r="BW42" s="144"/>
      <c r="BX42" s="144"/>
    </row>
    <row r="43" spans="1:76" ht="15" customHeight="1" x14ac:dyDescent="0.3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9503</v>
      </c>
      <c r="AI43" s="47">
        <f>MIN(AI38:AI41)</f>
        <v>-5</v>
      </c>
      <c r="AY43" s="135"/>
      <c r="AZ43" s="136"/>
      <c r="BA43" s="136"/>
      <c r="BB43" s="136"/>
      <c r="BC43" s="137"/>
    </row>
    <row r="44" spans="1:76" ht="15" customHeight="1" x14ac:dyDescent="0.3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0</v>
      </c>
      <c r="G44" s="22">
        <v>4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6</v>
      </c>
      <c r="AG44" s="47">
        <f>SUMIF($E$7:$E$54,$AB44,$G$7:$G$54) + SUMIF($H$7:$H$54,$AB44,$F$7:$F$54)</f>
        <v>1</v>
      </c>
      <c r="AH44" s="47">
        <f>(AF44-AG44)*100+AK44*10000+AF44</f>
        <v>90506</v>
      </c>
      <c r="AI44" s="47">
        <f>AF44-AG44</f>
        <v>5</v>
      </c>
      <c r="AJ44" s="47">
        <f>(AI44-AI49)/AI48</f>
        <v>0.88888888888888884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1103.8898052338889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35"/>
      <c r="AZ44" s="136"/>
      <c r="BA44" s="136"/>
      <c r="BB44" s="136"/>
      <c r="BC44" s="137"/>
    </row>
    <row r="45" spans="1:76" ht="15" customHeight="1" x14ac:dyDescent="0.3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0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6 - 1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3</v>
      </c>
      <c r="AB45" s="48" t="str">
        <f>VLOOKUP("Serbia",T,lang,FALSE)</f>
        <v>Serbia</v>
      </c>
      <c r="AC45" s="47">
        <f>COUNTIF($S$7:$T$54,"=" &amp; AB45 &amp; "_win")</f>
        <v>1</v>
      </c>
      <c r="AD45" s="47">
        <f>COUNTIF($S$7:$T$54,"=" &amp; AB45 &amp; "_draw")</f>
        <v>0</v>
      </c>
      <c r="AE45" s="47">
        <f>COUNTIF($S$7:$T$54,"=" &amp; AB45 &amp; "_lose")</f>
        <v>2</v>
      </c>
      <c r="AF45" s="47">
        <f>SUMIF($E$7:$E$54,$AB45,$F$7:$F$54) + SUMIF($H$7:$H$54,$AB45,$G$7:$G$54)</f>
        <v>4</v>
      </c>
      <c r="AG45" s="47">
        <f>SUMIF($E$7:$E$54,$AB45,$G$7:$G$54) + SUMIF($H$7:$H$54,$AB45,$F$7:$F$54)</f>
        <v>6</v>
      </c>
      <c r="AH45" s="47">
        <f>(AF45-AG45)*100+AK45*10000+AF45</f>
        <v>29804</v>
      </c>
      <c r="AI45" s="47">
        <f>AF45-AG45</f>
        <v>-2</v>
      </c>
      <c r="AJ45" s="47">
        <f>(AI45-AI49)/AI48</f>
        <v>0.1111111111111111</v>
      </c>
      <c r="AK45" s="47">
        <f>AC45*3+AD45</f>
        <v>3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354.44521820944442</v>
      </c>
      <c r="AO45" s="48" t="str">
        <f>IF(SUM(AC44:AE47)=12,J46,INDEX(T,83,lang))</f>
        <v>Switzerland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35"/>
      <c r="AZ45" s="136"/>
      <c r="BA45" s="136"/>
      <c r="BB45" s="136"/>
      <c r="BC45" s="137"/>
    </row>
    <row r="46" spans="1:76" ht="15" customHeight="1" x14ac:dyDescent="0.3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2</v>
      </c>
      <c r="G46" s="22">
        <v>2</v>
      </c>
      <c r="H46" s="90" t="str">
        <f>AB22</f>
        <v>Mexico</v>
      </c>
      <c r="J46" s="53" t="str">
        <f>VLOOKUP(2,AA44:AK47,2,FALSE)</f>
        <v>Switzerland</v>
      </c>
      <c r="K46" s="25">
        <f>L46+M46+N46</f>
        <v>3</v>
      </c>
      <c r="L46" s="25">
        <f>VLOOKUP(2,AA44:AK47,3,FALSE)</f>
        <v>1</v>
      </c>
      <c r="M46" s="25">
        <f>VLOOKUP(2,AA44:AK47,4,FALSE)</f>
        <v>1</v>
      </c>
      <c r="N46" s="25">
        <f>VLOOKUP(2,AA44:AK47,5,FALSE)</f>
        <v>1</v>
      </c>
      <c r="O46" s="25" t="str">
        <f>VLOOKUP(2,AA44:AK47,6,FALSE) &amp; " - " &amp; VLOOKUP(2,AA44:AK47,7,FALSE)</f>
        <v>4 - 4</v>
      </c>
      <c r="P46" s="54">
        <f>L46*3+M46</f>
        <v>4</v>
      </c>
      <c r="R46" s="47">
        <f>DATE(2022,11,30)+TIME(8,0,0)+gmt_delta</f>
        <v>44895.916666666672</v>
      </c>
      <c r="S46" s="88" t="str">
        <f t="shared" si="3"/>
        <v>Saudi Arabia_draw</v>
      </c>
      <c r="T46" s="88" t="str">
        <f t="shared" si="4"/>
        <v>Mexico_draw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0</v>
      </c>
      <c r="AA46" s="47">
        <f>COUNTIF(AN44:AN47,CONCATENATE("&gt;=",AN46))</f>
        <v>2</v>
      </c>
      <c r="AB46" s="48" t="str">
        <f>VLOOKUP("Switzerland",T,lang,FALSE)</f>
        <v>Switzerland</v>
      </c>
      <c r="AC46" s="47">
        <f>COUNTIF($S$7:$T$54,"=" &amp; AB46 &amp; "_win")</f>
        <v>1</v>
      </c>
      <c r="AD46" s="47">
        <f>COUNTIF($S$7:$T$54,"=" &amp; AB46 &amp; "_draw")</f>
        <v>1</v>
      </c>
      <c r="AE46" s="47">
        <f>COUNTIF($S$7:$T$54,"=" &amp; AB46 &amp; "_lose")</f>
        <v>1</v>
      </c>
      <c r="AF46" s="47">
        <f>SUMIF($E$7:$E$54,$AB46,$F$7:$F$54) + SUMIF($H$7:$H$54,$AB46,$G$7:$G$54)</f>
        <v>4</v>
      </c>
      <c r="AG46" s="47">
        <f>SUMIF($E$7:$E$54,$AB46,$G$7:$G$54) + SUMIF($H$7:$H$54,$AB46,$F$7:$F$54)</f>
        <v>4</v>
      </c>
      <c r="AH46" s="47">
        <f>(AF46-AG46)*100+AK46*10000+AF46</f>
        <v>40004</v>
      </c>
      <c r="AI46" s="47">
        <f>AF46-AG46</f>
        <v>0</v>
      </c>
      <c r="AJ46" s="47">
        <f>(AI46-AI49)/AI48</f>
        <v>0.33333333333333331</v>
      </c>
      <c r="AK46" s="47">
        <f>AC46*3+AD46</f>
        <v>4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487.77859543777777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38"/>
      <c r="AZ46" s="139"/>
      <c r="BA46" s="139"/>
      <c r="BB46" s="139"/>
      <c r="BC46" s="140"/>
    </row>
    <row r="47" spans="1:76" ht="15" customHeight="1" x14ac:dyDescent="0.3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1</v>
      </c>
      <c r="G47" s="22">
        <v>2</v>
      </c>
      <c r="H47" s="90" t="str">
        <f>AB38</f>
        <v>Belgium</v>
      </c>
      <c r="J47" s="53" t="str">
        <f>VLOOKUP(3,AA44:AK47,2,FALSE)</f>
        <v>Serbia</v>
      </c>
      <c r="K47" s="25">
        <f>L47+M47+N47</f>
        <v>3</v>
      </c>
      <c r="L47" s="25">
        <f>VLOOKUP(3,AA44:AK47,3,FALSE)</f>
        <v>1</v>
      </c>
      <c r="M47" s="25">
        <f>VLOOKUP(3,AA44:AK47,4,FALSE)</f>
        <v>0</v>
      </c>
      <c r="N47" s="25">
        <f>VLOOKUP(3,AA44:AK47,5,FALSE)</f>
        <v>2</v>
      </c>
      <c r="O47" s="25" t="str">
        <f>VLOOKUP(3,AA44:AK47,6,FALSE) &amp; " - " &amp; VLOOKUP(3,AA44:AK47,7,FALSE)</f>
        <v>4 - 6</v>
      </c>
      <c r="P47" s="54">
        <f>L47*3+M47</f>
        <v>3</v>
      </c>
      <c r="R47" s="47">
        <f>DATE(2022,12,1)+TIME(4,0,0)+gmt_delta</f>
        <v>44896.75</v>
      </c>
      <c r="S47" s="88" t="str">
        <f t="shared" si="3"/>
        <v>Croatia_lose</v>
      </c>
      <c r="T47" s="88" t="str">
        <f t="shared" si="4"/>
        <v>Belgium_win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-1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3</v>
      </c>
      <c r="AG47" s="47">
        <f>SUMIF($E$7:$E$54,$AB47,$G$7:$G$54) + SUMIF($H$7:$H$54,$AB47,$F$7:$F$54)</f>
        <v>6</v>
      </c>
      <c r="AH47" s="47">
        <f>(AF47-AG47)*100+AK47*10000+AF47</f>
        <v>9703</v>
      </c>
      <c r="AI47" s="47">
        <f>AF47-AG47</f>
        <v>-3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118.61185135111111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3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2</v>
      </c>
      <c r="G48" s="22">
        <v>2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3 - 6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Canada_draw</v>
      </c>
      <c r="T48" s="88" t="str">
        <f t="shared" si="4"/>
        <v>Morocco_draw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0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4</v>
      </c>
      <c r="AG48" s="47">
        <f t="shared" si="16"/>
        <v>6</v>
      </c>
      <c r="AH48" s="47">
        <f>MAX(AH44:AH47)-AH49+1</f>
        <v>80804</v>
      </c>
      <c r="AI48" s="47">
        <f>MAX(AI44:AI47)-AI49+1</f>
        <v>9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32" t="s">
        <v>2516</v>
      </c>
      <c r="AZ48" s="133"/>
      <c r="BA48" s="133"/>
      <c r="BB48" s="133"/>
      <c r="BC48" s="134"/>
    </row>
    <row r="49" spans="1:55" ht="15" customHeight="1" x14ac:dyDescent="0.3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2</v>
      </c>
      <c r="G49" s="22">
        <v>4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9703</v>
      </c>
      <c r="AI49" s="47">
        <f>MIN(AI44:AI47)</f>
        <v>-3</v>
      </c>
      <c r="AY49" s="135"/>
      <c r="AZ49" s="136"/>
      <c r="BA49" s="136"/>
      <c r="BB49" s="136"/>
      <c r="BC49" s="137"/>
    </row>
    <row r="50" spans="1:55" ht="15" customHeight="1" x14ac:dyDescent="0.3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0</v>
      </c>
      <c r="G50" s="22">
        <v>2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6</v>
      </c>
      <c r="AG50" s="47">
        <f>SUMIF($E$7:$E$54,$AB50,$G$7:$G$54) + SUMIF($H$7:$H$54,$AB50,$F$7:$F$54)</f>
        <v>3</v>
      </c>
      <c r="AH50" s="47">
        <f>(AF50-AG50)*100+AK50*10000+AF50</f>
        <v>70306</v>
      </c>
      <c r="AI50" s="47">
        <f>AF50-AG50</f>
        <v>3</v>
      </c>
      <c r="AJ50" s="47">
        <f>(AI50-AI55)/AI54</f>
        <v>0.83333333333333337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1495.3341707233333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35"/>
      <c r="AZ50" s="136"/>
      <c r="BA50" s="136"/>
      <c r="BB50" s="136"/>
      <c r="BC50" s="137"/>
    </row>
    <row r="51" spans="1:55" ht="15" customHeight="1" x14ac:dyDescent="0.3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6 - 3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1</v>
      </c>
      <c r="AD51" s="47">
        <f>COUNTIF($S$7:$T$54,"=" &amp; AB51 &amp; "_draw")</f>
        <v>0</v>
      </c>
      <c r="AE51" s="47">
        <f>COUNTIF($S$7:$T$54,"=" &amp; AB51 &amp; "_lose")</f>
        <v>2</v>
      </c>
      <c r="AF51" s="47">
        <f>SUMIF($E$7:$E$54,$AB51,$F$7:$F$54) + SUMIF($H$7:$H$54,$AB51,$G$7:$G$54)</f>
        <v>2</v>
      </c>
      <c r="AG51" s="47">
        <f>SUMIF($E$7:$E$54,$AB51,$G$7:$G$54) + SUMIF($H$7:$H$54,$AB51,$F$7:$F$54)</f>
        <v>4</v>
      </c>
      <c r="AH51" s="47">
        <f>(AF51-AG51)*100+AK51*10000+AF51</f>
        <v>29802</v>
      </c>
      <c r="AI51" s="47">
        <f>AF51-AG51</f>
        <v>-2</v>
      </c>
      <c r="AJ51" s="47">
        <f>(AI51-AI55)/AI54</f>
        <v>0</v>
      </c>
      <c r="AK51" s="47">
        <f>AC51*3+AD51</f>
        <v>3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604.00069368000004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35"/>
      <c r="AZ51" s="136"/>
      <c r="BA51" s="136"/>
      <c r="BB51" s="136"/>
      <c r="BC51" s="137"/>
    </row>
    <row r="52" spans="1:55" ht="15" customHeight="1" x14ac:dyDescent="0.3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1</v>
      </c>
      <c r="G52" s="22">
        <v>3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1</v>
      </c>
      <c r="M52" s="25">
        <f>VLOOKUP(2,AA50:AK53,4,FALSE)</f>
        <v>1</v>
      </c>
      <c r="N52" s="25">
        <f>VLOOKUP(2,AA50:AK53,5,FALSE)</f>
        <v>1</v>
      </c>
      <c r="O52" s="25" t="str">
        <f>VLOOKUP(2,AA50:AK53,6,FALSE) &amp; " - " &amp; VLOOKUP(2,AA50:AK53,7,FALSE)</f>
        <v>5 - 4</v>
      </c>
      <c r="P52" s="54">
        <f>L52*3+M52</f>
        <v>4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1</v>
      </c>
      <c r="AD52" s="47">
        <f>COUNTIF($S$7:$T$54,"=" &amp; AB52 &amp; "_draw")</f>
        <v>1</v>
      </c>
      <c r="AE52" s="47">
        <f>COUNTIF($S$7:$T$54,"=" &amp; AB52 &amp; "_lose")</f>
        <v>1</v>
      </c>
      <c r="AF52" s="47">
        <f>SUMIF($E$7:$E$54,$AB52,$F$7:$F$54) + SUMIF($H$7:$H$54,$AB52,$G$7:$G$54)</f>
        <v>5</v>
      </c>
      <c r="AG52" s="47">
        <f>SUMIF($E$7:$E$54,$AB52,$G$7:$G$54) + SUMIF($H$7:$H$54,$AB52,$F$7:$F$54)</f>
        <v>4</v>
      </c>
      <c r="AH52" s="47">
        <f>(AF52-AG52)*100+AK52*10000+AF52</f>
        <v>40105</v>
      </c>
      <c r="AI52" s="47">
        <f>AF52-AG52</f>
        <v>1</v>
      </c>
      <c r="AJ52" s="47">
        <f>(AI52-AI55)/AI54</f>
        <v>0.5</v>
      </c>
      <c r="AK52" s="47">
        <f>AC52*3+AD52</f>
        <v>4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860.00081786500004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35"/>
      <c r="AZ52" s="136"/>
      <c r="BA52" s="136"/>
      <c r="BB52" s="136"/>
      <c r="BC52" s="137"/>
    </row>
    <row r="53" spans="1:55" ht="15" customHeight="1" x14ac:dyDescent="0.3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3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4 - 6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Serbia_lose</v>
      </c>
      <c r="T53" s="88" t="str">
        <f t="shared" si="4"/>
        <v>Switzerland_win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-1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4</v>
      </c>
      <c r="AG53" s="47">
        <f>SUMIF($E$7:$E$54,$AB53,$G$7:$G$54) + SUMIF($H$7:$H$54,$AB53,$F$7:$F$54)</f>
        <v>6</v>
      </c>
      <c r="AH53" s="47">
        <f>(AF53-AG53)*100+AK53*10000+AF53</f>
        <v>29804</v>
      </c>
      <c r="AI53" s="47">
        <f>AF53-AG53</f>
        <v>-2</v>
      </c>
      <c r="AJ53" s="47">
        <f>(AI53-AI55)/AI54</f>
        <v>0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608.00075976999995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35"/>
      <c r="AZ53" s="136"/>
      <c r="BA53" s="136"/>
      <c r="BB53" s="136"/>
      <c r="BC53" s="137"/>
    </row>
    <row r="54" spans="1:55" ht="15" customHeight="1" x14ac:dyDescent="0.3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1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1</v>
      </c>
      <c r="M54" s="56">
        <f>VLOOKUP(4,AA50:AK53,4,FALSE)</f>
        <v>0</v>
      </c>
      <c r="N54" s="56">
        <f>VLOOKUP(4,AA50:AK53,5,FALSE)</f>
        <v>2</v>
      </c>
      <c r="O54" s="56" t="str">
        <f>VLOOKUP(4,AA50:AK53,6,FALSE) &amp; " - " &amp; VLOOKUP(4,AA50:AK53,7,FALSE)</f>
        <v>2 - 4</v>
      </c>
      <c r="P54" s="57">
        <f>L54*3+M54</f>
        <v>3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2</v>
      </c>
      <c r="AD54" s="47">
        <f t="shared" si="17"/>
        <v>2</v>
      </c>
      <c r="AE54" s="47">
        <f t="shared" si="17"/>
        <v>3</v>
      </c>
      <c r="AF54" s="47">
        <f t="shared" si="17"/>
        <v>5</v>
      </c>
      <c r="AG54" s="47">
        <f t="shared" si="17"/>
        <v>4</v>
      </c>
      <c r="AH54" s="47">
        <f>MAX(AH50:AH53)-AH55+1</f>
        <v>40505</v>
      </c>
      <c r="AI54" s="47">
        <f>MAX(AI50:AI53)-AI55+1</f>
        <v>6</v>
      </c>
      <c r="AK54" s="47">
        <f t="shared" si="17"/>
        <v>5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38"/>
      <c r="AZ54" s="139"/>
      <c r="BA54" s="139"/>
      <c r="BB54" s="139"/>
      <c r="BC54" s="140"/>
    </row>
    <row r="55" spans="1:55" x14ac:dyDescent="0.3">
      <c r="A55" s="9"/>
      <c r="B55" s="42"/>
      <c r="C55" s="9"/>
      <c r="D55" s="43"/>
      <c r="E55" s="44"/>
      <c r="F55" s="45"/>
      <c r="G55" s="45"/>
      <c r="H55" s="46"/>
      <c r="AH55" s="47">
        <f>MIN(AH50:AH53)</f>
        <v>29802</v>
      </c>
      <c r="AI55" s="47">
        <f>MIN(AI50:AI53)</f>
        <v>-2</v>
      </c>
    </row>
    <row r="56" spans="1:55" ht="12.75" customHeight="1" x14ac:dyDescent="0.3"/>
    <row r="57" spans="1:55" ht="12.75" customHeight="1" x14ac:dyDescent="0.3"/>
    <row r="58" spans="1:55" x14ac:dyDescent="0.3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3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3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3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France</v>
      </c>
      <c r="T61" s="88" t="str">
        <f>IF(OR(S61="",S61="draw"),INDEX(T,89,lang),S61)</f>
        <v>France</v>
      </c>
    </row>
    <row r="62" spans="1:55" ht="12.75" customHeight="1" x14ac:dyDescent="0.3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Spain</v>
      </c>
      <c r="T62" s="88" t="str">
        <f>IF(OR(S62="",S62="draw"),INDEX(T,90,lang),S62)</f>
        <v>Spain</v>
      </c>
    </row>
    <row r="63" spans="1:55" ht="12.75" customHeight="1" x14ac:dyDescent="0.3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3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Germany</v>
      </c>
      <c r="T64" s="88" t="str">
        <f>IF(OR(S64="",S64="draw"),INDEX(T,92,lang),S64)</f>
        <v>Germany</v>
      </c>
    </row>
    <row r="65" spans="18:26" ht="12.75" customHeight="1" x14ac:dyDescent="0.3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3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3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France</v>
      </c>
      <c r="T71" s="88" t="str">
        <f>IF(OR(S71="",S71="draw"),INDEX(T,96,lang),S71)</f>
        <v>France</v>
      </c>
    </row>
    <row r="72" spans="18:26" ht="12.75" customHeight="1" x14ac:dyDescent="0.3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3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France</v>
      </c>
      <c r="Z77" s="88" t="str">
        <f>IF(OR(U77="",U77="draw"),INDEX(T,101,lang),U77)</f>
        <v>France</v>
      </c>
    </row>
    <row r="79" spans="18:26" ht="12.75" customHeight="1" x14ac:dyDescent="0.3"/>
    <row r="80" spans="18:26" ht="12.75" customHeight="1" x14ac:dyDescent="0.3"/>
    <row r="81" spans="18:20" x14ac:dyDescent="0.3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>Brazil</v>
      </c>
    </row>
    <row r="83" spans="18:20" ht="12.75" customHeight="1" x14ac:dyDescent="0.3"/>
    <row r="84" spans="18:20" ht="12.75" customHeight="1" x14ac:dyDescent="0.3"/>
    <row r="85" spans="18:20" x14ac:dyDescent="0.3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AY48:BC54"/>
    <mergeCell ref="AY38:AY39"/>
    <mergeCell ref="BL41:BQ42"/>
    <mergeCell ref="AY34:AY35"/>
    <mergeCell ref="BT35:BT36"/>
    <mergeCell ref="BF36:BF37"/>
    <mergeCell ref="BR41:BX42"/>
    <mergeCell ref="AY41:BC46"/>
    <mergeCell ref="AY30:AY31"/>
    <mergeCell ref="BT31:BX32"/>
    <mergeCell ref="BM32:BM33"/>
    <mergeCell ref="AY26:AY27"/>
    <mergeCell ref="BF28:BF29"/>
    <mergeCell ref="AY22:AY23"/>
    <mergeCell ref="BT23:BT24"/>
    <mergeCell ref="AY18:AY19"/>
    <mergeCell ref="BF20:BF21"/>
    <mergeCell ref="AY14:AY15"/>
    <mergeCell ref="BM16:BM17"/>
    <mergeCell ref="AY10:AY11"/>
    <mergeCell ref="BF12:BF13"/>
    <mergeCell ref="AY6:BC7"/>
    <mergeCell ref="BF6:BJ7"/>
    <mergeCell ref="BM6:BQ7"/>
    <mergeCell ref="BT6:BX7"/>
    <mergeCell ref="A1:P1"/>
    <mergeCell ref="O3:P3"/>
    <mergeCell ref="A5:H6"/>
    <mergeCell ref="J5:P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tabSelected="1" workbookViewId="0">
      <selection activeCell="B12" sqref="B12"/>
    </sheetView>
  </sheetViews>
  <sheetFormatPr defaultRowHeight="14.4" x14ac:dyDescent="0.3"/>
  <cols>
    <col min="1" max="1" width="80.33203125" customWidth="1"/>
    <col min="2" max="2" width="63.88671875" customWidth="1"/>
  </cols>
  <sheetData>
    <row r="1" spans="1:2" x14ac:dyDescent="0.3">
      <c r="A1" s="101" t="s">
        <v>2526</v>
      </c>
      <c r="B1" s="102" t="s">
        <v>2527</v>
      </c>
    </row>
    <row r="2" spans="1:2" x14ac:dyDescent="0.3">
      <c r="A2" s="103" t="s">
        <v>2518</v>
      </c>
      <c r="B2" s="100" t="s">
        <v>2530</v>
      </c>
    </row>
    <row r="3" spans="1:2" x14ac:dyDescent="0.3">
      <c r="A3" s="100" t="s">
        <v>2519</v>
      </c>
      <c r="B3" s="103" t="s">
        <v>2531</v>
      </c>
    </row>
    <row r="4" spans="1:2" x14ac:dyDescent="0.3">
      <c r="A4" s="103" t="s">
        <v>2520</v>
      </c>
      <c r="B4" s="100" t="s">
        <v>2532</v>
      </c>
    </row>
    <row r="5" spans="1:2" x14ac:dyDescent="0.3">
      <c r="A5" s="100" t="s">
        <v>2529</v>
      </c>
      <c r="B5" s="103" t="s">
        <v>2533</v>
      </c>
    </row>
    <row r="6" spans="1:2" x14ac:dyDescent="0.3">
      <c r="A6" s="103" t="s">
        <v>2521</v>
      </c>
      <c r="B6" s="100" t="s">
        <v>2530</v>
      </c>
    </row>
    <row r="7" spans="1:2" x14ac:dyDescent="0.3">
      <c r="A7" s="100" t="s">
        <v>2522</v>
      </c>
      <c r="B7" s="103" t="s">
        <v>2534</v>
      </c>
    </row>
    <row r="8" spans="1:2" x14ac:dyDescent="0.3">
      <c r="A8" s="103" t="s">
        <v>2523</v>
      </c>
      <c r="B8" s="100" t="s">
        <v>2535</v>
      </c>
    </row>
    <row r="9" spans="1:2" x14ac:dyDescent="0.3">
      <c r="A9" s="100" t="s">
        <v>2524</v>
      </c>
      <c r="B9" s="103" t="s">
        <v>2536</v>
      </c>
    </row>
    <row r="10" spans="1:2" x14ac:dyDescent="0.3">
      <c r="A10" s="103" t="s">
        <v>2525</v>
      </c>
      <c r="B10" s="100" t="s">
        <v>2530</v>
      </c>
    </row>
    <row r="11" spans="1:2" x14ac:dyDescent="0.3">
      <c r="A11" s="100" t="s">
        <v>2528</v>
      </c>
      <c r="B11" s="103" t="s">
        <v>2537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Töölehed</vt:lpstr>
      </vt:variant>
      <vt:variant>
        <vt:i4>4</vt:i4>
      </vt:variant>
      <vt:variant>
        <vt:lpstr>Nimega vahemikud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Jasper Reilson</cp:lastModifiedBy>
  <cp:lastPrinted>2018-01-03T15:36:04Z</cp:lastPrinted>
  <dcterms:created xsi:type="dcterms:W3CDTF">2017-12-27T19:32:51Z</dcterms:created>
  <dcterms:modified xsi:type="dcterms:W3CDTF">2022-11-17T14:35:54Z</dcterms:modified>
</cp:coreProperties>
</file>