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firstSheet="1" activeTab="2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/>
  <c r="R36"/>
  <c r="R33"/>
  <c r="R32"/>
  <c r="R29"/>
  <c r="R28"/>
  <c r="R21"/>
  <c r="R20"/>
  <c r="R17"/>
  <c r="R16"/>
  <c r="R13"/>
  <c r="R12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O3" l="1"/>
  <c r="G48" i="2"/>
  <c r="G16"/>
  <c r="G15"/>
  <c r="L32" i="3" s="1"/>
  <c r="BT6"/>
  <c r="BL41"/>
  <c r="L14"/>
  <c r="K26"/>
  <c r="M32"/>
  <c r="J44"/>
  <c r="K8"/>
  <c r="O20"/>
  <c r="L26"/>
  <c r="N32"/>
  <c r="K38"/>
  <c r="K44"/>
  <c r="L50"/>
  <c r="N20"/>
  <c r="K50"/>
  <c r="A5"/>
  <c r="L8"/>
  <c r="N14"/>
  <c r="P20"/>
  <c r="M26"/>
  <c r="O32"/>
  <c r="L38"/>
  <c r="L44"/>
  <c r="M50"/>
  <c r="AY6"/>
  <c r="M8"/>
  <c r="O14"/>
  <c r="N26"/>
  <c r="P32"/>
  <c r="M38"/>
  <c r="M44"/>
  <c r="N50"/>
  <c r="BF6"/>
  <c r="N8"/>
  <c r="P14"/>
  <c r="J20"/>
  <c r="O26"/>
  <c r="BT31"/>
  <c r="N38"/>
  <c r="N44"/>
  <c r="O50"/>
  <c r="A1"/>
  <c r="BM6"/>
  <c r="O8"/>
  <c r="K20"/>
  <c r="P26"/>
  <c r="J32"/>
  <c r="O38"/>
  <c r="O44"/>
  <c r="P50"/>
  <c r="J26" l="1"/>
  <c r="P44"/>
  <c r="AB52"/>
  <c r="AB50"/>
  <c r="AB47"/>
  <c r="AB45"/>
  <c r="AB40"/>
  <c r="AB38"/>
  <c r="AB35"/>
  <c r="AB28"/>
  <c r="AB26"/>
  <c r="AB21"/>
  <c r="AB14"/>
  <c r="AB9"/>
  <c r="B41" i="2"/>
  <c r="B33"/>
  <c r="B25"/>
  <c r="B21"/>
  <c r="B46"/>
  <c r="B42"/>
  <c r="B38"/>
  <c r="B34"/>
  <c r="B30"/>
  <c r="B26"/>
  <c r="B22"/>
  <c r="B18"/>
  <c r="AB32" i="3"/>
  <c r="AB27"/>
  <c r="AB20"/>
  <c r="AB15"/>
  <c r="AB8"/>
  <c r="B43" i="2"/>
  <c r="B35"/>
  <c r="B27"/>
  <c r="B19"/>
  <c r="AB53" i="3"/>
  <c r="AB51"/>
  <c r="AB46"/>
  <c r="AB44"/>
  <c r="AB41"/>
  <c r="AB39"/>
  <c r="AB34"/>
  <c r="AB29"/>
  <c r="AB22"/>
  <c r="AB17"/>
  <c r="AB10"/>
  <c r="B47" i="2"/>
  <c r="B39"/>
  <c r="B31"/>
  <c r="B23"/>
  <c r="B48"/>
  <c r="B44"/>
  <c r="B40"/>
  <c r="B36"/>
  <c r="B32"/>
  <c r="B28"/>
  <c r="B24"/>
  <c r="B20"/>
  <c r="AB33" i="3"/>
  <c r="AB23"/>
  <c r="AB16"/>
  <c r="AB11"/>
  <c r="B45" i="2"/>
  <c r="B37"/>
  <c r="B29"/>
  <c r="B17"/>
  <c r="R25" i="3"/>
  <c r="R24"/>
  <c r="R7"/>
  <c r="R60"/>
  <c r="AY25" s="1"/>
  <c r="R42"/>
  <c r="R34"/>
  <c r="R23"/>
  <c r="R10"/>
  <c r="R22"/>
  <c r="R71"/>
  <c r="R53"/>
  <c r="R18"/>
  <c r="R65"/>
  <c r="AY37" s="1"/>
  <c r="R59"/>
  <c r="AY13" s="1"/>
  <c r="R45"/>
  <c r="R31"/>
  <c r="R26"/>
  <c r="R14"/>
  <c r="R85"/>
  <c r="BT22" s="1"/>
  <c r="R64"/>
  <c r="AY33" s="1"/>
  <c r="R58"/>
  <c r="AY9" s="1"/>
  <c r="R50"/>
  <c r="R47"/>
  <c r="R39"/>
  <c r="R15"/>
  <c r="R38"/>
  <c r="R40"/>
  <c r="R76"/>
  <c r="BM15" s="1"/>
  <c r="R63"/>
  <c r="AY21" s="1"/>
  <c r="R52"/>
  <c r="R41"/>
  <c r="R30"/>
  <c r="R9"/>
  <c r="R35"/>
  <c r="R11"/>
  <c r="R8"/>
  <c r="R81"/>
  <c r="BT34" s="1"/>
  <c r="R72"/>
  <c r="BF35" s="1"/>
  <c r="R62"/>
  <c r="AY17" s="1"/>
  <c r="R54"/>
  <c r="R49"/>
  <c r="R44"/>
  <c r="R19"/>
  <c r="R70"/>
  <c r="BF19" s="1"/>
  <c r="R61"/>
  <c r="AY29" s="1"/>
  <c r="R48"/>
  <c r="R46"/>
  <c r="R43"/>
  <c r="R27"/>
  <c r="R77"/>
  <c r="BM31" s="1"/>
  <c r="R69"/>
  <c r="BF11" s="1"/>
  <c r="R51"/>
  <c r="K32"/>
  <c r="J8"/>
  <c r="J50"/>
  <c r="J14"/>
  <c r="P8"/>
  <c r="I15" i="2"/>
  <c r="BF27" i="3"/>
  <c r="L20"/>
  <c r="M14"/>
  <c r="J38"/>
  <c r="M20"/>
  <c r="K14"/>
  <c r="P38"/>
  <c r="E10" l="1"/>
  <c r="S10" s="1"/>
  <c r="H26"/>
  <c r="H42"/>
  <c r="AM16"/>
  <c r="H10"/>
  <c r="E23"/>
  <c r="S23" s="1"/>
  <c r="AM17"/>
  <c r="E41"/>
  <c r="H18"/>
  <c r="E48"/>
  <c r="S48" s="1"/>
  <c r="H33"/>
  <c r="AM39"/>
  <c r="H21"/>
  <c r="H36"/>
  <c r="E51"/>
  <c r="S51" s="1"/>
  <c r="AM51"/>
  <c r="E30"/>
  <c r="H45"/>
  <c r="E11"/>
  <c r="AM20"/>
  <c r="E26"/>
  <c r="E9"/>
  <c r="H41"/>
  <c r="AM14"/>
  <c r="E49"/>
  <c r="E31"/>
  <c r="S31" s="1"/>
  <c r="AM35"/>
  <c r="H16"/>
  <c r="E54"/>
  <c r="H19"/>
  <c r="AM47"/>
  <c r="E35"/>
  <c r="S35" s="1"/>
  <c r="E25"/>
  <c r="S25" s="1"/>
  <c r="E40"/>
  <c r="S40" s="1"/>
  <c r="H8"/>
  <c r="H25"/>
  <c r="E39"/>
  <c r="AM10"/>
  <c r="H7"/>
  <c r="E16"/>
  <c r="H50"/>
  <c r="AM34"/>
  <c r="H34"/>
  <c r="H53"/>
  <c r="AM46"/>
  <c r="H37"/>
  <c r="E19"/>
  <c r="S19" s="1"/>
  <c r="E42"/>
  <c r="S42" s="1"/>
  <c r="H23"/>
  <c r="H9"/>
  <c r="AM15"/>
  <c r="H40"/>
  <c r="E7"/>
  <c r="AM9"/>
  <c r="E24"/>
  <c r="H29"/>
  <c r="AM28"/>
  <c r="E12"/>
  <c r="H43"/>
  <c r="H35"/>
  <c r="E53"/>
  <c r="H22"/>
  <c r="AM45"/>
  <c r="AM33"/>
  <c r="E50"/>
  <c r="H17"/>
  <c r="H31"/>
  <c r="H12"/>
  <c r="E27"/>
  <c r="AM29"/>
  <c r="E44"/>
  <c r="S44" s="1"/>
  <c r="H54"/>
  <c r="E37"/>
  <c r="AM44"/>
  <c r="E22"/>
  <c r="S22" s="1"/>
  <c r="E8"/>
  <c r="S8" s="1"/>
  <c r="H39"/>
  <c r="H24"/>
  <c r="AM8"/>
  <c r="E34"/>
  <c r="S34" s="1"/>
  <c r="AM32"/>
  <c r="H49"/>
  <c r="E17"/>
  <c r="E14"/>
  <c r="AM26"/>
  <c r="H44"/>
  <c r="E29"/>
  <c r="H48"/>
  <c r="AM40"/>
  <c r="E15"/>
  <c r="H32"/>
  <c r="H38"/>
  <c r="E20"/>
  <c r="S20" s="1"/>
  <c r="H51"/>
  <c r="AM52"/>
  <c r="X7"/>
  <c r="AM11"/>
  <c r="AM23"/>
  <c r="H13"/>
  <c r="E28"/>
  <c r="E45"/>
  <c r="H46"/>
  <c r="E13"/>
  <c r="S13" s="1"/>
  <c r="AM22"/>
  <c r="H30"/>
  <c r="E33"/>
  <c r="S33" s="1"/>
  <c r="E47"/>
  <c r="S47" s="1"/>
  <c r="AM41"/>
  <c r="H15"/>
  <c r="E36"/>
  <c r="S36" s="1"/>
  <c r="E52"/>
  <c r="S52" s="1"/>
  <c r="AM53"/>
  <c r="H20"/>
  <c r="H14"/>
  <c r="E43"/>
  <c r="AM27"/>
  <c r="H27"/>
  <c r="E46"/>
  <c r="H28"/>
  <c r="AM21"/>
  <c r="H11"/>
  <c r="E18"/>
  <c r="AM38"/>
  <c r="E32"/>
  <c r="H47"/>
  <c r="E38"/>
  <c r="H52"/>
  <c r="AM50"/>
  <c r="E21"/>
  <c r="S21" s="1"/>
  <c r="X25"/>
  <c r="X20"/>
  <c r="X31"/>
  <c r="X40"/>
  <c r="X33"/>
  <c r="X35"/>
  <c r="X51"/>
  <c r="X23"/>
  <c r="X48"/>
  <c r="X52"/>
  <c r="X34"/>
  <c r="X19"/>
  <c r="X10"/>
  <c r="X42"/>
  <c r="X21"/>
  <c r="X44"/>
  <c r="X13"/>
  <c r="X47"/>
  <c r="X22"/>
  <c r="X36"/>
  <c r="X8"/>
  <c r="C29"/>
  <c r="B29"/>
  <c r="D29"/>
  <c r="D48"/>
  <c r="C48"/>
  <c r="B48"/>
  <c r="D17"/>
  <c r="C17"/>
  <c r="B17"/>
  <c r="B26"/>
  <c r="D26"/>
  <c r="C26"/>
  <c r="D24"/>
  <c r="C24"/>
  <c r="B24"/>
  <c r="D51"/>
  <c r="C51"/>
  <c r="B51"/>
  <c r="C20"/>
  <c r="D20"/>
  <c r="B20"/>
  <c r="C13"/>
  <c r="B13"/>
  <c r="D13"/>
  <c r="D31"/>
  <c r="C31"/>
  <c r="B31"/>
  <c r="B25"/>
  <c r="D25"/>
  <c r="C25"/>
  <c r="D40"/>
  <c r="C40"/>
  <c r="B40"/>
  <c r="C36"/>
  <c r="D36"/>
  <c r="B36"/>
  <c r="D22"/>
  <c r="C22"/>
  <c r="B22"/>
  <c r="C21"/>
  <c r="B21"/>
  <c r="D21"/>
  <c r="D8"/>
  <c r="C8"/>
  <c r="B8"/>
  <c r="C28"/>
  <c r="D28"/>
  <c r="B28"/>
  <c r="D38"/>
  <c r="C38"/>
  <c r="B38"/>
  <c r="C37"/>
  <c r="B37"/>
  <c r="D37"/>
  <c r="C45"/>
  <c r="B45"/>
  <c r="D45"/>
  <c r="B10"/>
  <c r="D10"/>
  <c r="C10"/>
  <c r="D16"/>
  <c r="C16"/>
  <c r="B16"/>
  <c r="D19"/>
  <c r="C19"/>
  <c r="B19"/>
  <c r="D32"/>
  <c r="C32"/>
  <c r="B32"/>
  <c r="D30"/>
  <c r="C30"/>
  <c r="B30"/>
  <c r="D15"/>
  <c r="C15"/>
  <c r="B15"/>
  <c r="D14"/>
  <c r="C14"/>
  <c r="B14"/>
  <c r="D23"/>
  <c r="C23"/>
  <c r="B23"/>
  <c r="D27"/>
  <c r="C27"/>
  <c r="B27"/>
  <c r="C44"/>
  <c r="D44"/>
  <c r="B44"/>
  <c r="D11"/>
  <c r="C11"/>
  <c r="B11"/>
  <c r="B41"/>
  <c r="D41"/>
  <c r="C41"/>
  <c r="D39"/>
  <c r="C39"/>
  <c r="B39"/>
  <c r="D33"/>
  <c r="B33"/>
  <c r="C33"/>
  <c r="B34"/>
  <c r="D34"/>
  <c r="C34"/>
  <c r="D43"/>
  <c r="C43"/>
  <c r="B43"/>
  <c r="D49"/>
  <c r="B49"/>
  <c r="C49"/>
  <c r="D35"/>
  <c r="C35"/>
  <c r="B35"/>
  <c r="C52"/>
  <c r="D52"/>
  <c r="B52"/>
  <c r="D47"/>
  <c r="C47"/>
  <c r="B47"/>
  <c r="D7"/>
  <c r="C7"/>
  <c r="B7"/>
  <c r="B18"/>
  <c r="D18"/>
  <c r="C18"/>
  <c r="B42"/>
  <c r="D42"/>
  <c r="C42"/>
  <c r="D46"/>
  <c r="C46"/>
  <c r="B46"/>
  <c r="D54"/>
  <c r="C54"/>
  <c r="B54"/>
  <c r="D9"/>
  <c r="B9"/>
  <c r="C9"/>
  <c r="B50"/>
  <c r="D50"/>
  <c r="C50"/>
  <c r="C12"/>
  <c r="D12"/>
  <c r="B12"/>
  <c r="C53"/>
  <c r="B53"/>
  <c r="D53"/>
  <c r="X12"/>
  <c r="S12"/>
  <c r="T31"/>
  <c r="S17"/>
  <c r="X17"/>
  <c r="S49"/>
  <c r="X49"/>
  <c r="AG40"/>
  <c r="AG27"/>
  <c r="AG50"/>
  <c r="AG16"/>
  <c r="AG33"/>
  <c r="T21"/>
  <c r="AG53"/>
  <c r="T20"/>
  <c r="X32"/>
  <c r="S32"/>
  <c r="X9"/>
  <c r="S9"/>
  <c r="S28"/>
  <c r="X28"/>
  <c r="S26"/>
  <c r="X26"/>
  <c r="AF23"/>
  <c r="AG39"/>
  <c r="AF33"/>
  <c r="AG11"/>
  <c r="AF21"/>
  <c r="AF29"/>
  <c r="AG10"/>
  <c r="AF10"/>
  <c r="AG21"/>
  <c r="T13"/>
  <c r="T22"/>
  <c r="AF46"/>
  <c r="T40"/>
  <c r="S45"/>
  <c r="X45"/>
  <c r="X37"/>
  <c r="S37"/>
  <c r="S54"/>
  <c r="X54"/>
  <c r="X27"/>
  <c r="S27"/>
  <c r="T10"/>
  <c r="AG20"/>
  <c r="AG32"/>
  <c r="AG52"/>
  <c r="AG22"/>
  <c r="AF14"/>
  <c r="AG28"/>
  <c r="AG17"/>
  <c r="AF35"/>
  <c r="AG45"/>
  <c r="AG35"/>
  <c r="T47"/>
  <c r="T34"/>
  <c r="S46"/>
  <c r="X46"/>
  <c r="AG26"/>
  <c r="AF17"/>
  <c r="S53"/>
  <c r="X53"/>
  <c r="X43"/>
  <c r="S43"/>
  <c r="T19"/>
  <c r="AG38"/>
  <c r="AF32"/>
  <c r="AF47"/>
  <c r="AF52"/>
  <c r="AG9"/>
  <c r="AF26"/>
  <c r="AF34"/>
  <c r="T48"/>
  <c r="AF20"/>
  <c r="AF11"/>
  <c r="S24"/>
  <c r="X24"/>
  <c r="X38"/>
  <c r="S38"/>
  <c r="X50"/>
  <c r="S50"/>
  <c r="X16"/>
  <c r="S16"/>
  <c r="S29"/>
  <c r="X29"/>
  <c r="AG41"/>
  <c r="AG23"/>
  <c r="AF44"/>
  <c r="AF50"/>
  <c r="AF8"/>
  <c r="AG8"/>
  <c r="AG44"/>
  <c r="AF40"/>
  <c r="T42"/>
  <c r="T51"/>
  <c r="T25"/>
  <c r="X14"/>
  <c r="S14"/>
  <c r="X41"/>
  <c r="S41"/>
  <c r="AF27"/>
  <c r="AG14"/>
  <c r="AF22"/>
  <c r="AG51"/>
  <c r="AG15"/>
  <c r="AG34"/>
  <c r="AF53"/>
  <c r="AG29"/>
  <c r="AG46"/>
  <c r="T36"/>
  <c r="T8"/>
  <c r="T52"/>
  <c r="T23"/>
  <c r="S39"/>
  <c r="X39"/>
  <c r="X11"/>
  <c r="S11"/>
  <c r="T35"/>
  <c r="X15"/>
  <c r="S15"/>
  <c r="S30"/>
  <c r="X30"/>
  <c r="X18"/>
  <c r="S18"/>
  <c r="T33"/>
  <c r="AF15"/>
  <c r="AG47"/>
  <c r="AF9"/>
  <c r="AF41"/>
  <c r="AF16"/>
  <c r="AF38"/>
  <c r="AF51"/>
  <c r="AF45"/>
  <c r="T44"/>
  <c r="AF39" l="1"/>
  <c r="AF28"/>
  <c r="AI28" s="1"/>
  <c r="S7"/>
  <c r="T7" s="1"/>
  <c r="AG12"/>
  <c r="AI51"/>
  <c r="T14"/>
  <c r="AI40"/>
  <c r="T38"/>
  <c r="AI34"/>
  <c r="T46"/>
  <c r="T45"/>
  <c r="AI23"/>
  <c r="AG54"/>
  <c r="AI45"/>
  <c r="T32"/>
  <c r="AF42"/>
  <c r="AI38"/>
  <c r="T18"/>
  <c r="T11"/>
  <c r="AG48"/>
  <c r="AI26"/>
  <c r="T43"/>
  <c r="T27"/>
  <c r="AI10"/>
  <c r="T12"/>
  <c r="AF48"/>
  <c r="AI44"/>
  <c r="AI16"/>
  <c r="AF18"/>
  <c r="AI14"/>
  <c r="T26"/>
  <c r="AI35"/>
  <c r="AI41"/>
  <c r="AF12"/>
  <c r="AI8"/>
  <c r="T29"/>
  <c r="T24"/>
  <c r="AI52"/>
  <c r="AI46"/>
  <c r="AI29"/>
  <c r="AI53"/>
  <c r="AI22"/>
  <c r="AI9"/>
  <c r="T30"/>
  <c r="T39"/>
  <c r="AG18"/>
  <c r="T16"/>
  <c r="AI11"/>
  <c r="AI47"/>
  <c r="T53"/>
  <c r="T54"/>
  <c r="AI21"/>
  <c r="T28"/>
  <c r="T49"/>
  <c r="T15"/>
  <c r="AI27"/>
  <c r="AI20"/>
  <c r="AF24"/>
  <c r="AF36"/>
  <c r="AI32"/>
  <c r="AI17"/>
  <c r="AG36"/>
  <c r="T37"/>
  <c r="T9"/>
  <c r="AI39"/>
  <c r="AI15"/>
  <c r="T41"/>
  <c r="AF54"/>
  <c r="AI50"/>
  <c r="T50"/>
  <c r="AG42"/>
  <c r="AG30"/>
  <c r="AG24"/>
  <c r="AI33"/>
  <c r="T17"/>
  <c r="AF30" l="1"/>
  <c r="AC23"/>
  <c r="AC50"/>
  <c r="AD33"/>
  <c r="AD46"/>
  <c r="AE34"/>
  <c r="AE44"/>
  <c r="AD8"/>
  <c r="AE8"/>
  <c r="AC38"/>
  <c r="AI43"/>
  <c r="AI42" s="1"/>
  <c r="AD47"/>
  <c r="AC52"/>
  <c r="AC53"/>
  <c r="AE32"/>
  <c r="AC10"/>
  <c r="AI49"/>
  <c r="AI48" s="1"/>
  <c r="AE9"/>
  <c r="AD14"/>
  <c r="AE46"/>
  <c r="AE21"/>
  <c r="AE16"/>
  <c r="AD41"/>
  <c r="AI37"/>
  <c r="AI36" s="1"/>
  <c r="AE51"/>
  <c r="AD27"/>
  <c r="AD34"/>
  <c r="AC28"/>
  <c r="AE38"/>
  <c r="AE52"/>
  <c r="AE39"/>
  <c r="AD11"/>
  <c r="AC33"/>
  <c r="AD22"/>
  <c r="AD45"/>
  <c r="AD38"/>
  <c r="AE40"/>
  <c r="AD50"/>
  <c r="AC29"/>
  <c r="AE50"/>
  <c r="AD17"/>
  <c r="AC35"/>
  <c r="AD53"/>
  <c r="AI19"/>
  <c r="AI18" s="1"/>
  <c r="AE26"/>
  <c r="AD44"/>
  <c r="AC27"/>
  <c r="AD9"/>
  <c r="AE33"/>
  <c r="AE11"/>
  <c r="AC9"/>
  <c r="AC40"/>
  <c r="AD20"/>
  <c r="AD35"/>
  <c r="AD16"/>
  <c r="AC51"/>
  <c r="AC16"/>
  <c r="AD32"/>
  <c r="AE10"/>
  <c r="AC47"/>
  <c r="AE17"/>
  <c r="AE20"/>
  <c r="AC11"/>
  <c r="AC8"/>
  <c r="AD52"/>
  <c r="AD21"/>
  <c r="AC32"/>
  <c r="AI31"/>
  <c r="AC21"/>
  <c r="AD29"/>
  <c r="AC41"/>
  <c r="AI55"/>
  <c r="AI54" s="1"/>
  <c r="AD51"/>
  <c r="AE45"/>
  <c r="AD26"/>
  <c r="AE14"/>
  <c r="AC20"/>
  <c r="AC26"/>
  <c r="AE22"/>
  <c r="AC34"/>
  <c r="AK34" s="1"/>
  <c r="AD39"/>
  <c r="AC46"/>
  <c r="AE15"/>
  <c r="AC44"/>
  <c r="AD23"/>
  <c r="AC45"/>
  <c r="AC14"/>
  <c r="AD15"/>
  <c r="AC39"/>
  <c r="AE28"/>
  <c r="AI13"/>
  <c r="AI12" s="1"/>
  <c r="AC17"/>
  <c r="AD28"/>
  <c r="AC15"/>
  <c r="AE47"/>
  <c r="AD10"/>
  <c r="AI25"/>
  <c r="AI24" s="1"/>
  <c r="AC22"/>
  <c r="AE53"/>
  <c r="AE27"/>
  <c r="AE23"/>
  <c r="AE35"/>
  <c r="AE41"/>
  <c r="AD40"/>
  <c r="AE29"/>
  <c r="AK23" l="1"/>
  <c r="AH23" s="1"/>
  <c r="AK22"/>
  <c r="AH22" s="1"/>
  <c r="AK39"/>
  <c r="AH39" s="1"/>
  <c r="AD12"/>
  <c r="AK46"/>
  <c r="AH46" s="1"/>
  <c r="AK9"/>
  <c r="AH9" s="1"/>
  <c r="AK11"/>
  <c r="AH11" s="1"/>
  <c r="AK27"/>
  <c r="AH27" s="1"/>
  <c r="AJ40"/>
  <c r="AJ39"/>
  <c r="AJ16"/>
  <c r="AJ50"/>
  <c r="AD36"/>
  <c r="AK35"/>
  <c r="AH35" s="1"/>
  <c r="AK33"/>
  <c r="AH33" s="1"/>
  <c r="AJ53"/>
  <c r="AK41"/>
  <c r="AH41" s="1"/>
  <c r="AK17"/>
  <c r="AH17" s="1"/>
  <c r="AJ41"/>
  <c r="AE42"/>
  <c r="AJ8"/>
  <c r="AK16"/>
  <c r="AH16" s="1"/>
  <c r="AJ45"/>
  <c r="AD30"/>
  <c r="AJ47"/>
  <c r="AE48"/>
  <c r="AE12"/>
  <c r="AJ10"/>
  <c r="AJ46"/>
  <c r="AJ14"/>
  <c r="AJ44"/>
  <c r="AH34"/>
  <c r="AI30"/>
  <c r="AJ29" s="1"/>
  <c r="AC18"/>
  <c r="AK14"/>
  <c r="AH14" s="1"/>
  <c r="AJ15"/>
  <c r="AJ22"/>
  <c r="AJ23"/>
  <c r="AK45"/>
  <c r="AK26"/>
  <c r="AH26" s="1"/>
  <c r="AC30"/>
  <c r="AK51"/>
  <c r="AK50"/>
  <c r="AE54"/>
  <c r="AC24"/>
  <c r="AK20"/>
  <c r="AH20" s="1"/>
  <c r="AC36"/>
  <c r="AK32"/>
  <c r="AE24"/>
  <c r="AK29"/>
  <c r="AH29" s="1"/>
  <c r="AK28"/>
  <c r="AH28" s="1"/>
  <c r="AJ17"/>
  <c r="AK10"/>
  <c r="AH10" s="1"/>
  <c r="AJ38"/>
  <c r="AC48"/>
  <c r="AK44"/>
  <c r="AE18"/>
  <c r="AD54"/>
  <c r="AE36"/>
  <c r="AC42"/>
  <c r="AK38"/>
  <c r="AJ34"/>
  <c r="AK47"/>
  <c r="AJ35"/>
  <c r="AC54"/>
  <c r="AK15"/>
  <c r="AH15" s="1"/>
  <c r="AJ11"/>
  <c r="AK8"/>
  <c r="AH8" s="1"/>
  <c r="AC12"/>
  <c r="AJ33"/>
  <c r="AD24"/>
  <c r="AD48"/>
  <c r="AJ51"/>
  <c r="AJ9"/>
  <c r="AK53"/>
  <c r="AJ20"/>
  <c r="AJ21"/>
  <c r="AK21"/>
  <c r="AH21" s="1"/>
  <c r="AJ52"/>
  <c r="AK40"/>
  <c r="AE30"/>
  <c r="AD42"/>
  <c r="AJ32"/>
  <c r="AD18"/>
  <c r="AK52"/>
  <c r="U40" l="1"/>
  <c r="V40" s="1"/>
  <c r="U39"/>
  <c r="V39" s="1"/>
  <c r="U24"/>
  <c r="U8"/>
  <c r="V8" s="1"/>
  <c r="U7"/>
  <c r="W7" s="1"/>
  <c r="AH13"/>
  <c r="AH12" s="1"/>
  <c r="AJ26"/>
  <c r="AJ28"/>
  <c r="AJ27"/>
  <c r="U46"/>
  <c r="U43"/>
  <c r="AH47"/>
  <c r="U41"/>
  <c r="U26"/>
  <c r="U10"/>
  <c r="AH40"/>
  <c r="AK30"/>
  <c r="AK12"/>
  <c r="U42"/>
  <c r="U50"/>
  <c r="AK24"/>
  <c r="U16"/>
  <c r="U44"/>
  <c r="AH53"/>
  <c r="AK54"/>
  <c r="AH50"/>
  <c r="AH45"/>
  <c r="AH52"/>
  <c r="U20" s="1"/>
  <c r="AK42"/>
  <c r="AH38"/>
  <c r="AK48"/>
  <c r="AH44"/>
  <c r="AK36"/>
  <c r="AH32"/>
  <c r="U34" s="1"/>
  <c r="AH51"/>
  <c r="AK18"/>
  <c r="U49" l="1"/>
  <c r="V49" s="1"/>
  <c r="W40"/>
  <c r="W39"/>
  <c r="V24"/>
  <c r="W24"/>
  <c r="W8"/>
  <c r="V7"/>
  <c r="U54"/>
  <c r="W54" s="1"/>
  <c r="U52"/>
  <c r="V52" s="1"/>
  <c r="U12"/>
  <c r="U18"/>
  <c r="W18" s="1"/>
  <c r="U32"/>
  <c r="V32" s="1"/>
  <c r="U48"/>
  <c r="U23"/>
  <c r="AH37"/>
  <c r="AH36" s="1"/>
  <c r="U31"/>
  <c r="U15"/>
  <c r="U38"/>
  <c r="U53"/>
  <c r="U45"/>
  <c r="U30"/>
  <c r="V41"/>
  <c r="W41"/>
  <c r="U22"/>
  <c r="AH31"/>
  <c r="AH30" s="1"/>
  <c r="U13"/>
  <c r="U29"/>
  <c r="U14"/>
  <c r="V34"/>
  <c r="W34"/>
  <c r="AH49"/>
  <c r="AH48" s="1"/>
  <c r="U19"/>
  <c r="U35"/>
  <c r="W43"/>
  <c r="V43"/>
  <c r="V16"/>
  <c r="W16"/>
  <c r="U28"/>
  <c r="W44"/>
  <c r="V44"/>
  <c r="AH19"/>
  <c r="AH18" s="1"/>
  <c r="U25"/>
  <c r="U9"/>
  <c r="U47"/>
  <c r="W50"/>
  <c r="V50"/>
  <c r="AH55"/>
  <c r="AH54" s="1"/>
  <c r="U21"/>
  <c r="U37"/>
  <c r="AH25"/>
  <c r="AH24" s="1"/>
  <c r="U27"/>
  <c r="U11"/>
  <c r="W42"/>
  <c r="V42"/>
  <c r="U51"/>
  <c r="U36"/>
  <c r="AH43"/>
  <c r="AH42" s="1"/>
  <c r="U33"/>
  <c r="U17"/>
  <c r="V10"/>
  <c r="W10"/>
  <c r="W46"/>
  <c r="V46"/>
  <c r="W26"/>
  <c r="V26"/>
  <c r="W20"/>
  <c r="V20"/>
  <c r="W49" l="1"/>
  <c r="W32"/>
  <c r="W52"/>
  <c r="V18"/>
  <c r="V54"/>
  <c r="W12"/>
  <c r="V12"/>
  <c r="W23"/>
  <c r="V23"/>
  <c r="V48"/>
  <c r="W48"/>
  <c r="W37"/>
  <c r="V37"/>
  <c r="V21"/>
  <c r="W21"/>
  <c r="V28"/>
  <c r="W28"/>
  <c r="W31"/>
  <c r="V31"/>
  <c r="V9"/>
  <c r="W9"/>
  <c r="AR16"/>
  <c r="AS28"/>
  <c r="AS45"/>
  <c r="AR35"/>
  <c r="AR26"/>
  <c r="AS35"/>
  <c r="AR53"/>
  <c r="AR20"/>
  <c r="AP17"/>
  <c r="AP28"/>
  <c r="AQ53"/>
  <c r="AQ15"/>
  <c r="AP20"/>
  <c r="AQ8"/>
  <c r="AQ17"/>
  <c r="AQ46"/>
  <c r="AS21"/>
  <c r="AP45"/>
  <c r="AP44"/>
  <c r="AS15"/>
  <c r="AS11"/>
  <c r="AS27"/>
  <c r="AR23"/>
  <c r="AR33"/>
  <c r="AS17"/>
  <c r="AS26"/>
  <c r="AS47"/>
  <c r="AQ21"/>
  <c r="AQ16"/>
  <c r="AQ34"/>
  <c r="AQ28"/>
  <c r="AQ22"/>
  <c r="AP46"/>
  <c r="AP23"/>
  <c r="AQ9"/>
  <c r="AR46"/>
  <c r="AP33"/>
  <c r="AR14"/>
  <c r="AR15"/>
  <c r="AR28"/>
  <c r="AR27"/>
  <c r="AR10"/>
  <c r="AR52"/>
  <c r="AR21"/>
  <c r="AR17"/>
  <c r="AQ39"/>
  <c r="AP10"/>
  <c r="AQ40"/>
  <c r="AP39"/>
  <c r="AP35"/>
  <c r="AP52"/>
  <c r="AP38"/>
  <c r="AP14"/>
  <c r="AR50"/>
  <c r="AQ11"/>
  <c r="AP16"/>
  <c r="AR11"/>
  <c r="AR8"/>
  <c r="AR32"/>
  <c r="AR39"/>
  <c r="AS22"/>
  <c r="AS16"/>
  <c r="AR40"/>
  <c r="AS14"/>
  <c r="AQ45"/>
  <c r="AQ38"/>
  <c r="AP27"/>
  <c r="AP41"/>
  <c r="AP40"/>
  <c r="AQ51"/>
  <c r="AQ27"/>
  <c r="AP21"/>
  <c r="AS50"/>
  <c r="AP34"/>
  <c r="AR51"/>
  <c r="AR22"/>
  <c r="AS23"/>
  <c r="AR9"/>
  <c r="AS33"/>
  <c r="AS46"/>
  <c r="AS32"/>
  <c r="AS41"/>
  <c r="AQ41"/>
  <c r="AQ14"/>
  <c r="AP53"/>
  <c r="AP8"/>
  <c r="AQ44"/>
  <c r="AP15"/>
  <c r="AQ33"/>
  <c r="AQ47"/>
  <c r="AS44"/>
  <c r="AP26"/>
  <c r="AS10"/>
  <c r="AR47"/>
  <c r="AR45"/>
  <c r="AR41"/>
  <c r="AR34"/>
  <c r="AS38"/>
  <c r="AS52"/>
  <c r="AS20"/>
  <c r="AP51"/>
  <c r="AQ52"/>
  <c r="AQ10"/>
  <c r="AP9"/>
  <c r="AQ32"/>
  <c r="AQ35"/>
  <c r="AP11"/>
  <c r="AQ29"/>
  <c r="AR29"/>
  <c r="AS9"/>
  <c r="AS29"/>
  <c r="AR44"/>
  <c r="AS40"/>
  <c r="AS53"/>
  <c r="AS39"/>
  <c r="AS34"/>
  <c r="AR38"/>
  <c r="AS8"/>
  <c r="AQ50"/>
  <c r="AP47"/>
  <c r="AP50"/>
  <c r="AQ26"/>
  <c r="AP32"/>
  <c r="AQ20"/>
  <c r="AQ23"/>
  <c r="AP22"/>
  <c r="AS51"/>
  <c r="AP29"/>
  <c r="V25"/>
  <c r="W25"/>
  <c r="W36"/>
  <c r="V36"/>
  <c r="V30"/>
  <c r="W30"/>
  <c r="W35"/>
  <c r="V35"/>
  <c r="W45"/>
  <c r="V45"/>
  <c r="W11"/>
  <c r="V11"/>
  <c r="V33"/>
  <c r="W33"/>
  <c r="W19"/>
  <c r="V19"/>
  <c r="V53"/>
  <c r="W53"/>
  <c r="W17"/>
  <c r="V17"/>
  <c r="W22"/>
  <c r="V22"/>
  <c r="V27"/>
  <c r="W27"/>
  <c r="V14"/>
  <c r="W14"/>
  <c r="W38"/>
  <c r="V38"/>
  <c r="V29"/>
  <c r="W29"/>
  <c r="W15"/>
  <c r="V15"/>
  <c r="W51"/>
  <c r="V51"/>
  <c r="W47"/>
  <c r="V47"/>
  <c r="W13"/>
  <c r="V13"/>
  <c r="AQ18" l="1"/>
  <c r="AT11"/>
  <c r="AT28"/>
  <c r="AQ30"/>
  <c r="AT45"/>
  <c r="AT15"/>
  <c r="AT17"/>
  <c r="AS24"/>
  <c r="AT21"/>
  <c r="AT41"/>
  <c r="AT47"/>
  <c r="AT22"/>
  <c r="AQ12"/>
  <c r="AQ24"/>
  <c r="AS48"/>
  <c r="AS12"/>
  <c r="AT38"/>
  <c r="AR42"/>
  <c r="AT29"/>
  <c r="AP18"/>
  <c r="AP24"/>
  <c r="AR30"/>
  <c r="AT26"/>
  <c r="AT50"/>
  <c r="AR54"/>
  <c r="AP30"/>
  <c r="AT39"/>
  <c r="AP42"/>
  <c r="AT46"/>
  <c r="AT35"/>
  <c r="AP12"/>
  <c r="AP36"/>
  <c r="AT51"/>
  <c r="AR36"/>
  <c r="AT32"/>
  <c r="AT52"/>
  <c r="AP48"/>
  <c r="AT9"/>
  <c r="AS42"/>
  <c r="AQ42"/>
  <c r="AR12"/>
  <c r="AT8"/>
  <c r="AT10"/>
  <c r="AS30"/>
  <c r="AP54"/>
  <c r="AQ36"/>
  <c r="AT34"/>
  <c r="AS36"/>
  <c r="AS54"/>
  <c r="AT27"/>
  <c r="AT16"/>
  <c r="AT44"/>
  <c r="AR48"/>
  <c r="AS18"/>
  <c r="AT33"/>
  <c r="AT20"/>
  <c r="AR24"/>
  <c r="AT14"/>
  <c r="AR18"/>
  <c r="AQ54"/>
  <c r="AQ48"/>
  <c r="AT40"/>
  <c r="AT23"/>
  <c r="AT53"/>
  <c r="AT18" l="1"/>
  <c r="AL14" s="1"/>
  <c r="AT36"/>
  <c r="AL33" s="1"/>
  <c r="AT42"/>
  <c r="AL39" s="1"/>
  <c r="AT48"/>
  <c r="AL45" s="1"/>
  <c r="AT24"/>
  <c r="AT54"/>
  <c r="AL52" s="1"/>
  <c r="AT30"/>
  <c r="AL27" s="1"/>
  <c r="AT12"/>
  <c r="AL11" s="1"/>
  <c r="AL16" l="1"/>
  <c r="AL32"/>
  <c r="AL34"/>
  <c r="AL35"/>
  <c r="AL17"/>
  <c r="AL15"/>
  <c r="AL47"/>
  <c r="AL38"/>
  <c r="AL44"/>
  <c r="AL40"/>
  <c r="AL41"/>
  <c r="AL46"/>
  <c r="AL29"/>
  <c r="AL22"/>
  <c r="AL21"/>
  <c r="AL51"/>
  <c r="AL50"/>
  <c r="AL28"/>
  <c r="AL26"/>
  <c r="AL9"/>
  <c r="AL8"/>
  <c r="AL53"/>
  <c r="AL10"/>
  <c r="AL20"/>
  <c r="AL23"/>
  <c r="AL18" l="1"/>
  <c r="AN15" s="1"/>
  <c r="AL36"/>
  <c r="AN35" s="1"/>
  <c r="AL42"/>
  <c r="AN40" s="1"/>
  <c r="AL48"/>
  <c r="AN45" s="1"/>
  <c r="AL12"/>
  <c r="AN11" s="1"/>
  <c r="AL24"/>
  <c r="AN23" s="1"/>
  <c r="AL54"/>
  <c r="AN52" s="1"/>
  <c r="AL30"/>
  <c r="AN27" s="1"/>
  <c r="AN34" l="1"/>
  <c r="AN32"/>
  <c r="AN16"/>
  <c r="AN17"/>
  <c r="AN41"/>
  <c r="AN14"/>
  <c r="AN33"/>
  <c r="AN28"/>
  <c r="AN38"/>
  <c r="AN39"/>
  <c r="AN47"/>
  <c r="AN10"/>
  <c r="AN44"/>
  <c r="AN46"/>
  <c r="AN21"/>
  <c r="AN20"/>
  <c r="AN9"/>
  <c r="AN22"/>
  <c r="AN50"/>
  <c r="AN51"/>
  <c r="AN29"/>
  <c r="AN26"/>
  <c r="AN8"/>
  <c r="AN53"/>
  <c r="AA17" l="1"/>
  <c r="AA40"/>
  <c r="AA8"/>
  <c r="AA32"/>
  <c r="AA16"/>
  <c r="AA9"/>
  <c r="AA41"/>
  <c r="AA15"/>
  <c r="AA14"/>
  <c r="O15" s="1"/>
  <c r="AA34"/>
  <c r="AA33"/>
  <c r="AA35"/>
  <c r="AA46"/>
  <c r="AA53"/>
  <c r="AA28"/>
  <c r="AA39"/>
  <c r="AA21"/>
  <c r="AA38"/>
  <c r="AA45"/>
  <c r="AA20"/>
  <c r="AA47"/>
  <c r="AA44"/>
  <c r="AA11"/>
  <c r="AA29"/>
  <c r="AA23"/>
  <c r="AA22"/>
  <c r="AA50"/>
  <c r="AA10"/>
  <c r="AA27"/>
  <c r="AA52"/>
  <c r="AA26"/>
  <c r="AA51"/>
  <c r="L21" l="1"/>
  <c r="J39"/>
  <c r="AO38" s="1"/>
  <c r="AZ34" s="1"/>
  <c r="S64" s="1"/>
  <c r="T64" s="1"/>
  <c r="N33"/>
  <c r="L15"/>
  <c r="M15"/>
  <c r="J17"/>
  <c r="N15"/>
  <c r="M16"/>
  <c r="O17"/>
  <c r="J15"/>
  <c r="AO14" s="1"/>
  <c r="AZ26" s="1"/>
  <c r="L17"/>
  <c r="L11"/>
  <c r="N17"/>
  <c r="J16"/>
  <c r="AO15" s="1"/>
  <c r="AZ11" s="1"/>
  <c r="L33"/>
  <c r="M11"/>
  <c r="M18"/>
  <c r="O33"/>
  <c r="M33"/>
  <c r="J36"/>
  <c r="J33"/>
  <c r="AO32" s="1"/>
  <c r="AZ18" s="1"/>
  <c r="S62" s="1"/>
  <c r="T62" s="1"/>
  <c r="BG20" s="1"/>
  <c r="O10"/>
  <c r="L10"/>
  <c r="J12"/>
  <c r="N12"/>
  <c r="N10"/>
  <c r="M10"/>
  <c r="J10"/>
  <c r="AO9" s="1"/>
  <c r="N39"/>
  <c r="N16"/>
  <c r="M35"/>
  <c r="O16"/>
  <c r="J18"/>
  <c r="L16"/>
  <c r="M17"/>
  <c r="O18"/>
  <c r="J48"/>
  <c r="N18"/>
  <c r="L18"/>
  <c r="L36"/>
  <c r="L41"/>
  <c r="N11"/>
  <c r="O34"/>
  <c r="O35"/>
  <c r="L34"/>
  <c r="N47"/>
  <c r="O40"/>
  <c r="O36"/>
  <c r="J35"/>
  <c r="L35"/>
  <c r="M36"/>
  <c r="N35"/>
  <c r="L47"/>
  <c r="M34"/>
  <c r="N36"/>
  <c r="N46"/>
  <c r="L46"/>
  <c r="M45"/>
  <c r="O46"/>
  <c r="M22"/>
  <c r="O48"/>
  <c r="L39"/>
  <c r="N34"/>
  <c r="J34"/>
  <c r="AO33" s="1"/>
  <c r="AZ35" s="1"/>
  <c r="N45"/>
  <c r="M46"/>
  <c r="J45"/>
  <c r="J47"/>
  <c r="O47"/>
  <c r="M41"/>
  <c r="N48"/>
  <c r="L45"/>
  <c r="J46"/>
  <c r="AO45" s="1"/>
  <c r="O45"/>
  <c r="M47"/>
  <c r="L42"/>
  <c r="N42"/>
  <c r="L24"/>
  <c r="M40"/>
  <c r="O41"/>
  <c r="M24"/>
  <c r="L40"/>
  <c r="O42"/>
  <c r="O9"/>
  <c r="N24"/>
  <c r="N41"/>
  <c r="M39"/>
  <c r="O21"/>
  <c r="O39"/>
  <c r="N40"/>
  <c r="L22"/>
  <c r="O24"/>
  <c r="J41"/>
  <c r="J24"/>
  <c r="J40"/>
  <c r="M42"/>
  <c r="J42"/>
  <c r="N21"/>
  <c r="M48"/>
  <c r="M23"/>
  <c r="L48"/>
  <c r="L23"/>
  <c r="J54"/>
  <c r="J11"/>
  <c r="J23"/>
  <c r="O11"/>
  <c r="O22"/>
  <c r="N9"/>
  <c r="J21"/>
  <c r="AO20" s="1"/>
  <c r="AZ14" s="1"/>
  <c r="S59" s="1"/>
  <c r="T59" s="1"/>
  <c r="N51"/>
  <c r="O54"/>
  <c r="M21"/>
  <c r="O12"/>
  <c r="M54"/>
  <c r="N23"/>
  <c r="J22"/>
  <c r="AO21" s="1"/>
  <c r="AZ31" s="1"/>
  <c r="N22"/>
  <c r="L54"/>
  <c r="O23"/>
  <c r="N54"/>
  <c r="N52"/>
  <c r="O53"/>
  <c r="J52"/>
  <c r="M52"/>
  <c r="M9"/>
  <c r="L12"/>
  <c r="AO44"/>
  <c r="AZ22" s="1"/>
  <c r="S63" s="1"/>
  <c r="T63" s="1"/>
  <c r="L51"/>
  <c r="M51"/>
  <c r="AO39"/>
  <c r="AZ19" s="1"/>
  <c r="L52"/>
  <c r="J53"/>
  <c r="N27"/>
  <c r="M29"/>
  <c r="M27"/>
  <c r="J28"/>
  <c r="N29"/>
  <c r="L29"/>
  <c r="J30"/>
  <c r="O29"/>
  <c r="L27"/>
  <c r="L28"/>
  <c r="J29"/>
  <c r="O28"/>
  <c r="J27"/>
  <c r="M30"/>
  <c r="M28"/>
  <c r="O30"/>
  <c r="O27"/>
  <c r="N28"/>
  <c r="N30"/>
  <c r="L30"/>
  <c r="M12"/>
  <c r="M53"/>
  <c r="L53"/>
  <c r="O51"/>
  <c r="J9"/>
  <c r="L9"/>
  <c r="O52"/>
  <c r="N53"/>
  <c r="J51"/>
  <c r="P21" l="1"/>
  <c r="P16"/>
  <c r="K15"/>
  <c r="P15"/>
  <c r="P18"/>
  <c r="P11"/>
  <c r="P17"/>
  <c r="P46"/>
  <c r="P33"/>
  <c r="K11"/>
  <c r="K16"/>
  <c r="K33"/>
  <c r="K10"/>
  <c r="P10"/>
  <c r="K47"/>
  <c r="K42"/>
  <c r="K18"/>
  <c r="P23"/>
  <c r="P41"/>
  <c r="K48"/>
  <c r="K40"/>
  <c r="P36"/>
  <c r="K24"/>
  <c r="P47"/>
  <c r="P34"/>
  <c r="P35"/>
  <c r="P48"/>
  <c r="K17"/>
  <c r="K35"/>
  <c r="P24"/>
  <c r="K46"/>
  <c r="K45"/>
  <c r="K41"/>
  <c r="P40"/>
  <c r="K34"/>
  <c r="P39"/>
  <c r="K36"/>
  <c r="P45"/>
  <c r="P22"/>
  <c r="K21"/>
  <c r="K23"/>
  <c r="P42"/>
  <c r="K39"/>
  <c r="K22"/>
  <c r="K54"/>
  <c r="P54"/>
  <c r="AZ27"/>
  <c r="S60" s="1"/>
  <c r="T60" s="1"/>
  <c r="BG28" s="1"/>
  <c r="AZ39"/>
  <c r="BG21"/>
  <c r="S70" s="1"/>
  <c r="T70" s="1"/>
  <c r="BG36"/>
  <c r="K29"/>
  <c r="P29"/>
  <c r="K51"/>
  <c r="P51"/>
  <c r="AO51"/>
  <c r="AZ23" s="1"/>
  <c r="AO50"/>
  <c r="AZ38" s="1"/>
  <c r="P9"/>
  <c r="K9"/>
  <c r="K30"/>
  <c r="P30"/>
  <c r="AO27"/>
  <c r="AZ15" s="1"/>
  <c r="AO26"/>
  <c r="P12"/>
  <c r="K12"/>
  <c r="BG13"/>
  <c r="S69" s="1"/>
  <c r="T69" s="1"/>
  <c r="K53"/>
  <c r="P53"/>
  <c r="P28"/>
  <c r="K28"/>
  <c r="AO8"/>
  <c r="AZ10" s="1"/>
  <c r="S58" s="1"/>
  <c r="T58" s="1"/>
  <c r="K27"/>
  <c r="P27"/>
  <c r="K52"/>
  <c r="P52"/>
  <c r="S65" l="1"/>
  <c r="T65" s="1"/>
  <c r="BG37" s="1"/>
  <c r="S72" s="1"/>
  <c r="T72" s="1"/>
  <c r="BN33" s="1"/>
  <c r="U77" s="1"/>
  <c r="Z77" s="1"/>
  <c r="BU36" s="1"/>
  <c r="AZ30"/>
  <c r="S61" s="1"/>
  <c r="T61" s="1"/>
  <c r="BG29" s="1"/>
  <c r="BN17"/>
  <c r="BG12"/>
  <c r="BN16" s="1"/>
  <c r="S71" l="1"/>
  <c r="T71" s="1"/>
  <c r="BN32" s="1"/>
  <c r="S77" s="1"/>
  <c r="T77" s="1"/>
  <c r="BU24" s="1"/>
  <c r="U76"/>
  <c r="Z76" s="1"/>
  <c r="BU35" s="1"/>
  <c r="T81" s="1"/>
  <c r="S76"/>
  <c r="T76" s="1"/>
  <c r="BU23" s="1"/>
  <c r="S85" l="1"/>
  <c r="BR41" s="1"/>
  <c r="T85" l="1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<sst xmlns="http://schemas.openxmlformats.org/spreadsheetml/2006/main" count="4374" uniqueCount="2540">
  <si>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</si>
  <si>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</si>
  <si>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</si>
  <si>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</si>
  <si>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</si>
  <si>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</si>
  <si>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</si>
  <si>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</si>
  <si>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</si>
  <si>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</si>
  <si>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</si>
  <si>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</si>
  <si>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</si>
  <si>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</si>
  <si>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</si>
  <si>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</si>
  <si>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</si>
  <si>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</si>
  <si>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</si>
  <si>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</si>
  <si>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</si>
  <si>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</si>
  <si>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</si>
  <si>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</si>
  <si>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</si>
  <si>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</si>
  <si>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</si>
  <si>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</si>
  <si>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</si>
  <si>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</si>
  <si>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</si>
  <si>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</si>
  <si>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</si>
  <si>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</si>
  <si>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</si>
  <si>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</si>
  <si>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</si>
  <si>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</si>
  <si>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</si>
  <si>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</si>
  <si>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</si>
  <si>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</si>
  <si>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</si>
  <si>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</si>
  <si>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</si>
  <si>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</si>
  <si>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</si>
  <si>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</si>
  <si>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</si>
  <si>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</si>
  <si>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</si>
  <si>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</si>
  <si>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</si>
  <si>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</si>
  <si>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</si>
  <si>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</si>
  <si>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</si>
  <si>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</si>
  <si>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</si>
  <si>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</si>
  <si>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</si>
  <si>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</si>
  <si>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</si>
  <si>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</si>
  <si>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</si>
  <si>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</si>
  <si>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</si>
  <si>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</si>
  <si>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</si>
  <si>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</si>
  <si>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</si>
  <si>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</si>
  <si>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</si>
  <si>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</si>
  <si>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</si>
  <si>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</si>
  <si>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</si>
  <si>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</si>
  <si>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</si>
  <si>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</si>
  <si>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</si>
  <si>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</si>
  <si>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</si>
  <si>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</si>
  <si>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</si>
  <si>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</si>
  <si>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</si>
  <si>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</si>
  <si>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</si>
  <si>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</si>
  <si>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</si>
  <si>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</si>
  <si>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</si>
  <si>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</si>
  <si>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</si>
  <si>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</si>
  <si>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</si>
  <si>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</si>
  <si>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</si>
  <si>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</si>
  <si>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</si>
  <si>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</si>
  <si>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</si>
  <si>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</si>
  <si>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</si>
  <si>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</si>
  <si>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</si>
  <si>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</si>
  <si>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</si>
  <si>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</si>
  <si>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</si>
  <si>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</si>
  <si>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</si>
  <si>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</si>
  <si>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</si>
  <si>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</si>
  <si>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</si>
  <si>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</si>
  <si>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</si>
  <si>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</si>
  <si>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</si>
  <si>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</si>
  <si>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</si>
  <si>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</si>
  <si>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</si>
  <si>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</si>
  <si>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</si>
  <si>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</si>
  <si>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</si>
  <si>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</si>
  <si>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</si>
  <si>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</si>
  <si>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</si>
  <si>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</si>
  <si>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</si>
  <si>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</si>
  <si>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</si>
  <si>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</si>
  <si>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</si>
  <si>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</si>
  <si>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</si>
  <si>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</si>
  <si>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</si>
  <si>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</si>
  <si>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</si>
  <si>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</si>
  <si>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</si>
  <si>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</si>
  <si>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</si>
  <si>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</si>
  <si>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</si>
  <si>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</si>
  <si>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</si>
  <si>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</si>
  <si>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</si>
  <si>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</si>
  <si>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</si>
  <si>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</si>
  <si>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</si>
  <si>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</si>
  <si>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</si>
  <si>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</si>
  <si>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</si>
  <si>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</si>
  <si>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</si>
  <si>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</si>
  <si>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</si>
  <si>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</si>
  <si>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</si>
  <si>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</si>
  <si>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</si>
  <si>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</si>
  <si>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</si>
  <si>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</si>
  <si>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</si>
  <si>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</si>
  <si>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</si>
  <si>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</si>
  <si>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</si>
  <si>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</si>
  <si>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</si>
  <si>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</si>
  <si>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</si>
  <si>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</si>
  <si>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</si>
  <si>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</si>
  <si>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</si>
  <si>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</si>
  <si>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</si>
  <si>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</si>
  <si>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</si>
  <si>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</si>
  <si>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</si>
  <si>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</si>
  <si>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</si>
  <si>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</si>
  <si>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</si>
  <si>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</si>
  <si>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</si>
  <si>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</si>
  <si>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</si>
  <si>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</si>
  <si>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</si>
  <si>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</si>
  <si>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</si>
  <si>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</si>
  <si>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</si>
  <si>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</si>
  <si>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</si>
  <si>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</si>
  <si>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</si>
  <si>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</si>
  <si>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</si>
  <si>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</si>
  <si>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</si>
  <si>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</si>
  <si>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</si>
  <si>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</si>
  <si>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</si>
  <si>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</si>
  <si>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</si>
  <si>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</si>
  <si>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</si>
  <si>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</si>
  <si>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</si>
  <si>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</si>
  <si>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</si>
  <si>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</si>
  <si>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</si>
  <si>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</si>
  <si>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</si>
  <si>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</si>
  <si>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</si>
  <si>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</si>
  <si>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</si>
  <si>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</si>
  <si>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</si>
  <si>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</si>
  <si>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</si>
  <si>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</si>
  <si>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</si>
  <si>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</si>
  <si>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</si>
  <si>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</si>
  <si>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</si>
  <si>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</si>
  <si>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</si>
  <si>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</si>
  <si>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</si>
  <si>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</si>
  <si>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</si>
  <si>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</si>
  <si>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</si>
  <si>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</si>
  <si>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</si>
  <si>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</si>
  <si>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</si>
  <si>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</si>
  <si>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</si>
  <si>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</si>
  <si>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</si>
  <si>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</si>
  <si>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</si>
  <si>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</si>
  <si>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</si>
  <si>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</si>
  <si>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</si>
  <si>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</si>
  <si>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</si>
  <si>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</si>
  <si>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</si>
  <si>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</si>
  <si>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</si>
  <si>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</si>
  <si>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</si>
  <si>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</si>
  <si>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</si>
  <si>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</si>
  <si>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</si>
  <si>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</si>
  <si>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</si>
  <si>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</si>
  <si>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</si>
  <si>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</si>
  <si>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</si>
  <si>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</si>
  <si>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</si>
  <si>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</si>
  <si>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</si>
  <si>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</si>
  <si>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</si>
  <si>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</si>
  <si>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</si>
  <si>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</si>
  <si>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</si>
  <si>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</si>
  <si>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</si>
  <si>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</si>
  <si>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</si>
  <si>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</si>
  <si>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</si>
  <si>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</si>
  <si>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</si>
  <si>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</si>
  <si>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</si>
  <si>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</si>
  <si>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</si>
  <si>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</si>
  <si>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</si>
  <si>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</si>
  <si>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</si>
  <si>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</si>
  <si>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</si>
  <si>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</si>
  <si>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</si>
  <si>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</si>
  <si>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</si>
  <si>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</si>
  <si>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</si>
  <si>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</si>
  <si>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</si>
  <si>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</si>
  <si>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</si>
  <si>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</si>
  <si>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</si>
  <si>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</si>
  <si>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</si>
  <si>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</si>
  <si>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</si>
  <si>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</si>
  <si>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</si>
  <si>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</si>
  <si>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</si>
  <si>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</si>
  <si>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</si>
  <si>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</si>
  <si>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</si>
  <si>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</si>
  <si>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</si>
  <si>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</si>
  <si>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</si>
  <si>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</si>
  <si>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</si>
  <si>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</si>
  <si>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</si>
  <si>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</si>
  <si>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</si>
  <si>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</si>
  <si>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</si>
  <si>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</si>
  <si>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</si>
  <si>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</si>
  <si>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</si>
  <si>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</si>
  <si>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</si>
  <si>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</si>
  <si>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</si>
  <si>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</si>
  <si>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</si>
  <si>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</si>
  <si>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</si>
  <si>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</si>
  <si>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</si>
  <si>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</si>
  <si>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</si>
  <si>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</si>
  <si>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</si>
  <si>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</si>
  <si>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</si>
  <si>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</si>
  <si>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</si>
  <si>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</si>
  <si>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</si>
  <si>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</si>
  <si>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</si>
  <si>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</si>
  <si>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</si>
  <si>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</si>
  <si>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</si>
  <si>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</si>
  <si>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</si>
  <si>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</si>
  <si>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</si>
  <si>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</si>
  <si>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</si>
  <si>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</si>
  <si>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</si>
  <si>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</si>
  <si>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</si>
  <si>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</si>
  <si>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</si>
  <si>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</si>
  <si>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</si>
  <si>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</si>
  <si>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</si>
  <si>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</si>
  <si>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</si>
  <si>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</si>
  <si>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</si>
  <si>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</si>
  <si>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</si>
  <si>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</si>
  <si>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</si>
  <si>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</si>
  <si>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</si>
  <si>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</si>
  <si>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</si>
  <si>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</si>
  <si>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</si>
  <si>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</si>
  <si>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</si>
  <si>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</si>
  <si>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</si>
  <si>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</si>
  <si>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</si>
  <si>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</si>
  <si>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</si>
  <si>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</si>
  <si>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</si>
  <si>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</si>
  <si>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</si>
  <si>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</si>
  <si>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</si>
  <si>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</si>
  <si>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</si>
  <si>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</si>
  <si>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</si>
  <si>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</si>
  <si>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</si>
  <si>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</si>
  <si>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</si>
  <si>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</si>
  <si>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</si>
  <si>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</si>
  <si>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</si>
  <si>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</si>
  <si>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</si>
  <si>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</si>
  <si>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</si>
  <si>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</si>
  <si>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</si>
  <si>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</si>
  <si>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</si>
  <si>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</si>
  <si>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</si>
  <si>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</si>
  <si>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</si>
  <si>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</si>
  <si>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</si>
  <si>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</si>
  <si>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</si>
  <si>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</si>
  <si>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</si>
  <si>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</si>
  <si>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</si>
  <si>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</si>
  <si>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</si>
  <si>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</si>
  <si>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</si>
  <si>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</si>
  <si>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</si>
  <si>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</si>
  <si>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</si>
  <si>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</si>
  <si>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</si>
  <si>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</si>
  <si>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</si>
  <si>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</si>
  <si>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</si>
  <si>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</si>
  <si>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</si>
  <si>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</si>
  <si>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</si>
  <si>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</si>
  <si>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</si>
  <si>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</si>
  <si>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</si>
  <si>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</si>
  <si>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</si>
  <si>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</si>
  <si>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</si>
  <si>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</si>
  <si>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</si>
  <si>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</si>
  <si>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</si>
  <si>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</si>
  <si>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</si>
  <si>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</si>
  <si>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</si>
  <si>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</si>
  <si>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</si>
  <si>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</si>
  <si>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</si>
  <si>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</si>
  <si>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</si>
  <si>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</si>
  <si>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</si>
  <si>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</si>
  <si>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</si>
  <si>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</si>
  <si>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</si>
  <si>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</si>
  <si>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</si>
  <si>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</si>
  <si>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</si>
  <si>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</si>
  <si>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</si>
  <si>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</si>
  <si>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</si>
  <si>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</si>
  <si>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</si>
  <si>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</si>
  <si>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</si>
  <si>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</si>
  <si>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</si>
  <si>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</si>
  <si>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</si>
  <si>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</si>
  <si>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</si>
  <si>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</si>
  <si>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</si>
  <si>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</si>
  <si>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</si>
  <si>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</si>
  <si>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</si>
  <si>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</si>
  <si>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</si>
  <si>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</si>
  <si>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</si>
  <si>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</si>
  <si>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</si>
  <si>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</si>
  <si>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</si>
  <si>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</si>
  <si>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</si>
  <si>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</si>
  <si>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</si>
  <si>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</si>
  <si>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</si>
  <si>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</si>
  <si>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</si>
  <si>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</si>
  <si>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</si>
  <si>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</si>
  <si>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</si>
  <si>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</si>
  <si>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</si>
  <si>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</si>
  <si>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</si>
  <si>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</si>
  <si>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</si>
  <si>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</si>
  <si>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</si>
  <si>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</si>
  <si>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</si>
  <si>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</si>
  <si>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</si>
  <si>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</si>
  <si>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</si>
  <si>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</si>
  <si>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</si>
  <si>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</si>
  <si>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</si>
  <si>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</si>
  <si>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</si>
  <si>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</si>
  <si>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</si>
  <si>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</si>
  <si>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</si>
  <si>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</si>
  <si>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</si>
  <si>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</si>
  <si>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</si>
  <si>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</si>
  <si>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</si>
  <si>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</si>
  <si>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</si>
  <si>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</si>
  <si>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</si>
  <si>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</si>
  <si>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</si>
  <si>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</si>
  <si>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</si>
  <si>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</si>
  <si>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</si>
  <si>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</si>
  <si>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</si>
  <si>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</si>
  <si>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</si>
  <si>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</si>
  <si>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</si>
  <si>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</si>
  <si>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</si>
  <si>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</si>
  <si>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</si>
  <si>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</si>
  <si>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</si>
  <si>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</si>
  <si>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</si>
  <si>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</si>
  <si>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</si>
  <si>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</si>
  <si>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</si>
  <si>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</si>
  <si>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</si>
  <si>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</si>
  <si>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</si>
  <si>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</si>
  <si>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</si>
  <si>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</si>
  <si>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</si>
  <si>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</si>
  <si>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</si>
  <si>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</si>
  <si>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</si>
  <si>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</si>
  <si>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</si>
  <si>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</si>
  <si>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</si>
  <si>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</si>
  <si>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</si>
  <si>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</si>
  <si>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</si>
  <si>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</si>
  <si>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</si>
  <si>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</si>
  <si>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</si>
  <si>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</si>
  <si>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</si>
  <si>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</si>
  <si>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</si>
  <si>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</si>
  <si>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</si>
  <si>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</si>
  <si>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</si>
  <si>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</si>
  <si>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</si>
  <si>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</si>
  <si>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</si>
  <si>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</si>
  <si>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</si>
  <si>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</si>
  <si>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</si>
  <si>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</si>
  <si>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</si>
  <si>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</si>
  <si>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</si>
  <si>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</si>
  <si>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</si>
  <si>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</si>
  <si>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</si>
  <si>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</si>
  <si>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</si>
  <si>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</si>
  <si>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</si>
  <si>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</si>
  <si>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</si>
  <si>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</si>
  <si>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</si>
  <si>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</si>
  <si>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</si>
  <si>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</si>
  <si>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</si>
  <si>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</si>
  <si>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</si>
  <si>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</si>
  <si>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</si>
  <si>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</si>
  <si>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</si>
  <si>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</si>
  <si>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</si>
  <si>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</si>
  <si>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</si>
  <si>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</si>
  <si>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</si>
  <si>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</si>
  <si>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</si>
  <si>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</si>
  <si>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</si>
  <si>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</si>
  <si>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</si>
  <si>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</si>
  <si>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</si>
  <si>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</si>
  <si>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</si>
  <si>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</si>
  <si>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</si>
  <si>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</si>
  <si>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</si>
  <si>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</si>
  <si>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</si>
  <si>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</si>
  <si>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</si>
  <si>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</si>
  <si>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</si>
  <si>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</si>
  <si>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</si>
  <si>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</si>
  <si>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</si>
  <si>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</si>
  <si>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</si>
  <si>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</si>
  <si>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</si>
  <si>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</si>
  <si>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</si>
  <si>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</si>
  <si>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</si>
  <si>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</si>
  <si>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</si>
  <si>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</si>
  <si>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</si>
  <si>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</si>
  <si>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</si>
  <si>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</si>
  <si>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</si>
  <si>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</si>
  <si>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</si>
  <si>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</si>
  <si>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</si>
  <si>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</si>
  <si>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</si>
  <si>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</si>
  <si>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</si>
  <si>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</si>
  <si>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</si>
  <si>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</si>
  <si>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</si>
  <si>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</si>
  <si>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</si>
  <si>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</si>
  <si>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</si>
  <si>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</si>
  <si>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</si>
  <si>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</si>
  <si>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</si>
  <si>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</si>
  <si>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</si>
  <si>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</si>
  <si>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</si>
  <si>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</si>
  <si>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</si>
  <si>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</si>
  <si>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</si>
  <si>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</si>
  <si>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</si>
  <si>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</si>
  <si>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</si>
  <si>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</si>
  <si>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</si>
  <si>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</si>
  <si>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</si>
  <si>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</si>
  <si>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</si>
  <si>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</si>
  <si>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</si>
  <si>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</si>
  <si>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</si>
  <si>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</si>
  <si>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</si>
  <si>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</si>
  <si>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</si>
  <si>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</si>
  <si>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</si>
  <si>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</si>
  <si>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</si>
  <si>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</si>
  <si>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</si>
  <si>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</si>
  <si>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</si>
  <si>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</si>
  <si>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</si>
  <si>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</si>
  <si>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</si>
  <si>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</si>
  <si>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</si>
  <si>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</si>
  <si>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</si>
  <si>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</si>
  <si>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</si>
  <si>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</si>
  <si>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</si>
  <si>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</si>
  <si>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</si>
  <si>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</si>
  <si>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</si>
  <si>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</si>
  <si>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</si>
  <si>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</si>
  <si>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</si>
  <si>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</si>
  <si>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</si>
  <si>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</si>
  <si>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</si>
  <si>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</si>
  <si>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</si>
  <si>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</si>
  <si>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</si>
  <si>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</si>
  <si>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</si>
  <si>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</si>
  <si>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</si>
  <si>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</si>
  <si>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</si>
  <si>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</si>
  <si>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</si>
  <si>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</si>
  <si>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</si>
  <si>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</si>
  <si>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</si>
  <si>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</si>
  <si>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</si>
  <si>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</si>
  <si>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</si>
  <si>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</si>
  <si>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</si>
  <si>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</si>
  <si>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</si>
  <si>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</si>
  <si>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</si>
  <si>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</si>
  <si>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</si>
  <si>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</si>
  <si>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</si>
  <si>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</si>
  <si>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</si>
  <si>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</si>
  <si>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</si>
  <si>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</si>
  <si>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</si>
  <si>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</si>
  <si>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</si>
  <si>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</si>
  <si>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</si>
  <si>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</si>
  <si>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</si>
  <si>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</si>
  <si>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</si>
  <si>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</si>
  <si>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</si>
  <si>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</si>
  <si>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</si>
  <si>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</si>
  <si>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</si>
  <si>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</si>
  <si>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</si>
  <si>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</si>
  <si>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</si>
  <si>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</si>
  <si>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</si>
  <si>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</si>
  <si>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</si>
  <si>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</si>
  <si>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</si>
  <si>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</si>
  <si>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</si>
  <si>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</si>
  <si>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</si>
  <si>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</si>
  <si>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</si>
  <si>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</si>
  <si>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</si>
  <si>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</si>
  <si>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</si>
  <si>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</si>
  <si>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</si>
  <si>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</si>
  <si>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</si>
  <si>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</si>
  <si>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</si>
  <si>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</si>
  <si>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</si>
  <si>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</si>
  <si>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</si>
  <si>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</si>
  <si>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</si>
  <si>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</si>
  <si>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</si>
  <si>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</si>
  <si>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</si>
  <si>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</si>
  <si>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</si>
  <si>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</si>
  <si>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</si>
  <si>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</si>
  <si>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</si>
  <si>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</si>
  <si>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</si>
  <si>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</si>
  <si>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</si>
  <si>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</si>
  <si>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</si>
  <si>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</si>
  <si>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</si>
  <si>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</si>
  <si>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</si>
  <si>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</si>
  <si>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</si>
  <si>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</si>
  <si>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</si>
  <si>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</si>
  <si>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</si>
  <si>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</si>
  <si>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</si>
  <si>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</si>
  <si>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</si>
  <si>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</si>
  <si>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</si>
  <si>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</si>
  <si>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</si>
  <si>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</si>
  <si>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</si>
  <si>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</si>
  <si>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</si>
  <si>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</si>
  <si>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</si>
  <si>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</si>
  <si>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</si>
  <si>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</si>
  <si>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</si>
  <si>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</si>
  <si>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</si>
  <si>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</si>
  <si>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</si>
  <si>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</si>
  <si>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</si>
  <si>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</si>
  <si>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</si>
  <si>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</si>
  <si>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</si>
  <si>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</si>
  <si>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</si>
  <si>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</si>
  <si>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</si>
  <si>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</si>
  <si>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</si>
  <si>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</si>
  <si>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</si>
  <si>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</si>
  <si>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</si>
  <si>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</si>
  <si>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</si>
  <si>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</si>
  <si>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</si>
  <si>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</si>
  <si>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</si>
  <si>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</si>
  <si>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</si>
  <si>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</si>
  <si>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</si>
  <si>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</si>
  <si>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</si>
  <si>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</si>
  <si>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</si>
  <si>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</si>
  <si>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</si>
  <si>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</si>
  <si>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</si>
  <si>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</si>
  <si>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</si>
  <si>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</si>
  <si>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</si>
  <si>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</si>
  <si>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</si>
  <si>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</si>
  <si>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</si>
  <si>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</si>
  <si>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</si>
  <si>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</si>
  <si>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</si>
  <si>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</si>
  <si>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</si>
  <si>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</si>
  <si>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</si>
  <si>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</si>
  <si>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</si>
  <si>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</si>
  <si>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</si>
  <si>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</si>
  <si>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</si>
  <si>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</si>
  <si>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</si>
  <si>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</si>
  <si>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</si>
  <si>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</si>
  <si>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</si>
  <si>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</si>
  <si>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</si>
  <si>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</si>
  <si>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</si>
  <si>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</si>
  <si>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</si>
  <si>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</si>
  <si>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</si>
  <si>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</si>
  <si>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</si>
  <si>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</si>
  <si>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</si>
  <si>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</si>
  <si>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</si>
  <si>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</si>
  <si>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</si>
  <si>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</si>
  <si>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</si>
  <si>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</si>
  <si>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</si>
  <si>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</si>
  <si>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</si>
  <si>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</si>
  <si>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</si>
  <si>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</si>
  <si>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</si>
  <si>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</si>
  <si>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</si>
  <si>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</si>
  <si>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</si>
  <si>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</si>
  <si>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</si>
  <si>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</si>
  <si>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</si>
  <si>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</si>
  <si>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</si>
  <si>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</si>
  <si>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</si>
  <si>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</si>
  <si>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</si>
  <si>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</si>
  <si>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</si>
  <si>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</si>
  <si>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</si>
  <si>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</si>
  <si>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</si>
  <si>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</si>
  <si>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</si>
  <si>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</si>
  <si>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</si>
  <si>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</si>
  <si>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</si>
  <si>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</si>
  <si>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</si>
  <si>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</si>
  <si>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</si>
  <si>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</si>
  <si>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</si>
  <si>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</si>
  <si>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</si>
  <si>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</si>
  <si>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</si>
  <si>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</si>
  <si>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</si>
  <si>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</si>
  <si>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</si>
  <si>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</si>
  <si>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</si>
  <si>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</si>
  <si>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</si>
  <si>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</si>
  <si>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</si>
  <si>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</si>
  <si>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</si>
  <si>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</si>
  <si>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</si>
  <si>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</si>
  <si>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</si>
  <si>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</si>
  <si>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</si>
  <si>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</si>
  <si>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</si>
  <si>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</si>
  <si>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</si>
  <si>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</si>
  <si>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</si>
  <si>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</si>
  <si>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</si>
  <si>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</si>
  <si>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</si>
  <si>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</si>
  <si>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</si>
  <si>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</si>
  <si>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</si>
  <si>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</si>
  <si>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</si>
  <si>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</si>
  <si>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</si>
  <si>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</si>
  <si>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</si>
  <si>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</si>
  <si>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</si>
  <si>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</si>
  <si>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</si>
  <si>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</si>
  <si>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</si>
  <si>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</si>
  <si>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</si>
  <si>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</si>
  <si>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</si>
  <si>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</si>
  <si>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</si>
  <si>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</si>
  <si>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</si>
  <si>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</si>
  <si>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</si>
  <si>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</si>
  <si>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</si>
  <si>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</si>
  <si>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</si>
  <si>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</si>
  <si>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</si>
  <si>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</si>
  <si>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</si>
  <si>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</si>
  <si>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</si>
  <si>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</si>
  <si>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</si>
  <si>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</si>
  <si>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</si>
  <si>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</si>
  <si>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</si>
  <si>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</si>
  <si>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</si>
  <si>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</si>
  <si>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</si>
  <si>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</si>
  <si>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</si>
  <si>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</si>
  <si>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</si>
  <si>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</si>
  <si>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</si>
  <si>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</si>
  <si>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</si>
  <si>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</si>
  <si>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</si>
  <si>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</si>
  <si>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</si>
  <si>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</si>
  <si>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</si>
  <si>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</si>
  <si>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</si>
  <si>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</si>
  <si>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</si>
  <si>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</si>
  <si>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</si>
  <si>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</si>
  <si>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</si>
  <si>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</si>
  <si>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</si>
  <si>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</si>
  <si>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</si>
  <si>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</si>
  <si>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</si>
  <si>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</si>
  <si>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</si>
  <si>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</si>
  <si>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</si>
  <si>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</si>
  <si>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</si>
  <si>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</si>
  <si>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</si>
  <si>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</si>
  <si>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</si>
  <si>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</si>
  <si>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</si>
  <si>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</si>
  <si>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</si>
  <si>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</si>
  <si>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</si>
  <si>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</si>
  <si>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</si>
  <si>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</si>
  <si>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</si>
  <si>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</si>
  <si>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</si>
  <si>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</si>
  <si>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</si>
  <si>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</si>
  <si>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</si>
  <si>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</si>
  <si>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</si>
  <si>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</si>
  <si>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</si>
  <si>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</si>
  <si>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</si>
  <si>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</si>
  <si>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</si>
  <si>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</si>
  <si>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</si>
  <si>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</si>
  <si>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</si>
  <si>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</si>
  <si>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</si>
  <si>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</si>
  <si>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</si>
  <si>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</si>
  <si>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</si>
  <si>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</si>
  <si>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</si>
  <si>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</si>
  <si>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</si>
  <si>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</si>
  <si>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</si>
  <si>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</si>
  <si>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</si>
  <si>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</si>
  <si>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</si>
  <si>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</si>
  <si>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</si>
  <si>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</si>
  <si>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</si>
  <si>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</si>
  <si>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</si>
  <si>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</si>
  <si>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</si>
  <si>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</si>
  <si>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</si>
  <si>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</si>
  <si>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</si>
  <si>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</si>
  <si>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</si>
  <si>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</si>
  <si>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</si>
  <si>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</si>
  <si>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</si>
  <si>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</si>
  <si>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</si>
  <si>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</si>
  <si>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</si>
  <si>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</si>
  <si>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</si>
  <si>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</si>
  <si>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</si>
  <si>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</si>
  <si>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</si>
  <si>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</si>
  <si>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</si>
  <si>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</si>
  <si>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</si>
  <si>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</si>
  <si>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</si>
  <si>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</si>
  <si>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</si>
  <si>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</si>
  <si>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</si>
  <si>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</si>
  <si>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</si>
  <si>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</si>
  <si>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</si>
  <si>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</si>
  <si>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</si>
  <si>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</si>
  <si>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</si>
  <si>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</si>
  <si>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</si>
  <si>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</si>
  <si>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</si>
  <si>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</si>
  <si>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</si>
  <si>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</si>
  <si>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</si>
  <si>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</si>
  <si>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</si>
  <si>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</si>
  <si>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</si>
  <si>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</si>
  <si>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</si>
  <si>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</si>
  <si>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</si>
  <si>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</si>
  <si>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</si>
  <si>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</si>
  <si>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</si>
  <si>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</si>
  <si>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</si>
  <si>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</si>
  <si>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</si>
  <si>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</si>
  <si>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</si>
  <si>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</si>
  <si>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</si>
  <si>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</si>
  <si>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</si>
  <si>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</si>
  <si>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</si>
  <si>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</si>
  <si>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</si>
  <si>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</si>
  <si>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</si>
  <si>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</si>
  <si>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</si>
  <si>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</si>
  <si>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</si>
  <si>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</si>
  <si>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</si>
  <si>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</si>
  <si>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</si>
  <si>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</si>
  <si>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</si>
  <si>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</si>
  <si>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</si>
  <si>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</si>
  <si>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</si>
  <si>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</si>
  <si>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</si>
  <si>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</si>
  <si>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</si>
  <si>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</si>
  <si>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</si>
  <si>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</si>
  <si>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</si>
  <si>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</si>
  <si>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</si>
  <si>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</si>
  <si>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</si>
  <si>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</si>
  <si>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</si>
  <si>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</si>
  <si>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</si>
  <si>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</si>
  <si>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</si>
  <si>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</si>
  <si>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</si>
  <si>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</si>
  <si>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</si>
  <si>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</si>
  <si>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</si>
  <si>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</si>
  <si>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</si>
  <si>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</si>
  <si>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</si>
  <si>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</si>
  <si>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</si>
  <si>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</si>
  <si>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</si>
  <si>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</si>
  <si>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</si>
  <si>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</si>
  <si>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</si>
  <si>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</si>
  <si>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</si>
  <si>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</si>
  <si>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</si>
  <si>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</si>
  <si>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</si>
  <si>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</si>
  <si>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</si>
  <si>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</si>
  <si>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</si>
  <si>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</si>
  <si>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</si>
  <si>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</si>
  <si>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</si>
  <si>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</si>
  <si>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</si>
  <si>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</si>
  <si>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</si>
  <si>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</si>
  <si>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</si>
  <si>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</si>
  <si>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</si>
  <si>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</si>
  <si>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</si>
  <si>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</si>
  <si>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</si>
  <si>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</si>
  <si>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</si>
  <si>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</si>
  <si>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</si>
  <si>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</si>
  <si>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</si>
  <si>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</si>
  <si>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</si>
  <si>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</si>
  <si>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</si>
  <si>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</si>
  <si>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</si>
  <si>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</si>
  <si>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</si>
  <si>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</si>
  <si>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</si>
  <si>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</si>
  <si>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</si>
  <si>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</si>
  <si>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</si>
  <si>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</si>
  <si>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</si>
  <si>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</si>
  <si>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</si>
  <si>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</si>
  <si>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</si>
  <si>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</si>
  <si>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</si>
  <si>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</si>
  <si>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</si>
  <si>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</si>
  <si>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</si>
  <si>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</si>
  <si>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</si>
  <si>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</si>
  <si>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</si>
  <si>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</si>
  <si>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</si>
  <si>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</si>
  <si>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</si>
  <si>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</si>
  <si>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</si>
  <si>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</si>
  <si>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</si>
  <si>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</si>
  <si>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</si>
  <si>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</si>
  <si>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</si>
  <si>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</si>
  <si>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</si>
  <si>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</si>
  <si>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</si>
  <si>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</si>
  <si>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</si>
  <si>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</si>
  <si>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</si>
  <si>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</si>
  <si>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</si>
  <si>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</si>
  <si>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</si>
  <si>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</si>
  <si>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</si>
  <si>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</si>
  <si>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</si>
  <si>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</si>
  <si>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</si>
  <si>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</si>
  <si>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</si>
  <si>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</si>
  <si>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</si>
  <si>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</si>
  <si>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</si>
  <si>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</si>
  <si>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</si>
  <si>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</si>
  <si>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</si>
  <si>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</si>
  <si>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</si>
  <si>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</si>
  <si>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</si>
  <si>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</si>
  <si>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</si>
  <si>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</si>
  <si>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</si>
  <si>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</si>
  <si>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</si>
  <si>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</si>
  <si>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</si>
  <si>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</si>
  <si>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</si>
  <si>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</si>
  <si>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</si>
  <si>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</si>
  <si>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</si>
  <si>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</si>
  <si>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</si>
  <si>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</si>
  <si>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</si>
  <si>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</si>
  <si>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</si>
  <si>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</si>
  <si>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</si>
  <si>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</si>
  <si>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</si>
  <si>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</si>
  <si>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</si>
  <si>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</si>
  <si>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</si>
  <si>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</si>
  <si>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</si>
  <si>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</si>
  <si>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</si>
  <si>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</si>
  <si>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</si>
  <si>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</si>
  <si>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</si>
  <si>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</si>
  <si>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</si>
  <si>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</si>
  <si>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</si>
  <si>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</si>
  <si>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</si>
  <si>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</si>
  <si>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</si>
  <si>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</si>
  <si>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</si>
  <si>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</si>
  <si>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</si>
  <si>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</si>
  <si>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</si>
  <si>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</si>
  <si>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</si>
  <si>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</si>
  <si>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</si>
  <si>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</si>
  <si>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</si>
  <si>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</si>
  <si>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</si>
  <si>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</si>
  <si>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</si>
  <si>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</si>
  <si>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</si>
  <si>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</si>
  <si>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</si>
  <si>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</si>
  <si>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</si>
  <si>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</si>
  <si>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</si>
  <si>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</si>
  <si>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</si>
  <si>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</si>
  <si>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</si>
  <si>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</si>
  <si>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</si>
  <si>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</si>
  <si>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</si>
  <si>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</si>
  <si>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</si>
  <si>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</si>
  <si>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</si>
  <si>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</si>
  <si>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</si>
  <si>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</si>
  <si>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</si>
  <si>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</si>
  <si>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</si>
  <si>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</si>
  <si>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</si>
  <si>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</si>
  <si>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</si>
  <si>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</si>
  <si>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</si>
  <si>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</si>
  <si>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</si>
  <si>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</si>
  <si>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</si>
  <si>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</si>
  <si>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</si>
  <si>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</si>
  <si>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</si>
  <si>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</si>
  <si>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</si>
  <si>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</si>
  <si>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</si>
  <si>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</si>
  <si>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</si>
  <si>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</si>
  <si>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</si>
  <si>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</si>
  <si>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</si>
  <si>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</si>
  <si>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</si>
  <si>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</si>
  <si>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</si>
  <si>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</si>
  <si>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</si>
  <si>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</si>
  <si>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</si>
  <si>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</si>
  <si>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</si>
  <si>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</si>
  <si>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</si>
  <si>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</si>
  <si>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</si>
  <si>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</si>
  <si>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</si>
  <si>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</si>
  <si>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</si>
  <si>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</si>
  <si>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</si>
  <si>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</si>
  <si>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</si>
  <si>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</si>
  <si>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</si>
  <si>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</si>
  <si>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</si>
  <si>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</si>
  <si>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</si>
  <si>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</si>
  <si>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</si>
  <si>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</si>
  <si>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</si>
  <si>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</si>
  <si>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</si>
  <si>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</si>
  <si>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</si>
  <si>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</si>
  <si>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</si>
  <si>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</si>
  <si>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</si>
  <si>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</si>
  <si>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</si>
  <si>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</si>
  <si>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</si>
  <si>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</si>
  <si>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</si>
  <si>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</si>
  <si>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</si>
  <si>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</si>
  <si>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</si>
  <si>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</si>
  <si>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</si>
  <si>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</si>
  <si>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</si>
  <si>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</si>
  <si>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</si>
  <si>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</si>
  <si>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</si>
  <si>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</si>
  <si>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</si>
  <si>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</si>
  <si>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</si>
  <si>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</si>
  <si>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</si>
  <si>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</si>
  <si>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</si>
  <si>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</si>
  <si>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</si>
  <si>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</si>
  <si>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</si>
  <si>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</si>
  <si>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</si>
  <si>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</si>
  <si>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</si>
  <si>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</si>
  <si>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</si>
  <si>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</si>
  <si>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</si>
  <si>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</si>
  <si>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</si>
  <si>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</si>
  <si>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</si>
  <si>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</si>
  <si>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</si>
  <si>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</si>
  <si>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</si>
  <si>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</si>
  <si>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</si>
  <si>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</si>
  <si>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</si>
  <si>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</si>
  <si>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</si>
  <si>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</si>
  <si>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</si>
  <si>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</si>
  <si>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</si>
  <si>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</si>
  <si>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</si>
  <si>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</si>
  <si>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</si>
  <si>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</si>
  <si>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</si>
  <si>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</si>
  <si>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</si>
  <si>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</si>
  <si>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</si>
  <si>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</si>
  <si>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</si>
  <si>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</si>
  <si>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</si>
  <si>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</si>
  <si>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</si>
  <si>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</si>
  <si>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</si>
  <si>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</si>
  <si>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</si>
  <si>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</si>
  <si>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</si>
  <si>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</si>
  <si>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</si>
  <si>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</si>
  <si>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</si>
  <si>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</si>
  <si>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</si>
  <si>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</si>
  <si>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</si>
  <si>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</si>
  <si>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</si>
  <si>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</si>
  <si>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</si>
  <si>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</si>
  <si>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</si>
  <si>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</si>
  <si>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</si>
  <si>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</si>
  <si>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</si>
  <si>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</si>
  <si>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</si>
  <si>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</si>
  <si>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</si>
  <si>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</si>
  <si>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</si>
  <si>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</si>
  <si>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</si>
  <si>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</si>
  <si>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</si>
  <si>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</si>
  <si>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</si>
  <si>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</si>
  <si>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</si>
  <si>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</si>
  <si>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</si>
  <si>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</si>
  <si>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</si>
  <si>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</si>
  <si>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</si>
  <si>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</si>
  <si>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</si>
  <si>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</si>
  <si>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</si>
  <si>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</si>
  <si>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</si>
  <si>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</si>
  <si>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</si>
  <si>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</si>
  <si>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</si>
  <si>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</si>
  <si>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</si>
  <si>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</si>
  <si>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</si>
  <si>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</si>
  <si>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</si>
  <si>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</si>
  <si>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</si>
  <si>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</si>
  <si>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</si>
  <si>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</si>
  <si>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</si>
  <si>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</si>
  <si>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</si>
  <si>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</si>
  <si>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</si>
  <si>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</si>
  <si>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</si>
  <si>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</si>
  <si>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</si>
  <si>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</si>
  <si>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</si>
  <si>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</si>
  <si>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</si>
  <si>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</si>
  <si>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</si>
  <si>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</si>
  <si>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</si>
  <si>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</si>
  <si>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</si>
  <si>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</si>
  <si>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</si>
  <si>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</si>
  <si>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</si>
  <si>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</si>
  <si>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</si>
  <si>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</si>
  <si>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</si>
  <si>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</si>
  <si>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</si>
  <si>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</si>
  <si>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</si>
  <si>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</si>
  <si>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</si>
  <si>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</si>
  <si>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</si>
  <si>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</si>
  <si>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</si>
  <si>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</si>
  <si>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</si>
  <si>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</si>
  <si>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</si>
  <si>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</si>
  <si>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</si>
  <si>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</si>
  <si>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</si>
  <si>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</si>
  <si>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</si>
  <si>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</si>
  <si>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</si>
  <si>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</si>
  <si>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</si>
  <si>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</si>
  <si>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</si>
  <si>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</si>
  <si>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</si>
  <si>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</si>
  <si>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</si>
  <si>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</si>
  <si>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</si>
  <si>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</si>
  <si>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</si>
  <si>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</si>
  <si>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</si>
  <si>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</si>
  <si>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</si>
  <si>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</si>
  <si>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</si>
  <si>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</si>
  <si>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</si>
  <si>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</si>
  <si>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</si>
  <si>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</si>
  <si>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</si>
  <si>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</si>
  <si>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</si>
  <si>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</si>
  <si>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</si>
  <si>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</si>
  <si>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</si>
  <si>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</si>
  <si>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</si>
  <si>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</si>
  <si>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</si>
  <si>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</si>
  <si>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</si>
  <si>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</si>
  <si>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</si>
  <si>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</si>
  <si>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</si>
  <si>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</si>
  <si>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</si>
  <si>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</si>
  <si>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</si>
  <si>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</si>
  <si>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</si>
  <si>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</si>
  <si>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</si>
  <si>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</si>
  <si>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</si>
  <si>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</si>
  <si>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</si>
  <si>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</si>
  <si>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</si>
  <si>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</si>
  <si>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</si>
  <si>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</si>
  <si>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</si>
  <si>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</si>
  <si>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</si>
  <si>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</si>
  <si>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</si>
  <si>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</si>
  <si>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</si>
  <si>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</si>
  <si>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</si>
  <si>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</si>
  <si>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</si>
  <si>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</si>
  <si>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</si>
  <si>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</si>
  <si>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</si>
  <si>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</si>
  <si>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</si>
  <si>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</si>
  <si>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</si>
  <si>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</si>
  <si>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</si>
  <si>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</si>
  <si>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</si>
  <si>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</si>
  <si>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</si>
  <si>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</si>
  <si>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</si>
  <si>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</si>
  <si>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</si>
  <si>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</si>
  <si>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</si>
  <si>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</si>
  <si>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</si>
  <si>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</si>
  <si>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</si>
  <si>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</si>
  <si>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</si>
  <si>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</si>
  <si>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</si>
  <si>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</si>
  <si>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</si>
  <si>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</si>
  <si>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</si>
  <si>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</si>
  <si>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</si>
  <si>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</si>
  <si>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</si>
  <si>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</si>
  <si>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</si>
  <si>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</si>
  <si>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</si>
  <si>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</si>
  <si>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</si>
  <si>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</si>
  <si>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</si>
  <si>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</si>
  <si>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</si>
  <si>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</si>
  <si>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</si>
  <si>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</si>
  <si>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</si>
  <si>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</si>
  <si>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</si>
  <si>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</si>
  <si>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</si>
  <si>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</si>
  <si>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</si>
  <si>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</si>
  <si>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</si>
  <si>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</si>
  <si>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</si>
  <si>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</si>
  <si>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</si>
  <si>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</si>
  <si>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</si>
  <si>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</si>
  <si>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</si>
  <si>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</si>
  <si>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</si>
  <si>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</si>
  <si>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</si>
  <si>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</si>
  <si>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</si>
  <si>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</si>
  <si>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</si>
  <si>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</si>
  <si>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</si>
  <si>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</si>
  <si>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</si>
  <si>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</si>
  <si>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</si>
  <si>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</si>
  <si>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</si>
  <si>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</si>
  <si>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</si>
  <si>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</si>
  <si>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</si>
  <si>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</si>
  <si>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</si>
  <si>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</si>
  <si>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</si>
  <si>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</si>
  <si>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</si>
  <si>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</si>
  <si>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</si>
  <si>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</si>
  <si>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</si>
  <si>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</si>
  <si>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</si>
  <si>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</si>
  <si>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</si>
  <si>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</si>
  <si>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</si>
  <si>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</si>
  <si>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</si>
  <si>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</si>
  <si>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</si>
  <si>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</si>
  <si>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</si>
  <si>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</si>
  <si>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</si>
  <si>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</si>
  <si>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</si>
  <si>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</si>
  <si>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</si>
  <si>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</si>
  <si>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</si>
  <si>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</si>
  <si>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</si>
  <si>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</si>
  <si>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</si>
  <si>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</si>
  <si>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</si>
  <si>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</si>
  <si>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</si>
  <si>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</si>
  <si>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</si>
  <si>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</si>
  <si>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</si>
  <si>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</si>
  <si>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</si>
  <si>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</si>
  <si>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</si>
  <si>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</si>
  <si>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</si>
  <si>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</si>
  <si>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</si>
  <si>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</si>
  <si>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</si>
  <si>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</si>
  <si>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</si>
  <si>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</si>
  <si>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</si>
  <si>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</si>
  <si>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</si>
  <si>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</si>
  <si>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</si>
  <si>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</si>
  <si>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</si>
  <si>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</si>
  <si>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</si>
  <si>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</si>
  <si>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</si>
  <si>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</si>
  <si>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</si>
  <si>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</si>
  <si>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</si>
  <si>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</si>
  <si>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</si>
  <si>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</si>
  <si>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</si>
  <si>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</si>
  <si>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</si>
  <si>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</si>
  <si>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</si>
  <si>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</si>
  <si>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</si>
  <si>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</si>
  <si>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</si>
  <si>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</si>
  <si>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</si>
  <si>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</si>
  <si>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</si>
  <si>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</si>
  <si>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</si>
  <si>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</si>
  <si>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</si>
  <si>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</si>
  <si>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</si>
  <si>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</si>
  <si>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</si>
  <si>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</si>
  <si>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</si>
  <si>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</si>
  <si>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</si>
  <si>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</si>
  <si>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</si>
  <si>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</si>
  <si>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</si>
  <si>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</si>
  <si>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</si>
  <si>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</si>
  <si>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</si>
  <si>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</si>
  <si>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</si>
  <si>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</si>
  <si>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</si>
  <si>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</si>
  <si>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</si>
  <si>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</si>
  <si>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</si>
  <si>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</si>
  <si>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</si>
  <si>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</si>
  <si>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</si>
  <si>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</si>
  <si>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</si>
  <si>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</si>
  <si>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</si>
  <si>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</si>
  <si>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</si>
  <si>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</si>
  <si>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</si>
  <si>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</si>
  <si>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</si>
  <si>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</si>
  <si>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</si>
  <si>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</si>
  <si>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</si>
  <si>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</si>
  <si>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</si>
  <si>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</si>
  <si>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</si>
  <si>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</si>
  <si>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</si>
  <si>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</si>
  <si>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</si>
  <si>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</si>
  <si>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</si>
  <si>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</si>
  <si>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</si>
  <si>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</si>
  <si>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</si>
  <si>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</si>
  <si>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</si>
  <si>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</si>
  <si>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</si>
  <si>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</si>
  <si>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</si>
  <si>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</si>
  <si>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</si>
  <si>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</si>
  <si>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</si>
  <si>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</si>
  <si>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</si>
  <si>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</si>
  <si>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</si>
  <si>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</si>
  <si>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</si>
  <si>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</si>
  <si>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</si>
  <si>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</si>
  <si>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</si>
  <si>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</si>
  <si>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</si>
  <si>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</si>
  <si>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</si>
  <si>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</si>
  <si>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</si>
  <si>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</si>
  <si>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</si>
  <si>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</si>
  <si>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</si>
  <si>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</si>
  <si>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</si>
  <si>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</si>
  <si>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</si>
  <si>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</si>
  <si>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</si>
  <si>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</si>
  <si>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</si>
  <si>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</si>
  <si>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</si>
  <si>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</si>
  <si>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</si>
  <si>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</si>
  <si>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</si>
  <si>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</si>
  <si>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</si>
  <si>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</si>
  <si>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</si>
  <si>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</si>
  <si>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</si>
  <si>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</si>
  <si>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</si>
  <si>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</si>
  <si>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</si>
  <si>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</si>
  <si>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</si>
  <si>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</si>
  <si>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</si>
  <si>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</si>
  <si>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</si>
  <si>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</si>
  <si>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</si>
  <si>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</si>
  <si>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</si>
  <si>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</si>
  <si>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</si>
  <si>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</si>
  <si>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</si>
  <si>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</si>
  <si>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</si>
  <si>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</si>
  <si>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</si>
  <si>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</si>
  <si>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</si>
  <si>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</si>
  <si>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</si>
  <si>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</si>
  <si>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</si>
  <si>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</si>
  <si>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</si>
  <si>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</si>
  <si>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</si>
  <si>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</si>
  <si>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</si>
  <si>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</si>
  <si>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</si>
  <si>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</si>
  <si>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</si>
  <si>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</si>
  <si>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</si>
  <si>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</si>
  <si>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</si>
  <si>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</si>
  <si>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</si>
  <si>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</si>
  <si>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</si>
  <si>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</si>
  <si>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</si>
  <si>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</si>
  <si>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</si>
  <si>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</si>
  <si>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</si>
  <si>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</si>
  <si>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</si>
  <si>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</si>
  <si>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</si>
  <si>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</si>
  <si>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</si>
  <si>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</si>
  <si>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</si>
  <si>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</si>
  <si>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</si>
  <si>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</si>
  <si>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</si>
  <si>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</si>
  <si>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</si>
  <si>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</si>
  <si>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</si>
  <si>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</si>
  <si>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</si>
  <si>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</si>
  <si>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</si>
  <si>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</si>
  <si>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</si>
  <si>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</si>
  <si>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</si>
  <si>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</si>
  <si>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</si>
  <si>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</si>
  <si>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</si>
  <si>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</si>
  <si>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</si>
  <si>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</si>
  <si>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</si>
  <si>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</si>
  <si>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</si>
  <si>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</si>
  <si>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</si>
  <si>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</si>
  <si>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</si>
  <si>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</si>
  <si>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</si>
  <si>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</si>
  <si>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</si>
  <si>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</si>
  <si>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</si>
  <si>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</si>
  <si>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</si>
  <si>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</si>
  <si>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</si>
  <si>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</si>
  <si>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</si>
  <si>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</si>
  <si>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</si>
  <si>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</si>
  <si>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</si>
  <si>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</si>
  <si>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</si>
  <si>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</si>
  <si>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</si>
  <si>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</si>
  <si>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</si>
  <si>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</si>
  <si>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</si>
  <si>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</si>
  <si>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</si>
  <si>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</si>
  <si>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</si>
  <si>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</si>
  <si>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</si>
  <si>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</si>
  <si>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</si>
  <si>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</si>
  <si>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</si>
  <si>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</si>
  <si>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</si>
  <si>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</si>
  <si>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</si>
  <si>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</si>
  <si>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</si>
  <si>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</si>
  <si>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</si>
  <si>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</si>
  <si>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</si>
  <si>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</si>
  <si>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</si>
  <si>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</si>
  <si>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</si>
  <si>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</si>
  <si>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</si>
  <si>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</si>
  <si>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</si>
  <si>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</si>
  <si>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</si>
  <si>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</si>
  <si>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</si>
  <si>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</si>
  <si>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</si>
  <si>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</si>
  <si>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</si>
  <si>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</si>
  <si>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</si>
  <si>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</si>
  <si>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</si>
  <si>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</si>
  <si>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</si>
  <si>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</si>
  <si>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</si>
  <si>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</si>
  <si>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</si>
  <si>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</si>
  <si>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</si>
  <si>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</si>
  <si>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</si>
  <si>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</si>
  <si>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</si>
  <si>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</si>
  <si>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</si>
  <si>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</si>
  <si>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</si>
  <si>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</si>
  <si>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</si>
  <si>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</si>
  <si>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</si>
  <si>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</si>
  <si>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</si>
  <si>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</si>
  <si>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</si>
  <si>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</si>
  <si>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</si>
  <si>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</si>
  <si>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</si>
  <si>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</si>
  <si>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</si>
  <si>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</si>
  <si>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</si>
  <si>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</si>
  <si>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</si>
  <si>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</si>
  <si>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</si>
  <si>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</si>
  <si>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</si>
  <si>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</si>
  <si>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</si>
  <si>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</si>
  <si>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</si>
  <si>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</si>
  <si>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</si>
  <si>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</si>
  <si>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</si>
  <si>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</si>
  <si>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</si>
  <si>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</si>
  <si>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</si>
  <si>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</si>
  <si>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</si>
  <si>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</si>
  <si>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</si>
  <si>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</si>
  <si>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</si>
  <si>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</si>
  <si>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</si>
  <si>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</si>
  <si>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</si>
  <si>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</si>
  <si>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</si>
  <si>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</si>
  <si>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</si>
  <si>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</si>
  <si>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</si>
  <si>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</si>
  <si>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</si>
  <si>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</si>
  <si>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</si>
  <si>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</si>
  <si>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</si>
  <si>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</si>
  <si>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</si>
  <si>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</si>
  <si>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</si>
  <si>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</si>
  <si>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</si>
  <si>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</si>
  <si>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</si>
  <si>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</si>
  <si>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</si>
  <si>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</si>
  <si>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</si>
  <si>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</si>
  <si>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</si>
  <si>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</si>
  <si>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</si>
  <si>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</si>
  <si>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</si>
  <si>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</si>
  <si>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</si>
  <si>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</si>
  <si>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</si>
  <si>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</si>
  <si>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</si>
  <si>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</si>
  <si>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</si>
  <si>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</si>
  <si>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</si>
  <si>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</si>
  <si>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</si>
  <si>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</si>
  <si>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</si>
  <si>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</si>
  <si>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</si>
  <si>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</si>
  <si>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</si>
  <si>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</si>
  <si>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</si>
  <si>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</si>
  <si>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</si>
  <si>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</si>
  <si>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</si>
  <si>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</si>
  <si>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</si>
  <si>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</si>
  <si>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</si>
  <si>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</si>
  <si>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</si>
  <si>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</si>
  <si>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</si>
  <si>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</si>
  <si>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</si>
  <si>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</si>
  <si>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</si>
  <si>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</si>
  <si>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</si>
  <si>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</si>
  <si>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</si>
  <si>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</si>
  <si>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</si>
  <si>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</si>
  <si>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</si>
  <si>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</si>
  <si>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</si>
  <si>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</si>
  <si>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</si>
  <si>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</si>
  <si>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</si>
  <si>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</si>
  <si>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</si>
  <si>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</si>
  <si>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</si>
  <si>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</si>
  <si>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</si>
  <si>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</si>
  <si>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</si>
  <si>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</si>
  <si>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</si>
  <si>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</si>
  <si>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</si>
  <si>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</si>
  <si>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</si>
  <si>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</si>
  <si>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</si>
  <si>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</si>
  <si>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</si>
  <si>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</si>
  <si>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</si>
  <si>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</si>
  <si>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</si>
  <si>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</si>
  <si>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</si>
  <si>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</si>
  <si>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</si>
  <si>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</si>
  <si>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</si>
  <si>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</si>
  <si>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</si>
  <si>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</si>
  <si>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</si>
  <si>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</si>
  <si>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</si>
  <si>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</si>
  <si>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</si>
  <si>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</si>
  <si>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</si>
  <si>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</si>
  <si>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</si>
  <si>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</si>
  <si>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</si>
  <si>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</si>
  <si>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</si>
  <si>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</si>
  <si>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</si>
  <si>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</si>
  <si>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</si>
  <si>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</si>
  <si>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</si>
  <si>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</si>
  <si>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</si>
  <si>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</si>
  <si>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</si>
  <si>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</si>
  <si>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</si>
  <si>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</si>
  <si>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</si>
  <si>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</si>
  <si>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</si>
  <si>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</si>
  <si>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</si>
  <si>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</si>
  <si>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</si>
  <si>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</si>
  <si>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</si>
  <si>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</si>
  <si>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</si>
  <si>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</si>
  <si>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</si>
  <si>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</si>
  <si>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</si>
  <si>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</si>
  <si>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</si>
  <si>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</si>
  <si>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</si>
  <si>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</si>
  <si>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</si>
  <si>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</si>
  <si>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</si>
  <si>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</si>
  <si>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</si>
  <si>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</si>
  <si>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</si>
  <si>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</si>
  <si>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</si>
  <si>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</si>
  <si>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</si>
  <si>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</si>
  <si>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</si>
  <si>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</si>
  <si>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</si>
  <si>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</si>
  <si>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</si>
  <si>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</si>
  <si>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</si>
  <si>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</si>
  <si>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</si>
  <si>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</si>
  <si>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</si>
  <si>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</si>
  <si>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</si>
  <si>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</si>
  <si>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</si>
  <si>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</si>
  <si>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</si>
  <si>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</si>
  <si>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</si>
  <si>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</si>
  <si>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Lautaro Martinez</t>
  </si>
  <si>
    <t>3. Argentina</t>
  </si>
  <si>
    <t>4. Kaks</t>
  </si>
  <si>
    <t>5. Neymar</t>
  </si>
  <si>
    <t>6. Netherlands</t>
  </si>
  <si>
    <t>7. Saudi Arabia</t>
  </si>
  <si>
    <t>8. Switzerland</t>
  </si>
  <si>
    <t>10. Jah</t>
  </si>
  <si>
    <t>9. Kevin De Bruyne</t>
  </si>
  <si>
    <t>2. Iran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</si>
</sst>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;;;"/>
  </numFmts>
  <fonts count="24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25.png"/><Relationship Id="rId50" Type="http://schemas.openxmlformats.org/officeDocument/2006/relationships/image" Target="../media/image51.svg"/><Relationship Id="rId55" Type="http://schemas.openxmlformats.org/officeDocument/2006/relationships/image" Target="../media/image29.png"/><Relationship Id="rId63" Type="http://schemas.openxmlformats.org/officeDocument/2006/relationships/image" Target="../media/image33.png"/><Relationship Id="rId7" Type="http://schemas.openxmlformats.org/officeDocument/2006/relationships/image" Target="../media/image5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0" Type="http://schemas.openxmlformats.org/officeDocument/2006/relationships/image" Target="../media/image21.svg"/><Relationship Id="rId29" Type="http://schemas.openxmlformats.org/officeDocument/2006/relationships/image" Target="../media/image16.png"/><Relationship Id="rId41" Type="http://schemas.openxmlformats.org/officeDocument/2006/relationships/image" Target="../media/image2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7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20.png"/><Relationship Id="rId40" Type="http://schemas.openxmlformats.org/officeDocument/2006/relationships/image" Target="../media/image41.svg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8" Type="http://schemas.openxmlformats.org/officeDocument/2006/relationships/image" Target="../media/image59.sv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61" Type="http://schemas.openxmlformats.org/officeDocument/2006/relationships/image" Target="../media/image32.png"/><Relationship Id="rId10" Type="http://schemas.openxmlformats.org/officeDocument/2006/relationships/image" Target="../media/image11.svg"/><Relationship Id="rId19" Type="http://schemas.openxmlformats.org/officeDocument/2006/relationships/image" Target="../media/image11.png"/><Relationship Id="rId31" Type="http://schemas.openxmlformats.org/officeDocument/2006/relationships/image" Target="../media/image17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6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15.png"/><Relationship Id="rId30" Type="http://schemas.openxmlformats.org/officeDocument/2006/relationships/image" Target="../media/image31.svg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27.png"/><Relationship Id="rId3" Type="http://schemas.openxmlformats.org/officeDocument/2006/relationships/image" Target="../media/image3.png"/><Relationship Id="rId12" Type="http://schemas.openxmlformats.org/officeDocument/2006/relationships/image" Target="../media/image13.sv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xmlns="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xmlns="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xmlns="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xmlns="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xmlns="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xmlns="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xmlns="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xmlns="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xmlns="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xmlns="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xmlns="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xmlns="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xmlns="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xmlns="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xmlns="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xmlns="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xmlns="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xmlns="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xmlns="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xmlns="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xmlns="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xmlns="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xmlns="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xmlns="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xmlns="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xmlns="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xmlns="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xmlns="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xmlns="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xmlns="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xmlns="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xmlns="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xmlns="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xmlns="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xmlns="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xmlns="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xmlns="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xmlns="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xmlns="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xmlns="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xmlns="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xmlns="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xmlns="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xmlns="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xmlns="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xmlns="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xmlns="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xmlns="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xmlns="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xmlns="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xmlns="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xmlns="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xmlns="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xmlns="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xmlns="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xmlns="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xmlns="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xmlns="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xmlns="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xmlns="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xmlns="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xmlns="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xmlns="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xmlns="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xmlns="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xmlns="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xmlns="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xmlns="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xmlns="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xmlns="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xmlns="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xmlns="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xmlns="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xmlns="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xmlns="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xmlns="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xmlns="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xmlns="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xmlns="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xmlns="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xmlns="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xmlns="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xmlns="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xmlns="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xmlns="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xmlns="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xmlns="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xmlns="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xmlns="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xmlns="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xmlns="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xmlns="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xmlns="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xmlns="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xmlns="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/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>
      <c r="A103" s="1"/>
    </row>
    <row r="104" spans="1:42">
      <c r="A104" s="1"/>
    </row>
    <row r="105" spans="1:42">
      <c r="A105" s="1"/>
    </row>
    <row r="106" spans="1:42">
      <c r="A106" s="1"/>
    </row>
    <row r="107" spans="1:42">
      <c r="A107" s="1"/>
    </row>
    <row r="108" spans="1:42">
      <c r="A108" s="1"/>
    </row>
    <row r="109" spans="1:42">
      <c r="A109" s="1"/>
    </row>
    <row r="110" spans="1:42">
      <c r="A110" s="1"/>
    </row>
    <row r="111" spans="1:42">
      <c r="A111" s="1"/>
    </row>
    <row r="112" spans="1:42">
      <c r="A112" s="1"/>
    </row>
    <row r="113" spans="1:42">
      <c r="A113" s="1"/>
    </row>
    <row r="114" spans="1:42">
      <c r="A114" s="1"/>
    </row>
    <row r="115" spans="1:42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49"/>
  <sheetViews>
    <sheetView showGridLines="0" workbookViewId="0">
      <selection activeCell="C12" sqref="C12"/>
    </sheetView>
  </sheetViews>
  <sheetFormatPr defaultColWidth="9.140625" defaultRowHeight="1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/>
    <row r="2" spans="2:12" ht="16.5" thickBot="1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>
      <c r="B3" s="64"/>
      <c r="C3" s="65"/>
      <c r="D3" s="66"/>
      <c r="F3" s="64"/>
      <c r="G3" s="65"/>
      <c r="H3" s="66"/>
    </row>
    <row r="4" spans="2:12">
      <c r="B4" s="76" t="s">
        <v>1953</v>
      </c>
      <c r="C4" s="82" t="s">
        <v>0</v>
      </c>
      <c r="D4" s="66"/>
      <c r="F4" s="64"/>
      <c r="G4" s="67"/>
      <c r="H4" s="66"/>
    </row>
    <row r="5" spans="2:12">
      <c r="B5" s="64"/>
      <c r="C5" s="65"/>
      <c r="D5" s="66"/>
      <c r="F5" s="68" t="s">
        <v>1954</v>
      </c>
      <c r="G5" s="69" t="s">
        <v>1955</v>
      </c>
      <c r="H5" s="66"/>
    </row>
    <row r="6" spans="2:12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>
      <c r="B7" s="64"/>
      <c r="C7" s="65"/>
      <c r="D7" s="66"/>
      <c r="F7" s="68" t="s">
        <v>1959</v>
      </c>
      <c r="G7" s="70" t="s">
        <v>1960</v>
      </c>
      <c r="H7" s="66"/>
    </row>
    <row r="8" spans="2:12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>
      <c r="B9" s="64"/>
      <c r="C9" s="65"/>
      <c r="D9" s="66"/>
      <c r="F9" s="68" t="s">
        <v>1965</v>
      </c>
      <c r="G9" s="71" t="s">
        <v>1966</v>
      </c>
      <c r="H9" s="66"/>
    </row>
    <row r="10" spans="2:12">
      <c r="B10" s="76" t="s">
        <v>1967</v>
      </c>
      <c r="C10" s="82" t="s">
        <v>1968</v>
      </c>
      <c r="D10" s="66"/>
      <c r="F10" s="64"/>
      <c r="G10" s="72"/>
      <c r="H10" s="66"/>
    </row>
    <row r="11" spans="2:12">
      <c r="B11" s="64"/>
      <c r="C11" s="65"/>
      <c r="D11" s="66"/>
      <c r="F11" s="73"/>
      <c r="G11" s="74"/>
      <c r="H11" s="75"/>
    </row>
    <row r="12" spans="2:12">
      <c r="B12" s="76" t="s">
        <v>2016</v>
      </c>
      <c r="C12" s="82" t="s">
        <v>2323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>
      <c r="F14" s="83"/>
      <c r="G14" s="83"/>
      <c r="H14" s="83"/>
      <c r="I14" s="83"/>
      <c r="J14" s="83"/>
      <c r="K14" s="99"/>
      <c r="L14" s="99"/>
    </row>
    <row r="15" spans="2:12" ht="9" customHeight="1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Netherlands</v>
      </c>
      <c r="J15" s="83"/>
      <c r="K15" s="99"/>
      <c r="L15" s="99"/>
    </row>
    <row r="16" spans="2:12" ht="16.5" thickBot="1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X97"/>
  <sheetViews>
    <sheetView showGridLines="0" tabSelected="1" workbookViewId="0">
      <selection activeCell="BV25" sqref="BV25"/>
    </sheetView>
  </sheetViews>
  <sheetFormatPr defaultColWidth="9.140625" defaultRowHeight="1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/>
    <row r="5" spans="1:76" ht="15" customHeight="1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Qatar_draw</v>
      </c>
      <c r="T7" s="88" t="str">
        <f t="shared" ref="T7:T54" si="4">IF(S7="","",IF(F7&lt;G7,H7&amp;"_win",IF(F7&gt;G7,H7&amp;"_lose",H7&amp;"_draw")))</f>
        <v>Ecuador_draw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0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1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4</v>
      </c>
      <c r="AG8" s="47">
        <f>SUMIF($E$7:$E$54,$AB8,$G$7:$G$54) + SUMIF($H$7:$H$54,$AB8,$F$7:$F$54)</f>
        <v>2</v>
      </c>
      <c r="AH8" s="47">
        <f>(AF8-AG8)*100+AK8*10000+AF8</f>
        <v>60204</v>
      </c>
      <c r="AI8" s="47">
        <f>AF8-AG8</f>
        <v>2</v>
      </c>
      <c r="AJ8" s="47">
        <f>(AI8-AI13)/AI12</f>
        <v>0.66666666666666663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740.00079207999988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1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7 - 3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1</v>
      </c>
      <c r="AE9" s="47">
        <f>COUNTIF($S$7:$T$54,"=" &amp; AB9 &amp; "_lose")</f>
        <v>2</v>
      </c>
      <c r="AF9" s="47">
        <f>SUMIF($E$7:$E$54,$AB9,$F$7:$F$54) + SUMIF($H$7:$H$54,$AB9,$G$7:$G$54)</f>
        <v>2</v>
      </c>
      <c r="AG9" s="47">
        <f>SUMIF($E$7:$E$54,$AB9,$G$7:$G$54) + SUMIF($H$7:$H$54,$AB9,$F$7:$F$54)</f>
        <v>6</v>
      </c>
      <c r="AH9" s="47">
        <f>(AF9-AG9)*100+AK9*10000+AF9</f>
        <v>9602</v>
      </c>
      <c r="AI9" s="47">
        <f>AF9-AG9</f>
        <v>-4</v>
      </c>
      <c r="AJ9" s="47">
        <f>(AI9-AI13)/AI12</f>
        <v>0</v>
      </c>
      <c r="AK9" s="47">
        <f>AC9*3+AD9</f>
        <v>1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114.44516494444444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4 - 2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1</v>
      </c>
      <c r="AE10" s="47">
        <f>COUNTIF($S$7:$T$54,"=" &amp; AB10 &amp; "_lose")</f>
        <v>2</v>
      </c>
      <c r="AF10" s="47">
        <f>SUMIF($E$7:$E$54,$AB10,$F$7:$F$54) + SUMIF($H$7:$H$54,$AB10,$G$7:$G$54)</f>
        <v>2</v>
      </c>
      <c r="AG10" s="47">
        <f>SUMIF($E$7:$E$54,$AB10,$G$7:$G$54) + SUMIF($H$7:$H$54,$AB10,$F$7:$F$54)</f>
        <v>4</v>
      </c>
      <c r="AH10" s="47">
        <f>(AF10-AG10)*100+AK10*10000+AF10</f>
        <v>9802</v>
      </c>
      <c r="AI10" s="47">
        <f>AF10-AG10</f>
        <v>-2</v>
      </c>
      <c r="AJ10" s="47">
        <f>(AI10-AI13)/AI12</f>
        <v>0.22222222222222221</v>
      </c>
      <c r="AK10" s="47">
        <f>AC10*3+AD10</f>
        <v>1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136.6673931666667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0</v>
      </c>
      <c r="M11" s="25">
        <f>VLOOKUP(3,AA8:AK11,4,FALSE)</f>
        <v>1</v>
      </c>
      <c r="N11" s="25">
        <f>VLOOKUP(3,AA8:AK11,5,FALSE)</f>
        <v>2</v>
      </c>
      <c r="O11" s="25" t="str">
        <f>VLOOKUP(3,AA8:AK11,6,FALSE) &amp; " - " &amp; VLOOKUP(3,AA8:AK11,7,FALSE)</f>
        <v>2 - 4</v>
      </c>
      <c r="P11" s="54">
        <f>L11*3+M11</f>
        <v>1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0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3</v>
      </c>
      <c r="AH11" s="47">
        <f>(AF11-AG11)*100+AK11*10000+AF11</f>
        <v>90407</v>
      </c>
      <c r="AI11" s="47">
        <f>AF11-AG11</f>
        <v>4</v>
      </c>
      <c r="AJ11" s="47">
        <f>(AI11-AI13)/AI12</f>
        <v>0.88888888888888884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1100.5563848855556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2 - 6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3</v>
      </c>
      <c r="AF12" s="47">
        <f t="shared" si="10"/>
        <v>6</v>
      </c>
      <c r="AG12" s="47">
        <f t="shared" si="10"/>
        <v>5</v>
      </c>
      <c r="AH12" s="47">
        <f>MAX(AH8:AH11)-AH13+1</f>
        <v>80806</v>
      </c>
      <c r="AI12" s="47">
        <f>MAX(AI8:AI11)-AI13+1</f>
        <v>9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0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Mexico_lose</v>
      </c>
      <c r="T13" s="88" t="str">
        <f t="shared" si="4"/>
        <v>Poland_win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-1</v>
      </c>
      <c r="AH13" s="47">
        <f>MIN(AH8:AH11)</f>
        <v>9602</v>
      </c>
      <c r="AI13" s="47">
        <f>MIN(AI8:AI11)</f>
        <v>-4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1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2</v>
      </c>
      <c r="AD14" s="47">
        <f>COUNTIF($S$7:$T$54,"=" &amp; AB14 &amp; "_draw")</f>
        <v>1</v>
      </c>
      <c r="AE14" s="47">
        <f>COUNTIF($S$7:$T$54,"=" &amp; AB14 &amp; "_lose")</f>
        <v>0</v>
      </c>
      <c r="AF14" s="47">
        <f>SUMIF($E$7:$E$54,$AB14,$F$7:$F$54) + SUMIF($H$7:$H$54,$AB14,$G$7:$G$54)</f>
        <v>3</v>
      </c>
      <c r="AG14" s="47">
        <f>SUMIF($E$7:$E$54,$AB14,$G$7:$G$54) + SUMIF($H$7:$H$54,$AB14,$F$7:$F$54)</f>
        <v>1</v>
      </c>
      <c r="AH14" s="47">
        <f>(AF14-AG14)*100+AK14*10000+AF14</f>
        <v>70203</v>
      </c>
      <c r="AI14" s="47">
        <f>AF14-AG14</f>
        <v>2</v>
      </c>
      <c r="AJ14" s="47">
        <f>(AI14-AI19)/AI18</f>
        <v>0.8</v>
      </c>
      <c r="AK14" s="47">
        <f>AC14*3+AD14</f>
        <v>7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1087.5008809999999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1</v>
      </c>
      <c r="BB14" s="86">
        <v>1</v>
      </c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2</v>
      </c>
      <c r="M15" s="51">
        <f>VLOOKUP(1,AA14:AK17,4,FALSE)</f>
        <v>1</v>
      </c>
      <c r="N15" s="51">
        <f>VLOOKUP(1,AA14:AK17,5,FALSE)</f>
        <v>0</v>
      </c>
      <c r="O15" s="51" t="str">
        <f>VLOOKUP(1,AA14:AK17,6,FALSE) &amp; " - " &amp; VLOOKUP(1,AA14:AK17,7,FALSE)</f>
        <v>3 - 1</v>
      </c>
      <c r="P15" s="52">
        <f>L15*3+M15</f>
        <v>7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2</v>
      </c>
      <c r="AH15" s="47">
        <f>(AF15-AG15)*100+AK15*10000+AF15</f>
        <v>9800</v>
      </c>
      <c r="AI15" s="47">
        <f>AF15-AG15</f>
        <v>-2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142.85792485714285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France</v>
      </c>
      <c r="BA15" s="85">
        <v>1</v>
      </c>
      <c r="BB15" s="87">
        <v>0</v>
      </c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2 - 2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2</v>
      </c>
      <c r="AG16" s="47">
        <f>SUMIF($E$7:$E$54,$AB16,$G$7:$G$54) + SUMIF($H$7:$H$54,$AB16,$F$7:$F$54)</f>
        <v>2</v>
      </c>
      <c r="AH16" s="47">
        <f>(AF16-AG16)*100+AK16*10000+AF16</f>
        <v>40002</v>
      </c>
      <c r="AI16" s="47">
        <f>AF16-AG16</f>
        <v>0</v>
      </c>
      <c r="AJ16" s="47">
        <f>(AI16-AI19)/AI18</f>
        <v>0.4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616.42938828857143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3</v>
      </c>
      <c r="N17" s="25">
        <f>VLOOKUP(3,AA14:AK17,5,FALSE)</f>
        <v>0</v>
      </c>
      <c r="O17" s="25" t="str">
        <f>VLOOKUP(3,AA14:AK17,6,FALSE) &amp; " - " &amp; VLOOKUP(3,AA14:AK17,7,FALSE)</f>
        <v>2 - 2</v>
      </c>
      <c r="P17" s="54">
        <f>L17*3+M17</f>
        <v>3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3</v>
      </c>
      <c r="AE17" s="47">
        <f>COUNTIF($S$7:$T$54,"=" &amp; AB17 &amp; "_lose")</f>
        <v>0</v>
      </c>
      <c r="AF17" s="47">
        <f>SUMIF($E$7:$E$54,$AB17,$F$7:$F$54) + SUMIF($H$7:$H$54,$AB17,$G$7:$G$54)</f>
        <v>2</v>
      </c>
      <c r="AG17" s="47">
        <f>SUMIF($E$7:$E$54,$AB17,$G$7:$G$54) + SUMIF($H$7:$H$54,$AB17,$F$7:$F$54)</f>
        <v>2</v>
      </c>
      <c r="AH17" s="47">
        <f>(AF17-AG17)*100+AK17*10000+AF17</f>
        <v>30002</v>
      </c>
      <c r="AI17" s="47">
        <f>AF17-AG17</f>
        <v>0</v>
      </c>
      <c r="AJ17" s="47">
        <f>(AI17-AI19)/AI18</f>
        <v>0.4</v>
      </c>
      <c r="AK17" s="47">
        <f>AC17*3+AD17</f>
        <v>3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473.57221963642854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Germany</v>
      </c>
      <c r="BO17" s="85">
        <v>0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0 - 2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3</v>
      </c>
      <c r="AD18" s="47">
        <f t="shared" si="11"/>
        <v>3</v>
      </c>
      <c r="AE18" s="47">
        <f t="shared" si="11"/>
        <v>3</v>
      </c>
      <c r="AF18" s="47">
        <f t="shared" si="11"/>
        <v>4</v>
      </c>
      <c r="AG18" s="47">
        <f t="shared" si="11"/>
        <v>2</v>
      </c>
      <c r="AH18" s="47">
        <f>MAX(AH14:AH17)-AH19+1</f>
        <v>60404</v>
      </c>
      <c r="AI18" s="47">
        <f>MAX(AI14:AI17)-AI19+1</f>
        <v>5</v>
      </c>
      <c r="AK18" s="47">
        <f t="shared" si="11"/>
        <v>7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0</v>
      </c>
      <c r="BB18" s="86">
        <v>0</v>
      </c>
      <c r="BC18" s="27">
        <v>5</v>
      </c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9800</v>
      </c>
      <c r="AI19" s="47">
        <f>MIN(AI14:AI17)</f>
        <v>-2</v>
      </c>
      <c r="AY19" s="125"/>
      <c r="AZ19" s="28" t="str">
        <f>AO39</f>
        <v>Croatia</v>
      </c>
      <c r="BA19" s="85">
        <v>0</v>
      </c>
      <c r="BB19" s="87">
        <v>0</v>
      </c>
      <c r="BC19" s="30">
        <v>4</v>
      </c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0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Uruguay_lose</v>
      </c>
      <c r="T20" s="88" t="str">
        <f t="shared" si="4"/>
        <v>Korea Republic_win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-1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2</v>
      </c>
      <c r="AD20" s="47">
        <f>COUNTIF($S$7:$T$54,"=" &amp; AB20 &amp; "_draw")</f>
        <v>1</v>
      </c>
      <c r="AE20" s="47">
        <f>COUNTIF($S$7:$T$54,"=" &amp; AB20 &amp; "_lose")</f>
        <v>0</v>
      </c>
      <c r="AF20" s="47">
        <f>SUMIF($E$7:$E$54,$AB20,$F$7:$F$54) + SUMIF($H$7:$H$54,$AB20,$G$7:$G$54)</f>
        <v>5</v>
      </c>
      <c r="AG20" s="47">
        <f>SUMIF($E$7:$E$54,$AB20,$G$7:$G$54) + SUMIF($H$7:$H$54,$AB20,$F$7:$F$54)</f>
        <v>1</v>
      </c>
      <c r="AH20" s="47">
        <f>(AF20-AG20)*100+AK20*10000+AF20</f>
        <v>70405</v>
      </c>
      <c r="AI20" s="47">
        <f>AF20-AG20</f>
        <v>4</v>
      </c>
      <c r="AJ20" s="47">
        <f>(AI20-AI25)/AI24</f>
        <v>0.90909090909090906</v>
      </c>
      <c r="AK20" s="47">
        <f>AC20*3+AD20</f>
        <v>7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974.24330674242424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2</v>
      </c>
      <c r="M21" s="51">
        <f>VLOOKUP(1,AA20:AK23,4,FALSE)</f>
        <v>1</v>
      </c>
      <c r="N21" s="51">
        <f>VLOOKUP(1,AA20:AK23,5,FALSE)</f>
        <v>0</v>
      </c>
      <c r="O21" s="51" t="str">
        <f>VLOOKUP(1,AA20:AK23,6,FALSE) &amp; " - " &amp; VLOOKUP(1,AA20:AK23,7,FALSE)</f>
        <v>5 - 1</v>
      </c>
      <c r="P21" s="52">
        <f>L21*3+M21</f>
        <v>7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6</v>
      </c>
      <c r="AH21" s="47">
        <f>(AF21-AG21)*100+AK21*10000+AF21</f>
        <v>-600</v>
      </c>
      <c r="AI21" s="47">
        <f>AF21-AG21</f>
        <v>-6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1</v>
      </c>
      <c r="G22" s="22">
        <v>1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2</v>
      </c>
      <c r="M22" s="25">
        <f>VLOOKUP(2,AA20:AK23,4,FALSE)</f>
        <v>1</v>
      </c>
      <c r="N22" s="25">
        <f>VLOOKUP(2,AA20:AK23,5,FALSE)</f>
        <v>0</v>
      </c>
      <c r="O22" s="25" t="str">
        <f>VLOOKUP(2,AA20:AK23,6,FALSE) &amp; " - " &amp; VLOOKUP(2,AA20:AK23,7,FALSE)</f>
        <v>4 - 1</v>
      </c>
      <c r="P22" s="54">
        <f>L22*3+M22</f>
        <v>7</v>
      </c>
      <c r="R22" s="47">
        <f>DATE(2022,11,24)+TIME(8,0,0)+gmt_delta</f>
        <v>44889.916666666672</v>
      </c>
      <c r="S22" s="88" t="str">
        <f t="shared" si="3"/>
        <v>Brazil_draw</v>
      </c>
      <c r="T22" s="88" t="str">
        <f t="shared" si="4"/>
        <v>Serbia_draw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0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0</v>
      </c>
      <c r="AE22" s="47">
        <f>COUNTIF($S$7:$T$54,"=" &amp; AB22 &amp; "_lose")</f>
        <v>2</v>
      </c>
      <c r="AF22" s="47">
        <f>SUMIF($E$7:$E$54,$AB22,$F$7:$F$54) + SUMIF($H$7:$H$54,$AB22,$G$7:$G$54)</f>
        <v>1</v>
      </c>
      <c r="AG22" s="47">
        <f>SUMIF($E$7:$E$54,$AB22,$G$7:$G$54) + SUMIF($H$7:$H$54,$AB22,$F$7:$F$54)</f>
        <v>2</v>
      </c>
      <c r="AH22" s="47">
        <f>(AF22-AG22)*100+AK22*10000+AF22</f>
        <v>29901</v>
      </c>
      <c r="AI22" s="47">
        <f>AF22-AG22</f>
        <v>-1</v>
      </c>
      <c r="AJ22" s="47">
        <f>(AI22-AI25)/AI24</f>
        <v>0.45454545454545453</v>
      </c>
      <c r="AK22" s="47">
        <f>AC22*3+AD22</f>
        <v>3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422.12204153121212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0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1 - 2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2</v>
      </c>
      <c r="AD23" s="47">
        <f>COUNTIF($S$7:$T$54,"=" &amp; AB23 &amp; "_draw")</f>
        <v>1</v>
      </c>
      <c r="AE23" s="47">
        <f>COUNTIF($S$7:$T$54,"=" &amp; AB23 &amp; "_lose")</f>
        <v>0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1</v>
      </c>
      <c r="AH23" s="47">
        <f>(AF23-AG23)*100+AK23*10000+AF23</f>
        <v>70304</v>
      </c>
      <c r="AI23" s="47">
        <f>AF23-AG23</f>
        <v>3</v>
      </c>
      <c r="AJ23" s="47">
        <f>(AI23-AI25)/AI24</f>
        <v>0.81818181818181823</v>
      </c>
      <c r="AK23" s="47">
        <f>AC23*3+AD23</f>
        <v>7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963.48562048484848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Korea Republic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0</v>
      </c>
      <c r="BW23" s="86"/>
      <c r="BX23" s="27"/>
    </row>
    <row r="24" spans="1:76" ht="15" customHeight="1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0 - 6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3</v>
      </c>
      <c r="AD24" s="47">
        <f t="shared" si="12"/>
        <v>2</v>
      </c>
      <c r="AE24" s="47">
        <f t="shared" si="12"/>
        <v>4</v>
      </c>
      <c r="AF24" s="47">
        <f t="shared" si="12"/>
        <v>6</v>
      </c>
      <c r="AG24" s="47">
        <f t="shared" si="12"/>
        <v>6</v>
      </c>
      <c r="AH24" s="47">
        <f>MAX(AH20:AH23)-AH25+1</f>
        <v>71006</v>
      </c>
      <c r="AI24" s="47">
        <f>MAX(AI20:AI23)-AI25+1</f>
        <v>11</v>
      </c>
      <c r="AK24" s="47">
        <f t="shared" si="12"/>
        <v>8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Denmark</v>
      </c>
      <c r="BV24" s="85">
        <v>1</v>
      </c>
      <c r="BW24" s="87"/>
      <c r="BX24" s="30"/>
    </row>
    <row r="25" spans="1:76" ht="15" customHeight="1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1</v>
      </c>
      <c r="Y25" s="47">
        <f t="shared" si="9"/>
        <v>1</v>
      </c>
      <c r="AH25" s="47">
        <f>MIN(AH20:AH23)</f>
        <v>-600</v>
      </c>
      <c r="AI25" s="47">
        <f>MIN(AI20:AI23)</f>
        <v>-6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1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2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0</v>
      </c>
      <c r="AE26" s="47">
        <f>COUNTIF($S$7:$T$54,"=" &amp; AB26 &amp; "_lose")</f>
        <v>1</v>
      </c>
      <c r="AF26" s="47">
        <f>SUMIF($E$7:$E$54,$AB26,$F$7:$F$54) + SUMIF($H$7:$H$54,$AB26,$G$7:$G$54)</f>
        <v>3</v>
      </c>
      <c r="AG26" s="47">
        <f>SUMIF($E$7:$E$54,$AB26,$G$7:$G$54) + SUMIF($H$7:$H$54,$AB26,$F$7:$F$54)</f>
        <v>2</v>
      </c>
      <c r="AH26" s="47">
        <f>(AF26-AG26)*100+AK26*10000+AF26</f>
        <v>60103</v>
      </c>
      <c r="AI26" s="47">
        <f>AF26-AG26</f>
        <v>1</v>
      </c>
      <c r="AJ26" s="47">
        <f>(AI26-AI31)/AI30</f>
        <v>0.44444444444444442</v>
      </c>
      <c r="AK26" s="47">
        <f>AC26*3+AD26</f>
        <v>6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716.1120061111111</v>
      </c>
      <c r="AO26" s="48" t="str">
        <f>IF(SUM(AC26:AE29)=12,J27,INDEX(T,76,lang))</f>
        <v>Denmark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Denmark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6 - 1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1</v>
      </c>
      <c r="V27" s="47">
        <f t="shared" si="6"/>
        <v>1</v>
      </c>
      <c r="W27" s="47">
        <f t="shared" si="7"/>
        <v>1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4</v>
      </c>
      <c r="AH27" s="47">
        <f>(AF27-AG27)*100+AK27*10000+AF27</f>
        <v>9701</v>
      </c>
      <c r="AI27" s="47">
        <f>AF27-AG27</f>
        <v>-3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50.5</v>
      </c>
      <c r="AM27" s="47">
        <f>VLOOKUP(AB27,db_fifarank,2,FALSE)/2000000</f>
        <v>7.4186499999999997E-4</v>
      </c>
      <c r="AN27" s="48">
        <f>1000*AK27/AK30+100*AJ27+10*AF27/AF30+1*AL27/AL30+AM27</f>
        <v>113.75910216704962</v>
      </c>
      <c r="AO27" s="48" t="str">
        <f>IF(SUM(AC26:AE29)=12,J28,INDEX(T,77,lang))</f>
        <v>France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1</v>
      </c>
      <c r="AR27" s="47">
        <f>SUMPRODUCT(($E$7:$E$54=AB27)*($U$7:$U$54)*($F$7:$F$54))+SUMPRODUCT(($H$7:$H$54=AB27)*($U$7:$U$54)*($G$7:$G$54))</f>
        <v>1</v>
      </c>
      <c r="AS27" s="47">
        <f>SUMPRODUCT(($E$7:$E$54=AB27)*($U$7:$U$54)*($G$7:$G$54))+SUMPRODUCT(($H$7:$H$54=AB27)*($U$7:$U$54)*($F$7:$F$54))</f>
        <v>1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France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3 - 2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1</v>
      </c>
      <c r="AB28" s="48" t="str">
        <f>VLOOKUP("Denmark",T,lang,FALSE)</f>
        <v>Denmark</v>
      </c>
      <c r="AC28" s="47">
        <f>COUNTIF($S$7:$T$54,"=" &amp; AB28 &amp; "_win")</f>
        <v>3</v>
      </c>
      <c r="AD28" s="47">
        <f>COUNTIF($S$7:$T$54,"=" &amp; AB28 &amp; "_draw")</f>
        <v>0</v>
      </c>
      <c r="AE28" s="47">
        <f>COUNTIF($S$7:$T$54,"=" &amp; AB28 &amp; "_lose")</f>
        <v>0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1</v>
      </c>
      <c r="AH28" s="47">
        <f>(AF28-AG28)*100+AK28*10000+AF28</f>
        <v>90506</v>
      </c>
      <c r="AI28" s="47">
        <f>AF28-AG28</f>
        <v>5</v>
      </c>
      <c r="AJ28" s="47">
        <f>(AI28-AI31)/AI30</f>
        <v>0.88888888888888884</v>
      </c>
      <c r="AK28" s="47">
        <f>AC28*3+AD28</f>
        <v>9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1098.8897156888888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2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1 - 4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France_lose</v>
      </c>
      <c r="T29" s="88" t="str">
        <f t="shared" si="4"/>
        <v>Denmark_win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-1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4</v>
      </c>
      <c r="AH29" s="47">
        <f>(AF29-AG29)*100+AK29*10000+AF29</f>
        <v>9701</v>
      </c>
      <c r="AI29" s="47">
        <f>AF29-AG29</f>
        <v>-3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50.5</v>
      </c>
      <c r="AM29" s="47">
        <f>VLOOKUP(AB29,db_fifarank,2,FALSE)/2000000</f>
        <v>7.4989999999999996E-4</v>
      </c>
      <c r="AN29" s="48">
        <f>1000*AK29/AK30+100*AJ29+10*AF29/AF30+1*AL29/AL30+AM29</f>
        <v>113.75911020204963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1</v>
      </c>
      <c r="AR29" s="47">
        <f>SUMPRODUCT(($E$7:$E$54=AB29)*($U$7:$U$54)*($F$7:$F$54))+SUMPRODUCT(($H$7:$H$54=AB29)*($U$7:$U$54)*($G$7:$G$54))</f>
        <v>1</v>
      </c>
      <c r="AS29" s="47">
        <f>SUMPRODUCT(($E$7:$E$54=AB29)*($U$7:$U$54)*($G$7:$G$54))+SUMPRODUCT(($H$7:$H$54=AB29)*($U$7:$U$54)*($F$7:$F$54))</f>
        <v>1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Denmark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1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1 - 4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0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6</v>
      </c>
      <c r="AG30" s="47">
        <f t="shared" si="13"/>
        <v>4</v>
      </c>
      <c r="AH30" s="47">
        <f>MAX(AH26:AH29)-AH31+1</f>
        <v>80806</v>
      </c>
      <c r="AI30" s="47">
        <f>MAX(AI26:AI29)-AI31+1</f>
        <v>9</v>
      </c>
      <c r="AK30" s="47">
        <f t="shared" si="13"/>
        <v>9</v>
      </c>
      <c r="AL30" s="47">
        <f t="shared" si="13"/>
        <v>51.5</v>
      </c>
      <c r="AP30" s="47">
        <f>MAX(AP26:AP29)-MIN(AP26:AP29)+1</f>
        <v>1</v>
      </c>
      <c r="AQ30" s="47">
        <f>MAX(AQ26:AQ29)-MIN(AQ26:AQ29)+1</f>
        <v>2</v>
      </c>
      <c r="AR30" s="47">
        <f>MAX(AR26:AR29)-MIN(AR26:AR29)+1</f>
        <v>2</v>
      </c>
      <c r="AS30" s="47">
        <f>MAX(AS26:AS29)-MIN(AS26:AS29)+1</f>
        <v>2</v>
      </c>
      <c r="AT30" s="47">
        <f>MAX(AT26:AT29)-MIN(AT26:AT29)+1</f>
        <v>1</v>
      </c>
      <c r="AY30" s="124">
        <v>52</v>
      </c>
      <c r="AZ30" s="26" t="str">
        <f>AO26</f>
        <v>Denmark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9701</v>
      </c>
      <c r="AI31" s="47">
        <f>MIN(AI26:AI29)</f>
        <v>-3</v>
      </c>
      <c r="AY31" s="125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1</v>
      </c>
      <c r="AD32" s="47">
        <f>COUNTIF($S$7:$T$54,"=" &amp; AB32 &amp; "_draw")</f>
        <v>1</v>
      </c>
      <c r="AE32" s="47">
        <f>COUNTIF($S$7:$T$54,"=" &amp; AB32 &amp; "_lose")</f>
        <v>1</v>
      </c>
      <c r="AF32" s="47">
        <f>SUMIF($E$7:$E$54,$AB32,$F$7:$F$54) + SUMIF($H$7:$H$54,$AB32,$G$7:$G$54)</f>
        <v>3</v>
      </c>
      <c r="AG32" s="47">
        <f>SUMIF($E$7:$E$54,$AB32,$G$7:$G$54) + SUMIF($H$7:$H$54,$AB32,$F$7:$F$54)</f>
        <v>2</v>
      </c>
      <c r="AH32" s="47">
        <f>(AF32-AG32)*100+AK32*10000+AF32</f>
        <v>40103</v>
      </c>
      <c r="AI32" s="47">
        <f>AF32-AG32</f>
        <v>1</v>
      </c>
      <c r="AJ32" s="47">
        <f>(AI32-AI37)/AI36</f>
        <v>0.6</v>
      </c>
      <c r="AK32" s="47">
        <f>AC32*3+AD32</f>
        <v>4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465.0008545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Denmark</v>
      </c>
      <c r="BO32" s="84">
        <v>1</v>
      </c>
      <c r="BP32" s="86">
        <v>0</v>
      </c>
      <c r="BQ32" s="27">
        <v>6</v>
      </c>
      <c r="BR32" s="35"/>
      <c r="BS32" s="23"/>
      <c r="BT32" s="129"/>
      <c r="BU32" s="130"/>
      <c r="BV32" s="130"/>
      <c r="BW32" s="130"/>
      <c r="BX32" s="131"/>
    </row>
    <row r="33" spans="1:76" ht="15" customHeight="1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5 - 1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5</v>
      </c>
      <c r="AH33" s="47">
        <f>(AF33-AG33)*100+AK33*10000+AF33</f>
        <v>-500</v>
      </c>
      <c r="AI33" s="47">
        <f>AF33-AG33</f>
        <v>-5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7.5002999999999995E-4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1</v>
      </c>
      <c r="BP33" s="87">
        <v>0</v>
      </c>
      <c r="BQ33" s="30">
        <v>5</v>
      </c>
      <c r="BR33" s="23"/>
      <c r="BS33" s="23"/>
      <c r="BT33" s="23"/>
      <c r="BU33" s="23"/>
      <c r="BV33" s="23"/>
      <c r="BW33" s="23"/>
      <c r="BX33" s="23"/>
    </row>
    <row r="34" spans="1:76" ht="15" customHeight="1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0</v>
      </c>
      <c r="G34" s="22">
        <v>1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1</v>
      </c>
      <c r="M34" s="25">
        <f>VLOOKUP(2,AA32:AK35,4,FALSE)</f>
        <v>1</v>
      </c>
      <c r="N34" s="25">
        <f>VLOOKUP(2,AA32:AK35,5,FALSE)</f>
        <v>1</v>
      </c>
      <c r="O34" s="25" t="str">
        <f>VLOOKUP(2,AA32:AK35,6,FALSE) &amp; " - " &amp; VLOOKUP(2,AA32:AK35,7,FALSE)</f>
        <v>3 - 2</v>
      </c>
      <c r="P34" s="54">
        <f>L34*3+M34</f>
        <v>4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5</v>
      </c>
      <c r="AG34" s="47">
        <f>SUMIF($E$7:$E$54,$AB34,$G$7:$G$54) + SUMIF($H$7:$H$54,$AB34,$F$7:$F$54)</f>
        <v>1</v>
      </c>
      <c r="AH34" s="47">
        <f>(AF34-AG34)*100+AK34*10000+AF34</f>
        <v>90405</v>
      </c>
      <c r="AI34" s="47">
        <f>AF34-AG34</f>
        <v>4</v>
      </c>
      <c r="AJ34" s="47">
        <f>(AI34-AI37)/AI36</f>
        <v>0.9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998.33415859833337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1</v>
      </c>
      <c r="N35" s="25">
        <f>VLOOKUP(3,AA32:AK35,5,FALSE)</f>
        <v>1</v>
      </c>
      <c r="O35" s="25" t="str">
        <f>VLOOKUP(3,AA32:AK35,6,FALSE) &amp; " - " &amp; VLOOKUP(3,AA32:AK35,7,FALSE)</f>
        <v>3 - 3</v>
      </c>
      <c r="P35" s="54">
        <f>L35*3+M35</f>
        <v>4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1</v>
      </c>
      <c r="AE35" s="47">
        <f>COUNTIF($S$7:$T$54,"=" &amp; AB35 &amp; "_lose")</f>
        <v>1</v>
      </c>
      <c r="AF35" s="47">
        <f>SUMIF($E$7:$E$54,$AB35,$F$7:$F$54) + SUMIF($H$7:$H$54,$AB35,$G$7:$G$54)</f>
        <v>3</v>
      </c>
      <c r="AG35" s="47">
        <f>SUMIF($E$7:$E$54,$AB35,$G$7:$G$54) + SUMIF($H$7:$H$54,$AB35,$F$7:$F$54)</f>
        <v>3</v>
      </c>
      <c r="AH35" s="47">
        <f>(AF35-AG35)*100+AK35*10000+AF35</f>
        <v>40003</v>
      </c>
      <c r="AI35" s="47">
        <f>AF35-AG35</f>
        <v>0</v>
      </c>
      <c r="AJ35" s="47">
        <f>(AI35-AI37)/AI36</f>
        <v>0.5</v>
      </c>
      <c r="AK35" s="47">
        <f>AC35*3+AD35</f>
        <v>4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455.00077671999998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0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Germany</v>
      </c>
      <c r="BV35" s="84">
        <v>0</v>
      </c>
      <c r="BW35" s="86"/>
      <c r="BX35" s="27"/>
    </row>
    <row r="36" spans="1:76" ht="15" customHeight="1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0 - 5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2</v>
      </c>
      <c r="AE36" s="47">
        <f t="shared" si="14"/>
        <v>4</v>
      </c>
      <c r="AF36" s="47">
        <f t="shared" si="14"/>
        <v>6</v>
      </c>
      <c r="AG36" s="47">
        <f t="shared" si="14"/>
        <v>5</v>
      </c>
      <c r="AH36" s="47">
        <f>MAX(AH32:AH35)-AH37+1</f>
        <v>90906</v>
      </c>
      <c r="AI36" s="47">
        <f>MAX(AI32:AI35)-AI37+1</f>
        <v>10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Portugal</v>
      </c>
      <c r="BV36" s="85">
        <v>1</v>
      </c>
      <c r="BW36" s="87"/>
      <c r="BX36" s="30"/>
    </row>
    <row r="37" spans="1:76" ht="15" customHeight="1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-500</v>
      </c>
      <c r="AI37" s="47">
        <f>MIN(AI32:AI35)</f>
        <v>-5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0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5</v>
      </c>
      <c r="AG38" s="47">
        <f>SUMIF($E$7:$E$54,$AB38,$G$7:$G$54) + SUMIF($H$7:$H$54,$AB38,$F$7:$F$54)</f>
        <v>2</v>
      </c>
      <c r="AH38" s="47">
        <f>(AF38-AG38)*100+AK38*10000+AF38</f>
        <v>70305</v>
      </c>
      <c r="AI38" s="47">
        <f>AF38-AG38</f>
        <v>3</v>
      </c>
      <c r="AJ38" s="47">
        <f>(AI38-AI43)/AI42</f>
        <v>0.875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970.8342468333334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1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0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5 - 2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3</v>
      </c>
      <c r="AH39" s="47">
        <f>(AF39-AG39)*100+AK39*10000+AF39</f>
        <v>29902</v>
      </c>
      <c r="AI39" s="47">
        <f>AF39-AG39</f>
        <v>-1</v>
      </c>
      <c r="AJ39" s="47">
        <f>(AI39-AI43)/AI42</f>
        <v>0.375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415.83407283333332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1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3 - 1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1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0</v>
      </c>
      <c r="AG40" s="47">
        <f>SUMIF($E$7:$E$54,$AB40,$G$7:$G$54) + SUMIF($H$7:$H$54,$AB40,$F$7:$F$54)</f>
        <v>4</v>
      </c>
      <c r="AH40" s="47">
        <f>(AF40-AG40)*100+AK40*10000+AF40</f>
        <v>-400</v>
      </c>
      <c r="AI40" s="47">
        <f>AF40-AG40</f>
        <v>-4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7.7594000000000003E-4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1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2 - 3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Wales_draw</v>
      </c>
      <c r="T41" s="88" t="str">
        <f t="shared" si="4"/>
        <v>England_draw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0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3</v>
      </c>
      <c r="AG41" s="47">
        <f>SUMIF($E$7:$E$54,$AB41,$G$7:$G$54) + SUMIF($H$7:$H$54,$AB41,$F$7:$F$54)</f>
        <v>1</v>
      </c>
      <c r="AH41" s="47">
        <f>(AF41-AG41)*100+AK41*10000+AF41</f>
        <v>70203</v>
      </c>
      <c r="AI41" s="47">
        <f>AF41-AG41</f>
        <v>2</v>
      </c>
      <c r="AJ41" s="47">
        <f>(AI41-AI43)/AI42</f>
        <v>0.75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955.00081055500004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Denmark</v>
      </c>
      <c r="BS41" s="143"/>
      <c r="BT41" s="143"/>
      <c r="BU41" s="143"/>
      <c r="BV41" s="143"/>
      <c r="BW41" s="143"/>
      <c r="BX41" s="143"/>
    </row>
    <row r="42" spans="1:76" ht="15" customHeight="1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1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0 - 4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2</v>
      </c>
      <c r="AE42" s="47">
        <f t="shared" si="15"/>
        <v>4</v>
      </c>
      <c r="AF42" s="47">
        <f t="shared" si="15"/>
        <v>6</v>
      </c>
      <c r="AG42" s="47">
        <f t="shared" si="15"/>
        <v>4</v>
      </c>
      <c r="AH42" s="47">
        <f>MAX(AH38:AH41)-AH43+1</f>
        <v>70706</v>
      </c>
      <c r="AI42" s="47">
        <f>MAX(AI38:AI41)-AI43+1</f>
        <v>8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-400</v>
      </c>
      <c r="AI43" s="47">
        <f>MIN(AI38:AI41)</f>
        <v>-4</v>
      </c>
      <c r="AY43" s="135"/>
      <c r="AZ43" s="136"/>
      <c r="BA43" s="136"/>
      <c r="BB43" s="136"/>
      <c r="BC43" s="137"/>
    </row>
    <row r="44" spans="1:76" ht="15" customHeight="1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1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2</v>
      </c>
      <c r="AD44" s="47">
        <f>COUNTIF($S$7:$T$54,"=" &amp; AB44 &amp; "_draw")</f>
        <v>1</v>
      </c>
      <c r="AE44" s="47">
        <f>COUNTIF($S$7:$T$54,"=" &amp; AB44 &amp; "_lose")</f>
        <v>0</v>
      </c>
      <c r="AF44" s="47">
        <f>SUMIF($E$7:$E$54,$AB44,$F$7:$F$54) + SUMIF($H$7:$H$54,$AB44,$G$7:$G$54)</f>
        <v>6</v>
      </c>
      <c r="AG44" s="47">
        <f>SUMIF($E$7:$E$54,$AB44,$G$7:$G$54) + SUMIF($H$7:$H$54,$AB44,$F$7:$F$54)</f>
        <v>3</v>
      </c>
      <c r="AH44" s="47">
        <f>(AF44-AG44)*100+AK44*10000+AF44</f>
        <v>70306</v>
      </c>
      <c r="AI44" s="47">
        <f>AF44-AG44</f>
        <v>3</v>
      </c>
      <c r="AJ44" s="47">
        <f>(AI44-AI49)/AI48</f>
        <v>0.875</v>
      </c>
      <c r="AK44" s="47">
        <f>AC44*3+AD44</f>
        <v>7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972.50091634499995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1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2</v>
      </c>
      <c r="M45" s="51">
        <f>VLOOKUP(1,AA44:AK47,4,FALSE)</f>
        <v>1</v>
      </c>
      <c r="N45" s="51">
        <f>VLOOKUP(1,AA44:AK47,5,FALSE)</f>
        <v>0</v>
      </c>
      <c r="O45" s="51" t="str">
        <f>VLOOKUP(1,AA44:AK47,6,FALSE) &amp; " - " &amp; VLOOKUP(1,AA44:AK47,7,FALSE)</f>
        <v>6 - 3</v>
      </c>
      <c r="P45" s="52">
        <f>L45*3+M45</f>
        <v>7</v>
      </c>
      <c r="R45" s="47">
        <f>DATE(2022,11,30)+TIME(8,0,0)+gmt_delta</f>
        <v>44895.916666666672</v>
      </c>
      <c r="S45" s="88" t="str">
        <f t="shared" si="3"/>
        <v>Poland_draw</v>
      </c>
      <c r="T45" s="88" t="str">
        <f t="shared" si="4"/>
        <v>Argentina_draw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0</v>
      </c>
      <c r="Y45" s="47">
        <f t="shared" si="9"/>
        <v>0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1</v>
      </c>
      <c r="AE45" s="47">
        <f>COUNTIF($S$7:$T$54,"=" &amp; AB45 &amp; "_lose")</f>
        <v>0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1</v>
      </c>
      <c r="AH45" s="47">
        <f>(AF45-AG45)*100+AK45*10000+AF45</f>
        <v>70203</v>
      </c>
      <c r="AI45" s="47">
        <f>AF45-AG45</f>
        <v>2</v>
      </c>
      <c r="AJ45" s="47">
        <f>(AI45-AI49)/AI48</f>
        <v>0.75</v>
      </c>
      <c r="AK45" s="47">
        <f>AC45*3+AD45</f>
        <v>7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955.00077376499996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1</v>
      </c>
      <c r="N46" s="25">
        <f>VLOOKUP(2,AA44:AK47,5,FALSE)</f>
        <v>0</v>
      </c>
      <c r="O46" s="25" t="str">
        <f>VLOOKUP(2,AA44:AK47,6,FALSE) &amp; " - " &amp; VLOOKUP(2,AA44:AK47,7,FALSE)</f>
        <v>3 - 1</v>
      </c>
      <c r="P46" s="54">
        <f>L46*3+M46</f>
        <v>7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0</v>
      </c>
      <c r="AE46" s="47">
        <f>COUNTIF($S$7:$T$54,"=" &amp; AB46 &amp; "_lose")</f>
        <v>2</v>
      </c>
      <c r="AF46" s="47">
        <f>SUMIF($E$7:$E$54,$AB46,$F$7:$F$54) + SUMIF($H$7:$H$54,$AB46,$G$7:$G$54)</f>
        <v>2</v>
      </c>
      <c r="AG46" s="47">
        <f>SUMIF($E$7:$E$54,$AB46,$G$7:$G$54) + SUMIF($H$7:$H$54,$AB46,$F$7:$F$54)</f>
        <v>3</v>
      </c>
      <c r="AH46" s="47">
        <f>(AF46-AG46)*100+AK46*10000+AF46</f>
        <v>29902</v>
      </c>
      <c r="AI46" s="47">
        <f>AF46-AG46</f>
        <v>-1</v>
      </c>
      <c r="AJ46" s="47">
        <f>(AI46-AI49)/AI48</f>
        <v>0.375</v>
      </c>
      <c r="AK46" s="47">
        <f>AC46*3+AD46</f>
        <v>3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415.83415099333331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1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2 - 3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1</v>
      </c>
      <c r="AG47" s="47">
        <f>SUMIF($E$7:$E$54,$AB47,$G$7:$G$54) + SUMIF($H$7:$H$54,$AB47,$F$7:$F$54)</f>
        <v>5</v>
      </c>
      <c r="AH47" s="47">
        <f>(AF47-AG47)*100+AK47*10000+AF47</f>
        <v>-399</v>
      </c>
      <c r="AI47" s="47">
        <f>AF47-AG47</f>
        <v>-4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1.6674069066666668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0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1 - 5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3</v>
      </c>
      <c r="AD48" s="47">
        <f t="shared" si="16"/>
        <v>2</v>
      </c>
      <c r="AE48" s="47">
        <f t="shared" si="16"/>
        <v>4</v>
      </c>
      <c r="AF48" s="47">
        <f t="shared" si="16"/>
        <v>6</v>
      </c>
      <c r="AG48" s="47">
        <f t="shared" si="16"/>
        <v>5</v>
      </c>
      <c r="AH48" s="47">
        <f>MAX(AH44:AH47)-AH49+1</f>
        <v>70706</v>
      </c>
      <c r="AI48" s="47">
        <f>MAX(AI44:AI47)-AI49+1</f>
        <v>8</v>
      </c>
      <c r="AK48" s="47">
        <f t="shared" si="16"/>
        <v>8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1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Japan_draw</v>
      </c>
      <c r="T49" s="88" t="str">
        <f t="shared" si="4"/>
        <v>Spain_draw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0</v>
      </c>
      <c r="AH49" s="47">
        <f>MIN(AH44:AH47)</f>
        <v>-399</v>
      </c>
      <c r="AI49" s="47">
        <f>MIN(AI44:AI47)</f>
        <v>-4</v>
      </c>
      <c r="AY49" s="135"/>
      <c r="AZ49" s="136"/>
      <c r="BA49" s="136"/>
      <c r="BB49" s="136"/>
      <c r="BC49" s="137"/>
    </row>
    <row r="50" spans="1:55" ht="15" customHeight="1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4</v>
      </c>
      <c r="AG50" s="47">
        <f>SUMIF($E$7:$E$54,$AB50,$G$7:$G$54) + SUMIF($H$7:$H$54,$AB50,$F$7:$F$54)</f>
        <v>0</v>
      </c>
      <c r="AH50" s="47">
        <f>(AF50-AG50)*100+AK50*10000+AF50</f>
        <v>90404</v>
      </c>
      <c r="AI50" s="47">
        <f>AF50-AG50</f>
        <v>4</v>
      </c>
      <c r="AJ50" s="47">
        <f>(AI50-AI55)/AI54</f>
        <v>0.88888888888888884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996.88972627888893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4 - 0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4</v>
      </c>
      <c r="AH51" s="47">
        <f>(AF51-AG51)*100+AK51*10000+AF51</f>
        <v>-400</v>
      </c>
      <c r="AI51" s="47">
        <f>AF51-AG51</f>
        <v>-4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Korea Republic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1</v>
      </c>
      <c r="H52" s="90" t="str">
        <f>AB50</f>
        <v>Portugal</v>
      </c>
      <c r="J52" s="53" t="str">
        <f>VLOOKUP(2,AA50:AK53,2,FALSE)</f>
        <v>Korea Republic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2 - 1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3</v>
      </c>
      <c r="AB52" s="48" t="str">
        <f>VLOOKUP("Uruguay",T,lang,FALSE)</f>
        <v>Uruguay</v>
      </c>
      <c r="AC52" s="47">
        <f>COUNTIF($S$7:$T$54,"=" &amp; AB52 &amp; "_win")</f>
        <v>1</v>
      </c>
      <c r="AD52" s="47">
        <f>COUNTIF($S$7:$T$54,"=" &amp; AB52 &amp; "_draw")</f>
        <v>0</v>
      </c>
      <c r="AE52" s="47">
        <f>COUNTIF($S$7:$T$54,"=" &amp; AB52 &amp; "_lose")</f>
        <v>2</v>
      </c>
      <c r="AF52" s="47">
        <f>SUMIF($E$7:$E$54,$AB52,$F$7:$F$54) + SUMIF($H$7:$H$54,$AB52,$G$7:$G$54)</f>
        <v>1</v>
      </c>
      <c r="AG52" s="47">
        <f>SUMIF($E$7:$E$54,$AB52,$G$7:$G$54) + SUMIF($H$7:$H$54,$AB52,$F$7:$F$54)</f>
        <v>2</v>
      </c>
      <c r="AH52" s="47">
        <f>(AF52-AG52)*100+AK52*10000+AF52</f>
        <v>29901</v>
      </c>
      <c r="AI52" s="47">
        <f>AF52-AG52</f>
        <v>-1</v>
      </c>
      <c r="AJ52" s="47">
        <f>(AI52-AI55)/AI54</f>
        <v>0.33333333333333331</v>
      </c>
      <c r="AK52" s="47">
        <f>AC52*3+AD52</f>
        <v>3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335.3341511983333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0</v>
      </c>
      <c r="H53" s="90" t="str">
        <f>AB46</f>
        <v>Switzerland</v>
      </c>
      <c r="J53" s="53" t="str">
        <f>VLOOKUP(3,AA50:AK53,2,FALSE)</f>
        <v>Uruguay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1 - 2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2</v>
      </c>
      <c r="AB53" s="48" t="str">
        <f>VLOOKUP("Korea Republic",T,lang,FALSE)</f>
        <v>Korea Republic</v>
      </c>
      <c r="AC53" s="47">
        <f>COUNTIF($S$7:$T$54,"=" &amp; AB53 &amp; "_win")</f>
        <v>2</v>
      </c>
      <c r="AD53" s="47">
        <f>COUNTIF($S$7:$T$54,"=" &amp; AB53 &amp; "_draw")</f>
        <v>0</v>
      </c>
      <c r="AE53" s="47">
        <f>COUNTIF($S$7:$T$54,"=" &amp; AB53 &amp; "_lose")</f>
        <v>1</v>
      </c>
      <c r="AF53" s="47">
        <f>SUMIF($E$7:$E$54,$AB53,$F$7:$F$54) + SUMIF($H$7:$H$54,$AB53,$G$7:$G$54)</f>
        <v>2</v>
      </c>
      <c r="AG53" s="47">
        <f>SUMIF($E$7:$E$54,$AB53,$G$7:$G$54) + SUMIF($H$7:$H$54,$AB53,$F$7:$F$54)</f>
        <v>1</v>
      </c>
      <c r="AH53" s="47">
        <f>(AF53-AG53)*100+AK53*10000+AF53</f>
        <v>60102</v>
      </c>
      <c r="AI53" s="47">
        <f>AF53-AG53</f>
        <v>1</v>
      </c>
      <c r="AJ53" s="47">
        <f>(AI53-AI55)/AI54</f>
        <v>0.55555555555555558</v>
      </c>
      <c r="AK53" s="47">
        <f>AC53*3+AD53</f>
        <v>6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659.55631532555549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0 - 4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5</v>
      </c>
      <c r="AG54" s="47">
        <f t="shared" si="17"/>
        <v>5</v>
      </c>
      <c r="AH54" s="47">
        <f>MAX(AH50:AH53)-AH55+1</f>
        <v>90805</v>
      </c>
      <c r="AI54" s="47">
        <f>MAX(AI50:AI53)-AI55+1</f>
        <v>9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>
      <c r="A55" s="9"/>
      <c r="B55" s="42"/>
      <c r="C55" s="9"/>
      <c r="D55" s="43"/>
      <c r="E55" s="44"/>
      <c r="F55" s="45"/>
      <c r="G55" s="45"/>
      <c r="H55" s="46"/>
      <c r="AH55" s="47">
        <f>MIN(AH50:AH53)</f>
        <v>-400</v>
      </c>
      <c r="AI55" s="47">
        <f>MIN(AI50:AI53)</f>
        <v>-4</v>
      </c>
    </row>
    <row r="56" spans="1:55" ht="12.75" customHeight="1"/>
    <row r="57" spans="1:55" ht="12.75" customHeight="1"/>
    <row r="58" spans="1:5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Denmark</v>
      </c>
      <c r="T61" s="88" t="str">
        <f>IF(OR(S61="",S61="draw"),INDEX(T,89,lang),S61)</f>
        <v>Denmark</v>
      </c>
    </row>
    <row r="62" spans="1:55" ht="12.75" customHeight="1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/>
    <row r="67" spans="18:26" ht="12.75" customHeight="1"/>
    <row r="68" spans="18:26" ht="12.75" customHeight="1"/>
    <row r="69" spans="18:26" ht="12.75" customHeight="1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Germany</v>
      </c>
      <c r="T70" s="88" t="str">
        <f>IF(OR(S70="",S70="draw"),INDEX(T,95,lang),S70)</f>
        <v>Germany</v>
      </c>
    </row>
    <row r="71" spans="18:26" ht="12.75" customHeight="1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Denmark</v>
      </c>
      <c r="T71" s="88" t="str">
        <f>IF(OR(S71="",S71="draw"),INDEX(T,96,lang),S71)</f>
        <v>Denmark</v>
      </c>
    </row>
    <row r="72" spans="18:26" ht="12.75" customHeight="1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/>
    <row r="74" spans="18:26" ht="12.75" customHeight="1"/>
    <row r="75" spans="18:26" ht="12.75" customHeight="1"/>
    <row r="76" spans="18:26" ht="12.75" customHeight="1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Germany</v>
      </c>
      <c r="Z76" s="88" t="str">
        <f>IF(OR(U76="",U76="draw"),INDEX(T,100,lang),U76)</f>
        <v>Germany</v>
      </c>
    </row>
    <row r="77" spans="18:26" ht="12.75" customHeight="1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Denmark</v>
      </c>
      <c r="T77" s="88" t="str">
        <f>IF(OR(S77="",S77="draw"),INDEX(T,99,lang),S77)</f>
        <v>Denmark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Portugal</v>
      </c>
      <c r="Z77" s="88" t="str">
        <f>IF(OR(U77="",U77="draw"),INDEX(T,101,lang),U77)</f>
        <v>Portugal</v>
      </c>
    </row>
    <row r="79" spans="18:26" ht="12.75" customHeight="1"/>
    <row r="80" spans="18:26" ht="12.75" customHeight="1"/>
    <row r="81" spans="18:20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Portugal</v>
      </c>
    </row>
    <row r="83" spans="18:20" ht="12.75" customHeight="1"/>
    <row r="84" spans="18:20" ht="12.75" customHeight="1"/>
    <row r="85" spans="18:20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Denmark</v>
      </c>
      <c r="T85" s="88" t="str">
        <f>S85</f>
        <v>Denmark</v>
      </c>
    </row>
    <row r="87" spans="18:20" ht="12.75" customHeight="1"/>
    <row r="88" spans="18:20" ht="12.75" customHeight="1"/>
    <row r="96" spans="18:20" ht="12.75" customHeight="1"/>
    <row r="97" ht="12.75" customHeight="1"/>
  </sheetData>
  <sheetProtection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>
      <formula1>"0,1,2,3,4,5,6,7,8,9,10,11,12,13,14,15,16,17,18,19,20"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22 Schedule in Excel" display="Home Page: www.excely.com"/>
    <hyperlink ref="AY48:BC54" r:id="rId3" tooltip="FIFA World Cup Historical Data 1930 - 2018" display="http://www.excely.com/football/fifa-world-cup-statistics.shtml"/>
    <hyperlink ref="AY41:BC46" r:id="rId4" tooltip="World Cup 2022 Interactive Schedule - www.wallchart.io" display="http://www.wallchart.io/football/world-cup-2022.html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4" sqref="B4"/>
    </sheetView>
  </sheetViews>
  <sheetFormatPr defaultRowHeight="15"/>
  <cols>
    <col min="1" max="1" width="80.42578125" customWidth="1"/>
    <col min="2" max="2" width="63.85546875" customWidth="1"/>
  </cols>
  <sheetData>
    <row r="1" spans="1:2">
      <c r="A1" s="101" t="s">
        <v>2526</v>
      </c>
      <c r="B1" s="102" t="s">
        <v>2527</v>
      </c>
    </row>
    <row r="2" spans="1:2">
      <c r="A2" s="103" t="s">
        <v>2518</v>
      </c>
      <c r="B2" s="100" t="s">
        <v>2530</v>
      </c>
    </row>
    <row r="3" spans="1:2">
      <c r="A3" s="100" t="s">
        <v>2519</v>
      </c>
      <c r="B3" s="103" t="s">
        <v>2539</v>
      </c>
    </row>
    <row r="4" spans="1:2">
      <c r="A4" s="103" t="s">
        <v>2520</v>
      </c>
      <c r="B4" s="100" t="s">
        <v>2531</v>
      </c>
    </row>
    <row r="5" spans="1:2">
      <c r="A5" s="100" t="s">
        <v>2529</v>
      </c>
      <c r="B5" s="103" t="s">
        <v>2532</v>
      </c>
    </row>
    <row r="6" spans="1:2">
      <c r="A6" s="103" t="s">
        <v>2521</v>
      </c>
      <c r="B6" s="100" t="s">
        <v>2533</v>
      </c>
    </row>
    <row r="7" spans="1:2">
      <c r="A7" s="100" t="s">
        <v>2522</v>
      </c>
      <c r="B7" s="103" t="s">
        <v>2534</v>
      </c>
    </row>
    <row r="8" spans="1:2">
      <c r="A8" s="103" t="s">
        <v>2523</v>
      </c>
      <c r="B8" s="100" t="s">
        <v>2535</v>
      </c>
    </row>
    <row r="9" spans="1:2">
      <c r="A9" s="100" t="s">
        <v>2524</v>
      </c>
      <c r="B9" s="103" t="s">
        <v>2536</v>
      </c>
    </row>
    <row r="10" spans="1:2">
      <c r="A10" s="103" t="s">
        <v>2525</v>
      </c>
      <c r="B10" s="100" t="s">
        <v>2538</v>
      </c>
    </row>
    <row r="11" spans="1:2">
      <c r="A11" s="100" t="s">
        <v>2528</v>
      </c>
      <c r="B11" s="103" t="s">
        <v>2537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Samoilov</cp:lastModifiedBy>
  <cp:lastPrinted>2018-01-03T15:36:04Z</cp:lastPrinted>
  <dcterms:created xsi:type="dcterms:W3CDTF">2017-12-27T19:32:51Z</dcterms:created>
  <dcterms:modified xsi:type="dcterms:W3CDTF">2022-11-20T15:35:14Z</dcterms:modified>
</cp:coreProperties>
</file>