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ätlin\Desktop\"/>
    </mc:Choice>
  </mc:AlternateContent>
  <bookViews>
    <workbookView xWindow="0" yWindow="0" windowWidth="3804" windowHeight="5832" firstSheet="1" activeTab="2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Y54" i="3"/>
  <c r="AB53" i="3"/>
  <c r="Y53" i="3"/>
  <c r="AB52" i="3"/>
  <c r="H38" i="3" s="1"/>
  <c r="Y52" i="3"/>
  <c r="AB51" i="3"/>
  <c r="H21" i="3" s="1"/>
  <c r="Y51" i="3"/>
  <c r="AB50" i="3"/>
  <c r="E38" i="3" s="1"/>
  <c r="Y50" i="3"/>
  <c r="Y49" i="3"/>
  <c r="Y48" i="3"/>
  <c r="AB47" i="3"/>
  <c r="E54" i="3" s="1"/>
  <c r="Y47" i="3"/>
  <c r="AB46" i="3"/>
  <c r="H53" i="3" s="1"/>
  <c r="Y46" i="3"/>
  <c r="AB45" i="3"/>
  <c r="Y45" i="3"/>
  <c r="AB44" i="3"/>
  <c r="H54" i="3" s="1"/>
  <c r="Y44" i="3"/>
  <c r="Y43" i="3"/>
  <c r="Y42" i="3"/>
  <c r="AB41" i="3"/>
  <c r="E33" i="3" s="1"/>
  <c r="Y41" i="3"/>
  <c r="AB40" i="3"/>
  <c r="H48" i="3" s="1"/>
  <c r="Y40" i="3"/>
  <c r="AB39" i="3"/>
  <c r="H18" i="3" s="1"/>
  <c r="Y39" i="3"/>
  <c r="AB38" i="3"/>
  <c r="E18" i="3" s="1"/>
  <c r="Y38" i="3"/>
  <c r="Y37" i="3"/>
  <c r="Y36" i="3"/>
  <c r="AB35" i="3"/>
  <c r="E49" i="3" s="1"/>
  <c r="Y35" i="3"/>
  <c r="AB34" i="3"/>
  <c r="E16" i="3" s="1"/>
  <c r="Y34" i="3"/>
  <c r="AB33" i="3"/>
  <c r="E50" i="3" s="1"/>
  <c r="Y33" i="3"/>
  <c r="AB32" i="3"/>
  <c r="E34" i="3" s="1"/>
  <c r="Y32" i="3"/>
  <c r="Y31" i="3"/>
  <c r="Y30" i="3"/>
  <c r="AB29" i="3"/>
  <c r="H12" i="3" s="1"/>
  <c r="Y29" i="3"/>
  <c r="AB28" i="3"/>
  <c r="H29" i="3" s="1"/>
  <c r="Y28" i="3"/>
  <c r="AB27" i="3"/>
  <c r="H14" i="3" s="1"/>
  <c r="Y27" i="3"/>
  <c r="AB26" i="3"/>
  <c r="E14" i="3" s="1"/>
  <c r="Y26" i="3"/>
  <c r="Y25" i="3"/>
  <c r="Y24" i="3"/>
  <c r="AB23" i="3"/>
  <c r="Y23" i="3"/>
  <c r="AB22" i="3"/>
  <c r="H46" i="3" s="1"/>
  <c r="Y22" i="3"/>
  <c r="AB21" i="3"/>
  <c r="E46" i="3" s="1"/>
  <c r="Y21" i="3"/>
  <c r="AB20" i="3"/>
  <c r="E30" i="3" s="1"/>
  <c r="Y20" i="3"/>
  <c r="Y19" i="3"/>
  <c r="Y18" i="3"/>
  <c r="AB17" i="3"/>
  <c r="H10" i="3" s="1"/>
  <c r="Y17" i="3"/>
  <c r="AB16" i="3"/>
  <c r="Y16" i="3"/>
  <c r="AB15" i="3"/>
  <c r="E42" i="3" s="1"/>
  <c r="Y15" i="3"/>
  <c r="AB14" i="3"/>
  <c r="E26" i="3" s="1"/>
  <c r="Y14" i="3"/>
  <c r="Y13" i="3"/>
  <c r="Y12" i="3"/>
  <c r="AB11" i="3"/>
  <c r="E25" i="3" s="1"/>
  <c r="Y11" i="3"/>
  <c r="AB10" i="3"/>
  <c r="H25" i="3" s="1"/>
  <c r="Y10" i="3"/>
  <c r="AB9" i="3"/>
  <c r="H40" i="3" s="1"/>
  <c r="Y9" i="3"/>
  <c r="AB8" i="3"/>
  <c r="E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AM11" i="3" s="1"/>
  <c r="B18" i="2"/>
  <c r="B17" i="2"/>
  <c r="AM33" i="3" s="1"/>
  <c r="AM16" i="3" l="1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2" i="3" l="1"/>
  <c r="AH22" i="3" s="1"/>
  <c r="AK34" i="3"/>
  <c r="AH34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U39" i="3" s="1"/>
  <c r="W39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U8" i="3" s="1"/>
  <c r="V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V40" i="3" s="1"/>
  <c r="V39" i="3"/>
  <c r="U24" i="3"/>
  <c r="W8" i="3"/>
  <c r="U7" i="3"/>
  <c r="W7" i="3" s="1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V49" i="3" s="1"/>
  <c r="W40" i="3"/>
  <c r="W24" i="3"/>
  <c r="V24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A17" i="3" s="1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40" i="3" l="1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N33" i="3"/>
  <c r="J39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16" i="3" l="1"/>
  <c r="K15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<sst xmlns="http://schemas.openxmlformats.org/spreadsheetml/2006/main" count="4373" uniqueCount="2538">
  <si>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</si>
  <si>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</si>
  <si>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</si>
  <si>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</si>
  <si>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</si>
  <si>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</si>
  <si>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</si>
  <si>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</si>
  <si>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</si>
  <si>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</si>
  <si>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</si>
  <si>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</si>
  <si>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</si>
  <si>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</si>
  <si>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</si>
  <si>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</si>
  <si>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</si>
  <si>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</si>
  <si>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</si>
  <si>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</si>
  <si>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</si>
  <si>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</si>
  <si>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</si>
  <si>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</si>
  <si>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</si>
  <si>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</si>
  <si>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</si>
  <si>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</si>
  <si>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</si>
  <si>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</si>
  <si>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</si>
  <si>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</si>
  <si>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</si>
  <si>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</si>
  <si>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</si>
  <si>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</si>
  <si>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</si>
  <si>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</si>
  <si>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</si>
  <si>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</si>
  <si>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</si>
  <si>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</si>
  <si>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</si>
  <si>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</si>
  <si>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</si>
  <si>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</si>
  <si>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</si>
  <si>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</si>
  <si>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</si>
  <si>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</si>
  <si>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</si>
  <si>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</si>
  <si>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</si>
  <si>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</si>
  <si>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</si>
  <si>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</si>
  <si>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</si>
  <si>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</si>
  <si>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</si>
  <si>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</si>
  <si>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</si>
  <si>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</si>
  <si>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</si>
  <si>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</si>
  <si>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</si>
  <si>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</si>
  <si>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</si>
  <si>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</si>
  <si>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</si>
  <si>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</si>
  <si>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</si>
  <si>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</si>
  <si>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</si>
  <si>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</si>
  <si>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</si>
  <si>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</si>
  <si>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</si>
  <si>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</si>
  <si>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</si>
  <si>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</si>
  <si>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</si>
  <si>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</si>
  <si>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</si>
  <si>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</si>
  <si>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</si>
  <si>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</si>
  <si>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</si>
  <si>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</si>
  <si>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</si>
  <si>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</si>
  <si>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</si>
  <si>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</si>
  <si>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</si>
  <si>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</si>
  <si>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</si>
  <si>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</si>
  <si>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</si>
  <si>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</si>
  <si>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</si>
  <si>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</si>
  <si>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</si>
  <si>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</si>
  <si>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</si>
  <si>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</si>
  <si>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</si>
  <si>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</si>
  <si>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</si>
  <si>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</si>
  <si>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</si>
  <si>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</si>
  <si>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</si>
  <si>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</si>
  <si>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</si>
  <si>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</si>
  <si>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</si>
  <si>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</si>
  <si>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</si>
  <si>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</si>
  <si>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</si>
  <si>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</si>
  <si>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</si>
  <si>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</si>
  <si>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</si>
  <si>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</si>
  <si>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</si>
  <si>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</si>
  <si>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</si>
  <si>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</si>
  <si>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</si>
  <si>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</si>
  <si>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</si>
  <si>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</si>
  <si>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</si>
  <si>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</si>
  <si>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</si>
  <si>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</si>
  <si>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</si>
  <si>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</si>
  <si>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</si>
  <si>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</si>
  <si>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</si>
  <si>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</si>
  <si>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</si>
  <si>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</si>
  <si>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</si>
  <si>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</si>
  <si>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</si>
  <si>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</si>
  <si>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</si>
  <si>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</si>
  <si>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</si>
  <si>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</si>
  <si>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</si>
  <si>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</si>
  <si>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</si>
  <si>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</si>
  <si>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</si>
  <si>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</si>
  <si>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</si>
  <si>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</si>
  <si>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</si>
  <si>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</si>
  <si>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</si>
  <si>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</si>
  <si>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</si>
  <si>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</si>
  <si>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</si>
  <si>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</si>
  <si>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</si>
  <si>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</si>
  <si>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</si>
  <si>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</si>
  <si>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</si>
  <si>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</si>
  <si>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</si>
  <si>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</si>
  <si>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</si>
  <si>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</si>
  <si>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</si>
  <si>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</si>
  <si>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</si>
  <si>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</si>
  <si>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</si>
  <si>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</si>
  <si>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</si>
  <si>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</si>
  <si>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</si>
  <si>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</si>
  <si>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</si>
  <si>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</si>
  <si>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</si>
  <si>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</si>
  <si>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</si>
  <si>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</si>
  <si>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</si>
  <si>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</si>
  <si>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</si>
  <si>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</si>
  <si>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</si>
  <si>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</si>
  <si>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</si>
  <si>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</si>
  <si>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</si>
  <si>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</si>
  <si>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</si>
  <si>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</si>
  <si>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</si>
  <si>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</si>
  <si>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</si>
  <si>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</si>
  <si>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</si>
  <si>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</si>
  <si>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</si>
  <si>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</si>
  <si>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</si>
  <si>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</si>
  <si>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</si>
  <si>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</si>
  <si>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</si>
  <si>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</si>
  <si>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</si>
  <si>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</si>
  <si>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</si>
  <si>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</si>
  <si>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</si>
  <si>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</si>
  <si>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</si>
  <si>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</si>
  <si>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</si>
  <si>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</si>
  <si>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</si>
  <si>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</si>
  <si>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</si>
  <si>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</si>
  <si>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</si>
  <si>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</si>
  <si>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</si>
  <si>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</si>
  <si>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</si>
  <si>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</si>
  <si>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</si>
  <si>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</si>
  <si>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</si>
  <si>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</si>
  <si>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</si>
  <si>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</si>
  <si>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</si>
  <si>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</si>
  <si>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</si>
  <si>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</si>
  <si>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</si>
  <si>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</si>
  <si>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</si>
  <si>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</si>
  <si>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</si>
  <si>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</si>
  <si>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</si>
  <si>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</si>
  <si>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</si>
  <si>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</si>
  <si>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</si>
  <si>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</si>
  <si>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</si>
  <si>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</si>
  <si>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</si>
  <si>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</si>
  <si>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</si>
  <si>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</si>
  <si>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</si>
  <si>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</si>
  <si>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</si>
  <si>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</si>
  <si>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</si>
  <si>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</si>
  <si>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</si>
  <si>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</si>
  <si>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</si>
  <si>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</si>
  <si>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</si>
  <si>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</si>
  <si>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</si>
  <si>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</si>
  <si>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</si>
  <si>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</si>
  <si>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</si>
  <si>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</si>
  <si>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</si>
  <si>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</si>
  <si>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</si>
  <si>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</si>
  <si>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</si>
  <si>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</si>
  <si>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</si>
  <si>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</si>
  <si>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</si>
  <si>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</si>
  <si>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</si>
  <si>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</si>
  <si>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</si>
  <si>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</si>
  <si>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</si>
  <si>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</si>
  <si>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</si>
  <si>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</si>
  <si>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</si>
  <si>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</si>
  <si>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</si>
  <si>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</si>
  <si>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</si>
  <si>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</si>
  <si>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</si>
  <si>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</si>
  <si>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</si>
  <si>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</si>
  <si>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</si>
  <si>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</si>
  <si>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</si>
  <si>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</si>
  <si>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</si>
  <si>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</si>
  <si>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</si>
  <si>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</si>
  <si>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</si>
  <si>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</si>
  <si>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</si>
  <si>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</si>
  <si>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</si>
  <si>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</si>
  <si>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</si>
  <si>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</si>
  <si>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</si>
  <si>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</si>
  <si>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</si>
  <si>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</si>
  <si>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</si>
  <si>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</si>
  <si>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</si>
  <si>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</si>
  <si>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</si>
  <si>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</si>
  <si>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</si>
  <si>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</si>
  <si>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</si>
  <si>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</si>
  <si>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</si>
  <si>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</si>
  <si>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</si>
  <si>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</si>
  <si>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</si>
  <si>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</si>
  <si>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</si>
  <si>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</si>
  <si>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</si>
  <si>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</si>
  <si>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</si>
  <si>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</si>
  <si>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</si>
  <si>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</si>
  <si>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</si>
  <si>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</si>
  <si>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</si>
  <si>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</si>
  <si>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</si>
  <si>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</si>
  <si>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</si>
  <si>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</si>
  <si>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</si>
  <si>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</si>
  <si>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</si>
  <si>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</si>
  <si>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</si>
  <si>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</si>
  <si>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</si>
  <si>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</si>
  <si>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</si>
  <si>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</si>
  <si>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</si>
  <si>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</si>
  <si>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</si>
  <si>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</si>
  <si>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</si>
  <si>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</si>
  <si>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</si>
  <si>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</si>
  <si>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</si>
  <si>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</si>
  <si>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</si>
  <si>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</si>
  <si>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</si>
  <si>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</si>
  <si>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</si>
  <si>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</si>
  <si>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</si>
  <si>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</si>
  <si>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</si>
  <si>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</si>
  <si>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</si>
  <si>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</si>
  <si>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</si>
  <si>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</si>
  <si>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</si>
  <si>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</si>
  <si>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</si>
  <si>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</si>
  <si>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</si>
  <si>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</si>
  <si>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</si>
  <si>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</si>
  <si>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</si>
  <si>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</si>
  <si>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</si>
  <si>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</si>
  <si>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</si>
  <si>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</si>
  <si>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</si>
  <si>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</si>
  <si>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</si>
  <si>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</si>
  <si>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</si>
  <si>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</si>
  <si>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</si>
  <si>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</si>
  <si>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</si>
  <si>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</si>
  <si>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</si>
  <si>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</si>
  <si>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</si>
  <si>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</si>
  <si>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</si>
  <si>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</si>
  <si>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</si>
  <si>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</si>
  <si>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</si>
  <si>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</si>
  <si>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</si>
  <si>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</si>
  <si>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</si>
  <si>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</si>
  <si>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</si>
  <si>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</si>
  <si>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</si>
  <si>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</si>
  <si>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</si>
  <si>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</si>
  <si>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</si>
  <si>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</si>
  <si>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</si>
  <si>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</si>
  <si>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</si>
  <si>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</si>
  <si>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</si>
  <si>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</si>
  <si>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</si>
  <si>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</si>
  <si>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</si>
  <si>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</si>
  <si>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</si>
  <si>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</si>
  <si>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</si>
  <si>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</si>
  <si>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</si>
  <si>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</si>
  <si>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</si>
  <si>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</si>
  <si>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</si>
  <si>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</si>
  <si>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</si>
  <si>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</si>
  <si>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</si>
  <si>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</si>
  <si>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</si>
  <si>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</si>
  <si>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</si>
  <si>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</si>
  <si>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</si>
  <si>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</si>
  <si>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</si>
  <si>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</si>
  <si>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</si>
  <si>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</si>
  <si>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</si>
  <si>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</si>
  <si>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</si>
  <si>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</si>
  <si>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</si>
  <si>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</si>
  <si>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</si>
  <si>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</si>
  <si>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</si>
  <si>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</si>
  <si>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</si>
  <si>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</si>
  <si>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</si>
  <si>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</si>
  <si>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</si>
  <si>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</si>
  <si>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</si>
  <si>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</si>
  <si>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</si>
  <si>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</si>
  <si>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</si>
  <si>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</si>
  <si>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</si>
  <si>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</si>
  <si>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</si>
  <si>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</si>
  <si>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</si>
  <si>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</si>
  <si>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</si>
  <si>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</si>
  <si>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</si>
  <si>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</si>
  <si>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</si>
  <si>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</si>
  <si>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</si>
  <si>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</si>
  <si>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</si>
  <si>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</si>
  <si>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</si>
  <si>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</si>
  <si>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</si>
  <si>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</si>
  <si>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</si>
  <si>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</si>
  <si>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</si>
  <si>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</si>
  <si>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</si>
  <si>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</si>
  <si>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</si>
  <si>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</si>
  <si>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</si>
  <si>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</si>
  <si>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</si>
  <si>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</si>
  <si>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</si>
  <si>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</si>
  <si>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</si>
  <si>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</si>
  <si>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</si>
  <si>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</si>
  <si>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</si>
  <si>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</si>
  <si>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</si>
  <si>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</si>
  <si>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</si>
  <si>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</si>
  <si>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</si>
  <si>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</si>
  <si>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</si>
  <si>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</si>
  <si>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</si>
  <si>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</si>
  <si>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</si>
  <si>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</si>
  <si>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</si>
  <si>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</si>
  <si>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</si>
  <si>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</si>
  <si>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</si>
  <si>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</si>
  <si>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</si>
  <si>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</si>
  <si>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</si>
  <si>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</si>
  <si>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</si>
  <si>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</si>
  <si>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</si>
  <si>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</si>
  <si>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</si>
  <si>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</si>
  <si>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</si>
  <si>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</si>
  <si>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</si>
  <si>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</si>
  <si>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</si>
  <si>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</si>
  <si>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</si>
  <si>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</si>
  <si>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</si>
  <si>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</si>
  <si>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</si>
  <si>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</si>
  <si>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</si>
  <si>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</si>
  <si>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</si>
  <si>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</si>
  <si>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</si>
  <si>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</si>
  <si>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</si>
  <si>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</si>
  <si>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</si>
  <si>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</si>
  <si>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</si>
  <si>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</si>
  <si>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</si>
  <si>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</si>
  <si>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</si>
  <si>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</si>
  <si>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</si>
  <si>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</si>
  <si>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</si>
  <si>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</si>
  <si>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</si>
  <si>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</si>
  <si>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</si>
  <si>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</si>
  <si>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</si>
  <si>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</si>
  <si>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</si>
  <si>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</si>
  <si>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</si>
  <si>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</si>
  <si>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</si>
  <si>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</si>
  <si>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</si>
  <si>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</si>
  <si>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</si>
  <si>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</si>
  <si>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</si>
  <si>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</si>
  <si>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</si>
  <si>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</si>
  <si>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</si>
  <si>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</si>
  <si>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</si>
  <si>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</si>
  <si>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</si>
  <si>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</si>
  <si>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</si>
  <si>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</si>
  <si>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</si>
  <si>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</si>
  <si>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</si>
  <si>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</si>
  <si>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</si>
  <si>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</si>
  <si>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</si>
  <si>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</si>
  <si>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</si>
  <si>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</si>
  <si>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</si>
  <si>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</si>
  <si>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</si>
  <si>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</si>
  <si>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</si>
  <si>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</si>
  <si>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</si>
  <si>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</si>
  <si>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</si>
  <si>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</si>
  <si>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</si>
  <si>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</si>
  <si>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</si>
  <si>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</si>
  <si>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</si>
  <si>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</si>
  <si>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</si>
  <si>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</si>
  <si>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</si>
  <si>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</si>
  <si>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</si>
  <si>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</si>
  <si>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</si>
  <si>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</si>
  <si>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</si>
  <si>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</si>
  <si>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</si>
  <si>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</si>
  <si>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</si>
  <si>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</si>
  <si>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</si>
  <si>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</si>
  <si>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</si>
  <si>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</si>
  <si>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</si>
  <si>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</si>
  <si>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</si>
  <si>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</si>
  <si>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</si>
  <si>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</si>
  <si>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</si>
  <si>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</si>
  <si>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</si>
  <si>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</si>
  <si>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</si>
  <si>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</si>
  <si>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</si>
  <si>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</si>
  <si>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</si>
  <si>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</si>
  <si>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</si>
  <si>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</si>
  <si>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</si>
  <si>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</si>
  <si>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</si>
  <si>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</si>
  <si>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</si>
  <si>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</si>
  <si>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</si>
  <si>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</si>
  <si>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</si>
  <si>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</si>
  <si>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</si>
  <si>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</si>
  <si>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</si>
  <si>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</si>
  <si>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</si>
  <si>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</si>
  <si>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</si>
  <si>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</si>
  <si>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</si>
  <si>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</si>
  <si>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</si>
  <si>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</si>
  <si>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</si>
  <si>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</si>
  <si>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</si>
  <si>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</si>
  <si>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</si>
  <si>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</si>
  <si>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</si>
  <si>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</si>
  <si>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</si>
  <si>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</si>
  <si>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</si>
  <si>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</si>
  <si>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</si>
  <si>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</si>
  <si>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</si>
  <si>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</si>
  <si>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</si>
  <si>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</si>
  <si>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</si>
  <si>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</si>
  <si>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</si>
  <si>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</si>
  <si>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</si>
  <si>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</si>
  <si>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</si>
  <si>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</si>
  <si>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</si>
  <si>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</si>
  <si>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</si>
  <si>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</si>
  <si>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</si>
  <si>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</si>
  <si>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</si>
  <si>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</si>
  <si>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</si>
  <si>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</si>
  <si>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</si>
  <si>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</si>
  <si>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</si>
  <si>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</si>
  <si>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</si>
  <si>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</si>
  <si>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</si>
  <si>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</si>
  <si>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</si>
  <si>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</si>
  <si>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</si>
  <si>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</si>
  <si>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</si>
  <si>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</si>
  <si>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</si>
  <si>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</si>
  <si>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</si>
  <si>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</si>
  <si>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</si>
  <si>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</si>
  <si>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</si>
  <si>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</si>
  <si>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</si>
  <si>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</si>
  <si>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</si>
  <si>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</si>
  <si>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</si>
  <si>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</si>
  <si>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</si>
  <si>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</si>
  <si>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</si>
  <si>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</si>
  <si>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</si>
  <si>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</si>
  <si>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</si>
  <si>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</si>
  <si>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</si>
  <si>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</si>
  <si>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</si>
  <si>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</si>
  <si>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</si>
  <si>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</si>
  <si>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</si>
  <si>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</si>
  <si>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</si>
  <si>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</si>
  <si>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</si>
  <si>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</si>
  <si>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</si>
  <si>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</si>
  <si>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</si>
  <si>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</si>
  <si>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</si>
  <si>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</si>
  <si>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</si>
  <si>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</si>
  <si>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</si>
  <si>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</si>
  <si>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</si>
  <si>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</si>
  <si>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</si>
  <si>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</si>
  <si>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</si>
  <si>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</si>
  <si>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</si>
  <si>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</si>
  <si>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</si>
  <si>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</si>
  <si>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</si>
  <si>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</si>
  <si>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</si>
  <si>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</si>
  <si>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</si>
  <si>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</si>
  <si>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</si>
  <si>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</si>
  <si>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</si>
  <si>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</si>
  <si>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</si>
  <si>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</si>
  <si>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</si>
  <si>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</si>
  <si>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</si>
  <si>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</si>
  <si>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</si>
  <si>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</si>
  <si>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</si>
  <si>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</si>
  <si>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</si>
  <si>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</si>
  <si>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</si>
  <si>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</si>
  <si>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</si>
  <si>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</si>
  <si>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</si>
  <si>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</si>
  <si>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</si>
  <si>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</si>
  <si>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</si>
  <si>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</si>
  <si>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</si>
  <si>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</si>
  <si>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</si>
  <si>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</si>
  <si>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</si>
  <si>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</si>
  <si>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</si>
  <si>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</si>
  <si>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</si>
  <si>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</si>
  <si>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</si>
  <si>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</si>
  <si>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</si>
  <si>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</si>
  <si>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</si>
  <si>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</si>
  <si>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</si>
  <si>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</si>
  <si>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</si>
  <si>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</si>
  <si>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</si>
  <si>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</si>
  <si>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</si>
  <si>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</si>
  <si>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</si>
  <si>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</si>
  <si>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</si>
  <si>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</si>
  <si>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</si>
  <si>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</si>
  <si>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</si>
  <si>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</si>
  <si>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</si>
  <si>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</si>
  <si>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</si>
  <si>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</si>
  <si>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</si>
  <si>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</si>
  <si>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</si>
  <si>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</si>
  <si>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</si>
  <si>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</si>
  <si>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</si>
  <si>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</si>
  <si>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</si>
  <si>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</si>
  <si>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</si>
  <si>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</si>
  <si>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</si>
  <si>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</si>
  <si>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</si>
  <si>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</si>
  <si>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</si>
  <si>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</si>
  <si>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</si>
  <si>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</si>
  <si>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</si>
  <si>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</si>
  <si>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</si>
  <si>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</si>
  <si>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</si>
  <si>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</si>
  <si>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</si>
  <si>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</si>
  <si>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</si>
  <si>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</si>
  <si>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</si>
  <si>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</si>
  <si>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</si>
  <si>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</si>
  <si>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</si>
  <si>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</si>
  <si>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</si>
  <si>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</si>
  <si>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</si>
  <si>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</si>
  <si>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</si>
  <si>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</si>
  <si>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</si>
  <si>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</si>
  <si>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</si>
  <si>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</si>
  <si>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</si>
  <si>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</si>
  <si>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</si>
  <si>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</si>
  <si>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</si>
  <si>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</si>
  <si>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</si>
  <si>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</si>
  <si>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</si>
  <si>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</si>
  <si>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</si>
  <si>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</si>
  <si>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</si>
  <si>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</si>
  <si>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</si>
  <si>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</si>
  <si>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</si>
  <si>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</si>
  <si>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</si>
  <si>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</si>
  <si>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</si>
  <si>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</si>
  <si>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</si>
  <si>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</si>
  <si>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</si>
  <si>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</si>
  <si>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</si>
  <si>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</si>
  <si>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</si>
  <si>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</si>
  <si>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</si>
  <si>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</si>
  <si>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</si>
  <si>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</si>
  <si>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</si>
  <si>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</si>
  <si>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</si>
  <si>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</si>
  <si>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</si>
  <si>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</si>
  <si>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</si>
  <si>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</si>
  <si>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</si>
  <si>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</si>
  <si>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</si>
  <si>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</si>
  <si>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</si>
  <si>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</si>
  <si>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</si>
  <si>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</si>
  <si>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</si>
  <si>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</si>
  <si>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</si>
  <si>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</si>
  <si>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</si>
  <si>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</si>
  <si>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</si>
  <si>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</si>
  <si>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</si>
  <si>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</si>
  <si>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</si>
  <si>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</si>
  <si>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</si>
  <si>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</si>
  <si>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</si>
  <si>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</si>
  <si>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</si>
  <si>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</si>
  <si>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</si>
  <si>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</si>
  <si>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</si>
  <si>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</si>
  <si>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</si>
  <si>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</si>
  <si>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</si>
  <si>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</si>
  <si>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</si>
  <si>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</si>
  <si>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</si>
  <si>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</si>
  <si>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</si>
  <si>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</si>
  <si>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</si>
  <si>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</si>
  <si>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</si>
  <si>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</si>
  <si>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</si>
  <si>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</si>
  <si>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</si>
  <si>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</si>
  <si>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</si>
  <si>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</si>
  <si>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</si>
  <si>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</si>
  <si>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</si>
  <si>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</si>
  <si>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</si>
  <si>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</si>
  <si>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</si>
  <si>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</si>
  <si>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</si>
  <si>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</si>
  <si>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</si>
  <si>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</si>
  <si>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</si>
  <si>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</si>
  <si>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</si>
  <si>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</si>
  <si>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</si>
  <si>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</si>
  <si>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</si>
  <si>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</si>
  <si>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</si>
  <si>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</si>
  <si>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</si>
  <si>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</si>
  <si>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</si>
  <si>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</si>
  <si>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</si>
  <si>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</si>
  <si>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</si>
  <si>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</si>
  <si>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</si>
  <si>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</si>
  <si>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</si>
  <si>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</si>
  <si>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</si>
  <si>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</si>
  <si>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</si>
  <si>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</si>
  <si>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</si>
  <si>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</si>
  <si>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</si>
  <si>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</si>
  <si>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</si>
  <si>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</si>
  <si>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</si>
  <si>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</si>
  <si>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</si>
  <si>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</si>
  <si>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</si>
  <si>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</si>
  <si>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</si>
  <si>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</si>
  <si>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</si>
  <si>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</si>
  <si>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</si>
  <si>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</si>
  <si>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</si>
  <si>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</si>
  <si>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</si>
  <si>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</si>
  <si>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</si>
  <si>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</si>
  <si>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</si>
  <si>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</si>
  <si>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</si>
  <si>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</si>
  <si>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</si>
  <si>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</si>
  <si>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</si>
  <si>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</si>
  <si>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</si>
  <si>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</si>
  <si>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</si>
  <si>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</si>
  <si>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</si>
  <si>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</si>
  <si>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</si>
  <si>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</si>
  <si>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</si>
  <si>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</si>
  <si>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</si>
  <si>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</si>
  <si>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</si>
  <si>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</si>
  <si>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</si>
  <si>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</si>
  <si>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</si>
  <si>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</si>
  <si>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</si>
  <si>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</si>
  <si>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</si>
  <si>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</si>
  <si>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</si>
  <si>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</si>
  <si>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</si>
  <si>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</si>
  <si>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</si>
  <si>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</si>
  <si>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</si>
  <si>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</si>
  <si>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</si>
  <si>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</si>
  <si>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</si>
  <si>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</si>
  <si>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</si>
  <si>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</si>
  <si>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</si>
  <si>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</si>
  <si>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</si>
  <si>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</si>
  <si>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</si>
  <si>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</si>
  <si>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</si>
  <si>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</si>
  <si>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</si>
  <si>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</si>
  <si>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</si>
  <si>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</si>
  <si>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</si>
  <si>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</si>
  <si>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</si>
  <si>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</si>
  <si>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</si>
  <si>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</si>
  <si>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</si>
  <si>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</si>
  <si>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</si>
  <si>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</si>
  <si>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</si>
  <si>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</si>
  <si>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</si>
  <si>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</si>
  <si>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</si>
  <si>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</si>
  <si>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</si>
  <si>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</si>
  <si>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</si>
  <si>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</si>
  <si>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</si>
  <si>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</si>
  <si>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</si>
  <si>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</si>
  <si>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</si>
  <si>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</si>
  <si>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</si>
  <si>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</si>
  <si>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</si>
  <si>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</si>
  <si>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</si>
  <si>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</si>
  <si>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</si>
  <si>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</si>
  <si>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</si>
  <si>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</si>
  <si>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</si>
  <si>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</si>
  <si>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</si>
  <si>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</si>
  <si>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</si>
  <si>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</si>
  <si>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</si>
  <si>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</si>
  <si>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</si>
  <si>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</si>
  <si>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</si>
  <si>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</si>
  <si>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</si>
  <si>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</si>
  <si>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</si>
  <si>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</si>
  <si>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</si>
  <si>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</si>
  <si>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</si>
  <si>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</si>
  <si>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</si>
  <si>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</si>
  <si>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</si>
  <si>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</si>
  <si>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</si>
  <si>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</si>
  <si>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</si>
  <si>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</si>
  <si>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</si>
  <si>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</si>
  <si>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</si>
  <si>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</si>
  <si>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</si>
  <si>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</si>
  <si>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</si>
  <si>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</si>
  <si>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</si>
  <si>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</si>
  <si>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</si>
  <si>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</si>
  <si>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</si>
  <si>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</si>
  <si>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</si>
  <si>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</si>
  <si>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</si>
  <si>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</si>
  <si>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</si>
  <si>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</si>
  <si>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</si>
  <si>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</si>
  <si>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</si>
  <si>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</si>
  <si>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</si>
  <si>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</si>
  <si>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</si>
  <si>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</si>
  <si>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</si>
  <si>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</si>
  <si>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</si>
  <si>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</si>
  <si>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</si>
  <si>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</si>
  <si>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</si>
  <si>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</si>
  <si>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</si>
  <si>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</si>
  <si>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</si>
  <si>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</si>
  <si>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</si>
  <si>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</si>
  <si>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</si>
  <si>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</si>
  <si>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</si>
  <si>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</si>
  <si>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</si>
  <si>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</si>
  <si>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</si>
  <si>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</si>
  <si>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</si>
  <si>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</si>
  <si>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</si>
  <si>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</si>
  <si>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</si>
  <si>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</si>
  <si>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</si>
  <si>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</si>
  <si>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</si>
  <si>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</si>
  <si>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</si>
  <si>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</si>
  <si>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</si>
  <si>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</si>
  <si>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</si>
  <si>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</si>
  <si>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</si>
  <si>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</si>
  <si>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</si>
  <si>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</si>
  <si>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</si>
  <si>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</si>
  <si>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</si>
  <si>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</si>
  <si>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</si>
  <si>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</si>
  <si>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</si>
  <si>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</si>
  <si>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</si>
  <si>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</si>
  <si>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</si>
  <si>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</si>
  <si>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</si>
  <si>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</si>
  <si>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</si>
  <si>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</si>
  <si>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</si>
  <si>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</si>
  <si>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</si>
  <si>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</si>
  <si>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</si>
  <si>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</si>
  <si>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</si>
  <si>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</si>
  <si>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</si>
  <si>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</si>
  <si>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</si>
  <si>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</si>
  <si>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</si>
  <si>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</si>
  <si>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</si>
  <si>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</si>
  <si>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</si>
  <si>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</si>
  <si>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</si>
  <si>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</si>
  <si>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</si>
  <si>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</si>
  <si>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</si>
  <si>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</si>
  <si>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</si>
  <si>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</si>
  <si>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</si>
  <si>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</si>
  <si>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</si>
  <si>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</si>
  <si>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</si>
  <si>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</si>
  <si>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</si>
  <si>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</si>
  <si>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</si>
  <si>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</si>
  <si>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</si>
  <si>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</si>
  <si>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</si>
  <si>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</si>
  <si>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</si>
  <si>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</si>
  <si>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</si>
  <si>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</si>
  <si>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</si>
  <si>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</si>
  <si>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</si>
  <si>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</si>
  <si>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</si>
  <si>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</si>
  <si>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</si>
  <si>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</si>
  <si>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</si>
  <si>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</si>
  <si>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</si>
  <si>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</si>
  <si>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</si>
  <si>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</si>
  <si>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</si>
  <si>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</si>
  <si>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</si>
  <si>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</si>
  <si>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</si>
  <si>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</si>
  <si>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</si>
  <si>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</si>
  <si>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</si>
  <si>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</si>
  <si>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</si>
  <si>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</si>
  <si>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</si>
  <si>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</si>
  <si>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</si>
  <si>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</si>
  <si>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</si>
  <si>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</si>
  <si>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</si>
  <si>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</si>
  <si>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</si>
  <si>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</si>
  <si>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</si>
  <si>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</si>
  <si>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</si>
  <si>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</si>
  <si>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</si>
  <si>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</si>
  <si>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</si>
  <si>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</si>
  <si>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</si>
  <si>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</si>
  <si>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</si>
  <si>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</si>
  <si>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</si>
  <si>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</si>
  <si>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</si>
  <si>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</si>
  <si>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</si>
  <si>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</si>
  <si>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</si>
  <si>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</si>
  <si>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</si>
  <si>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</si>
  <si>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</si>
  <si>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</si>
  <si>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</si>
  <si>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</si>
  <si>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</si>
  <si>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</si>
  <si>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</si>
  <si>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</si>
  <si>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</si>
  <si>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</si>
  <si>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</si>
  <si>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</si>
  <si>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</si>
  <si>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</si>
  <si>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</si>
  <si>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</si>
  <si>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</si>
  <si>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</si>
  <si>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</si>
  <si>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</si>
  <si>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</si>
  <si>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</si>
  <si>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</si>
  <si>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</si>
  <si>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</si>
  <si>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</si>
  <si>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</si>
  <si>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</si>
  <si>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</si>
  <si>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</si>
  <si>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</si>
  <si>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</si>
  <si>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</si>
  <si>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</si>
  <si>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</si>
  <si>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</si>
  <si>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</si>
  <si>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</si>
  <si>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</si>
  <si>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</si>
  <si>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</si>
  <si>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</si>
  <si>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</si>
  <si>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</si>
  <si>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</si>
  <si>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</si>
  <si>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</si>
  <si>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</si>
  <si>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</si>
  <si>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</si>
  <si>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</si>
  <si>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</si>
  <si>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</si>
  <si>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</si>
  <si>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</si>
  <si>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</si>
  <si>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</si>
  <si>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</si>
  <si>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</si>
  <si>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</si>
  <si>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</si>
  <si>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</si>
  <si>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</si>
  <si>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</si>
  <si>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</si>
  <si>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</si>
  <si>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</si>
  <si>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</si>
  <si>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</si>
  <si>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</si>
  <si>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</si>
  <si>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</si>
  <si>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</si>
  <si>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</si>
  <si>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</si>
  <si>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</si>
  <si>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</si>
  <si>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</si>
  <si>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</si>
  <si>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</si>
  <si>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</si>
  <si>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</si>
  <si>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</si>
  <si>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</si>
  <si>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</si>
  <si>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</si>
  <si>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</si>
  <si>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</si>
  <si>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</si>
  <si>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</si>
  <si>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</si>
  <si>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</si>
  <si>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</si>
  <si>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</si>
  <si>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</si>
  <si>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</si>
  <si>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</si>
  <si>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</si>
  <si>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</si>
  <si>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</si>
  <si>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</si>
  <si>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</si>
  <si>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</si>
  <si>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</si>
  <si>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</si>
  <si>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</si>
  <si>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</si>
  <si>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</si>
  <si>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</si>
  <si>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</si>
  <si>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</si>
  <si>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</si>
  <si>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</si>
  <si>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</si>
  <si>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</si>
  <si>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</si>
  <si>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</si>
  <si>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</si>
  <si>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</si>
  <si>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</si>
  <si>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</si>
  <si>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</si>
  <si>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</si>
  <si>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</si>
  <si>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</si>
  <si>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</si>
  <si>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</si>
  <si>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</si>
  <si>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</si>
  <si>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</si>
  <si>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</si>
  <si>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</si>
  <si>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</si>
  <si>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</si>
  <si>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</si>
  <si>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</si>
  <si>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</si>
  <si>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</si>
  <si>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</si>
  <si>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</si>
  <si>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</si>
  <si>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</si>
  <si>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</si>
  <si>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</si>
  <si>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</si>
  <si>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</si>
  <si>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</si>
  <si>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</si>
  <si>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</si>
  <si>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</si>
  <si>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</si>
  <si>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</si>
  <si>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</si>
  <si>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</si>
  <si>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</si>
  <si>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</si>
  <si>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</si>
  <si>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</si>
  <si>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</si>
  <si>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</si>
  <si>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</si>
  <si>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</si>
  <si>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</si>
  <si>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</si>
  <si>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</si>
  <si>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</si>
  <si>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</si>
  <si>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</si>
  <si>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</si>
  <si>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</si>
  <si>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</si>
  <si>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</si>
  <si>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</si>
  <si>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</si>
  <si>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</si>
  <si>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</si>
  <si>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</si>
  <si>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</si>
  <si>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</si>
  <si>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</si>
  <si>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</si>
  <si>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</si>
  <si>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</si>
  <si>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</si>
  <si>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</si>
  <si>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</si>
  <si>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</si>
  <si>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</si>
  <si>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</si>
  <si>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</si>
  <si>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</si>
  <si>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</si>
  <si>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</si>
  <si>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</si>
  <si>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</si>
  <si>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</si>
  <si>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</si>
  <si>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</si>
  <si>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</si>
  <si>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</si>
  <si>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</si>
  <si>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</si>
  <si>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</si>
  <si>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</si>
  <si>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</si>
  <si>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</si>
  <si>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</si>
  <si>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</si>
  <si>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</si>
  <si>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</si>
  <si>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</si>
  <si>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</si>
  <si>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</si>
  <si>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</si>
  <si>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</si>
  <si>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</si>
  <si>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</si>
  <si>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</si>
  <si>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</si>
  <si>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</si>
  <si>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</si>
  <si>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</si>
  <si>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</si>
  <si>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</si>
  <si>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</si>
  <si>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</si>
  <si>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</si>
  <si>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</si>
  <si>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</si>
  <si>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</si>
  <si>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</si>
  <si>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</si>
  <si>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</si>
  <si>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</si>
  <si>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</si>
  <si>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</si>
  <si>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</si>
  <si>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</si>
  <si>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</si>
  <si>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</si>
  <si>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</si>
  <si>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</si>
  <si>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</si>
  <si>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</si>
  <si>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</si>
  <si>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</si>
  <si>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</si>
  <si>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</si>
  <si>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</si>
  <si>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</si>
  <si>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</si>
  <si>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</si>
  <si>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</si>
  <si>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</si>
  <si>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</si>
  <si>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</si>
  <si>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</si>
  <si>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</si>
  <si>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</si>
  <si>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</si>
  <si>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</si>
  <si>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</si>
  <si>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</si>
  <si>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</si>
  <si>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</si>
  <si>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</si>
  <si>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</si>
  <si>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</si>
  <si>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</si>
  <si>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</si>
  <si>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</si>
  <si>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</si>
  <si>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</si>
  <si>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</si>
  <si>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</si>
  <si>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</si>
  <si>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</si>
  <si>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</si>
  <si>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</si>
  <si>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</si>
  <si>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</si>
  <si>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</si>
  <si>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</si>
  <si>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</si>
  <si>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</si>
  <si>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</si>
  <si>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</si>
  <si>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</si>
  <si>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</si>
  <si>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</si>
  <si>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</si>
  <si>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</si>
  <si>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</si>
  <si>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</si>
  <si>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</si>
  <si>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</si>
  <si>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</si>
  <si>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</si>
  <si>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</si>
  <si>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</si>
  <si>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</si>
  <si>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</si>
  <si>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</si>
  <si>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</si>
  <si>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</si>
  <si>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</si>
  <si>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</si>
  <si>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</si>
  <si>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</si>
  <si>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</si>
  <si>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</si>
  <si>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</si>
  <si>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</si>
  <si>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</si>
  <si>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</si>
  <si>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</si>
  <si>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</si>
  <si>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</si>
  <si>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</si>
  <si>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</si>
  <si>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</si>
  <si>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</si>
  <si>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</si>
  <si>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</si>
  <si>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</si>
  <si>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</si>
  <si>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</si>
  <si>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</si>
  <si>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</si>
  <si>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</si>
  <si>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</si>
  <si>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</si>
  <si>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</si>
  <si>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</si>
  <si>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</si>
  <si>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</si>
  <si>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</si>
  <si>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</si>
  <si>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</si>
  <si>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</si>
  <si>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</si>
  <si>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</si>
  <si>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</si>
  <si>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</si>
  <si>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</si>
  <si>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</si>
  <si>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</si>
  <si>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</si>
  <si>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</si>
  <si>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</si>
  <si>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</si>
  <si>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</si>
  <si>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</si>
  <si>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</si>
  <si>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</si>
  <si>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</si>
  <si>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</si>
  <si>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</si>
  <si>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</si>
  <si>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</si>
  <si>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</si>
  <si>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</si>
  <si>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</si>
  <si>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</si>
  <si>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</si>
  <si>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</si>
  <si>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</si>
  <si>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</si>
  <si>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</si>
  <si>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</si>
  <si>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</si>
  <si>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</si>
  <si>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</si>
  <si>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</si>
  <si>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</si>
  <si>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</si>
  <si>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</si>
  <si>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</si>
  <si>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</si>
  <si>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</si>
  <si>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</si>
  <si>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</si>
  <si>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</si>
  <si>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</si>
  <si>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</si>
  <si>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</si>
  <si>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</si>
  <si>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</si>
  <si>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</si>
  <si>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</si>
  <si>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</si>
  <si>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</si>
  <si>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</si>
  <si>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</si>
  <si>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</si>
  <si>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</si>
  <si>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</si>
  <si>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</si>
  <si>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</si>
  <si>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</si>
  <si>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</si>
  <si>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</si>
  <si>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</si>
  <si>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</si>
  <si>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</si>
  <si>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</si>
  <si>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</si>
  <si>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</si>
  <si>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</si>
  <si>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</si>
  <si>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</si>
  <si>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</si>
  <si>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</si>
  <si>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</si>
  <si>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</si>
  <si>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</si>
  <si>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</si>
  <si>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</si>
  <si>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</si>
  <si>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</si>
  <si>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</si>
  <si>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</si>
  <si>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</si>
  <si>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</si>
  <si>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</si>
  <si>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</si>
  <si>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</si>
  <si>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</si>
  <si>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</si>
  <si>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</si>
  <si>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</si>
  <si>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</si>
  <si>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</si>
  <si>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</si>
  <si>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</si>
  <si>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</si>
  <si>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</si>
  <si>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</si>
  <si>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</si>
  <si>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</si>
  <si>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</si>
  <si>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</si>
  <si>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</si>
  <si>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</si>
  <si>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</si>
  <si>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</si>
  <si>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</si>
  <si>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</si>
  <si>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</si>
  <si>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</si>
  <si>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</si>
  <si>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</si>
  <si>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</si>
  <si>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</si>
  <si>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</si>
  <si>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</si>
  <si>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</si>
  <si>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</si>
  <si>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</si>
  <si>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</si>
  <si>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</si>
  <si>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</si>
  <si>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</si>
  <si>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</si>
  <si>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</si>
  <si>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</si>
  <si>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</si>
  <si>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</si>
  <si>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</si>
  <si>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</si>
  <si>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</si>
  <si>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</si>
  <si>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</si>
  <si>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</si>
  <si>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</si>
  <si>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</si>
  <si>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</si>
  <si>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</si>
  <si>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</si>
  <si>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</si>
  <si>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</si>
  <si>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</si>
  <si>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</si>
  <si>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</si>
  <si>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</si>
  <si>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</si>
  <si>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</si>
  <si>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</si>
  <si>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</si>
  <si>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</si>
  <si>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</si>
  <si>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</si>
  <si>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</si>
  <si>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</si>
  <si>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</si>
  <si>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</si>
  <si>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</si>
  <si>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</si>
  <si>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</si>
  <si>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</si>
  <si>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</si>
  <si>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</si>
  <si>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</si>
  <si>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</si>
  <si>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</si>
  <si>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</si>
  <si>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</si>
  <si>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</si>
  <si>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</si>
  <si>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</si>
  <si>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</si>
  <si>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</si>
  <si>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</si>
  <si>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</si>
  <si>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</si>
  <si>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</si>
  <si>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</si>
  <si>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</si>
  <si>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</si>
  <si>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</si>
  <si>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</si>
  <si>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</si>
  <si>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</si>
  <si>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</si>
  <si>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</si>
  <si>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</si>
  <si>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</si>
  <si>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</si>
  <si>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</si>
  <si>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</si>
  <si>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</si>
  <si>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</si>
  <si>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</si>
  <si>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</si>
  <si>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</si>
  <si>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</si>
  <si>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</si>
  <si>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</si>
  <si>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</si>
  <si>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</si>
  <si>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</si>
  <si>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</si>
  <si>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</si>
  <si>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</si>
  <si>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</si>
  <si>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</si>
  <si>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</si>
  <si>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</si>
  <si>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</si>
  <si>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</si>
  <si>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</si>
  <si>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</si>
  <si>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</si>
  <si>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</si>
  <si>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</si>
  <si>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</si>
  <si>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</si>
  <si>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</si>
  <si>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</si>
  <si>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</si>
  <si>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</si>
  <si>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</si>
  <si>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</si>
  <si>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</si>
  <si>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</si>
  <si>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</si>
  <si>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</si>
  <si>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</si>
  <si>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</si>
  <si>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</si>
  <si>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</si>
  <si>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</si>
  <si>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</si>
  <si>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</si>
  <si>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</si>
  <si>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</si>
  <si>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</si>
  <si>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</si>
  <si>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</si>
  <si>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</si>
  <si>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</si>
  <si>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</si>
  <si>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</si>
  <si>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</si>
  <si>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</si>
  <si>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</si>
  <si>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</si>
  <si>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</si>
  <si>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</si>
  <si>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</si>
  <si>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</si>
  <si>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</si>
  <si>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</si>
  <si>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</si>
  <si>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</si>
  <si>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</si>
  <si>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</si>
  <si>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</si>
  <si>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</si>
  <si>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</si>
  <si>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</si>
  <si>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</si>
  <si>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</si>
  <si>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</si>
  <si>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</si>
  <si>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</si>
  <si>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</si>
  <si>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</si>
  <si>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</si>
  <si>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</si>
  <si>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</si>
  <si>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</si>
  <si>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</si>
  <si>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</si>
  <si>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</si>
  <si>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</si>
  <si>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</si>
  <si>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</si>
  <si>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</si>
  <si>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</si>
  <si>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</si>
  <si>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</si>
  <si>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</si>
  <si>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</si>
  <si>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</si>
  <si>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</si>
  <si>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</si>
  <si>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</si>
  <si>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</si>
  <si>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</si>
  <si>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</si>
  <si>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</si>
  <si>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</si>
  <si>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</si>
  <si>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</si>
  <si>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</si>
  <si>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</si>
  <si>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</si>
  <si>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</si>
  <si>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</si>
  <si>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</si>
  <si>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</si>
  <si>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</si>
  <si>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</si>
  <si>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</si>
  <si>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</si>
  <si>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</si>
  <si>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</si>
  <si>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</si>
  <si>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</si>
  <si>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</si>
  <si>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</si>
  <si>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</si>
  <si>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</si>
  <si>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</si>
  <si>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</si>
  <si>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</si>
  <si>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</si>
  <si>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</si>
  <si>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</si>
  <si>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</si>
  <si>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</si>
  <si>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</si>
  <si>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</si>
  <si>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</si>
  <si>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</si>
  <si>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</si>
  <si>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</si>
  <si>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</si>
  <si>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</si>
  <si>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</si>
  <si>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</si>
  <si>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</si>
  <si>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</si>
  <si>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</si>
  <si>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</si>
  <si>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</si>
  <si>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</si>
  <si>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</si>
  <si>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</si>
  <si>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</si>
  <si>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</si>
  <si>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</si>
  <si>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</si>
  <si>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</si>
  <si>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</si>
  <si>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</si>
  <si>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</si>
  <si>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</si>
  <si>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</si>
  <si>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</si>
  <si>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</si>
  <si>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</si>
  <si>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</si>
  <si>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</si>
  <si>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</si>
  <si>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</si>
  <si>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</si>
  <si>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</si>
  <si>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</si>
  <si>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</si>
  <si>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</si>
  <si>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</si>
  <si>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</si>
  <si>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</si>
  <si>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</si>
  <si>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</si>
  <si>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</si>
  <si>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</si>
  <si>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</si>
  <si>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</si>
  <si>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</si>
  <si>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</si>
  <si>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</si>
  <si>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</si>
  <si>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</si>
  <si>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</si>
  <si>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</si>
  <si>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</si>
  <si>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</si>
  <si>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</si>
  <si>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</si>
  <si>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</si>
  <si>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</si>
  <si>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</si>
  <si>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</si>
  <si>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</si>
  <si>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</si>
  <si>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</si>
  <si>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</si>
  <si>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</si>
  <si>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</si>
  <si>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</si>
  <si>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</si>
  <si>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</si>
  <si>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</si>
  <si>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</si>
  <si>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</si>
  <si>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</si>
  <si>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</si>
  <si>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</si>
  <si>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</si>
  <si>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</si>
  <si>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</si>
  <si>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</si>
  <si>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</si>
  <si>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</si>
  <si>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</si>
  <si>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</si>
  <si>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</si>
  <si>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</si>
  <si>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</si>
  <si>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</si>
  <si>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</si>
  <si>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</si>
  <si>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</si>
  <si>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</si>
  <si>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</si>
  <si>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</si>
  <si>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</si>
  <si>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</si>
  <si>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</si>
  <si>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</si>
  <si>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</si>
  <si>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</si>
  <si>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</si>
  <si>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</si>
  <si>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</si>
  <si>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</si>
  <si>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</si>
  <si>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</si>
  <si>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</si>
  <si>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</si>
  <si>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</si>
  <si>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</si>
  <si>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</si>
  <si>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</si>
  <si>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</si>
  <si>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</si>
  <si>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</si>
  <si>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</si>
  <si>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</si>
  <si>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</si>
  <si>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</si>
  <si>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</si>
  <si>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</si>
  <si>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</si>
  <si>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</si>
  <si>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</si>
  <si>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</si>
  <si>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</si>
  <si>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</si>
  <si>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</si>
  <si>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</si>
  <si>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</si>
  <si>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</si>
  <si>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</si>
  <si>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</si>
  <si>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</si>
  <si>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</si>
  <si>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</si>
  <si>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</si>
  <si>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</si>
  <si>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</si>
  <si>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</si>
  <si>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</si>
  <si>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</si>
  <si>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</si>
  <si>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</si>
  <si>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</si>
  <si>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</si>
  <si>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</si>
  <si>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</si>
  <si>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</si>
  <si>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</si>
  <si>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</si>
  <si>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</si>
  <si>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</si>
  <si>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</si>
  <si>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</si>
  <si>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</si>
  <si>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</si>
  <si>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</si>
  <si>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</si>
  <si>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</si>
  <si>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</si>
  <si>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</si>
  <si>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</si>
  <si>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</si>
  <si>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</si>
  <si>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</si>
  <si>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</si>
  <si>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</si>
  <si>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</si>
  <si>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</si>
  <si>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</si>
  <si>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</si>
  <si>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</si>
  <si>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</si>
  <si>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</si>
  <si>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</si>
  <si>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</si>
  <si>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</si>
  <si>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</si>
  <si>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</si>
  <si>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</si>
  <si>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</si>
  <si>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</si>
  <si>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</si>
  <si>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</si>
  <si>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</si>
  <si>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</si>
  <si>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</si>
  <si>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</si>
  <si>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</si>
  <si>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</si>
  <si>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</si>
  <si>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</si>
  <si>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</si>
  <si>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</si>
  <si>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</si>
  <si>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</si>
  <si>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</si>
  <si>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</si>
  <si>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</si>
  <si>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</si>
  <si>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</si>
  <si>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</si>
  <si>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</si>
  <si>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</si>
  <si>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</si>
  <si>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</si>
  <si>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</si>
  <si>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</si>
  <si>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</si>
  <si>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</si>
  <si>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</si>
  <si>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</si>
  <si>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</si>
  <si>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</si>
  <si>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</si>
  <si>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</si>
  <si>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</si>
  <si>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</si>
  <si>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</si>
  <si>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</si>
  <si>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</si>
  <si>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</si>
  <si>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</si>
  <si>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</si>
  <si>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</si>
  <si>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</si>
  <si>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</si>
  <si>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</si>
  <si>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</si>
  <si>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</si>
  <si>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</si>
  <si>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</si>
  <si>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</si>
  <si>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</si>
  <si>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</si>
  <si>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</si>
  <si>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</si>
  <si>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</si>
  <si>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</si>
  <si>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</si>
  <si>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</si>
  <si>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</si>
  <si>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</si>
  <si>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</si>
  <si>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</si>
  <si>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</si>
  <si>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</si>
  <si>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</si>
  <si>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</si>
  <si>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</si>
  <si>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</si>
  <si>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</si>
  <si>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</si>
  <si>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</si>
  <si>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</si>
  <si>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</si>
  <si>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</si>
  <si>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</si>
  <si>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</si>
  <si>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</si>
  <si>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</si>
  <si>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</si>
  <si>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</si>
  <si>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</si>
  <si>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</si>
  <si>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</si>
  <si>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</si>
  <si>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</si>
  <si>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</si>
  <si>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</si>
  <si>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</si>
  <si>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</si>
  <si>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</si>
  <si>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</si>
  <si>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</si>
  <si>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</si>
  <si>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</si>
  <si>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</si>
  <si>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</si>
  <si>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</si>
  <si>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</si>
  <si>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</si>
  <si>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</si>
  <si>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</si>
  <si>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</si>
  <si>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</si>
  <si>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</si>
  <si>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</si>
  <si>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</si>
  <si>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</si>
  <si>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</si>
  <si>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</si>
  <si>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</si>
  <si>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</si>
  <si>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</si>
  <si>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</si>
  <si>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</si>
  <si>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</si>
  <si>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</si>
  <si>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</si>
  <si>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</si>
  <si>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</si>
  <si>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</si>
  <si>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</si>
  <si>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</si>
  <si>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</si>
  <si>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</si>
  <si>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</si>
  <si>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</si>
  <si>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</si>
  <si>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</si>
  <si>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</si>
  <si>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</si>
  <si>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</si>
  <si>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</si>
  <si>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</si>
  <si>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</si>
  <si>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</si>
  <si>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</si>
  <si>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</si>
  <si>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</si>
  <si>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</si>
  <si>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</si>
  <si>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</si>
  <si>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</si>
  <si>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</si>
  <si>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</si>
  <si>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</si>
  <si>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</si>
  <si>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</si>
  <si>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</si>
  <si>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</si>
  <si>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</si>
  <si>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</si>
  <si>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</si>
  <si>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</si>
  <si>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</si>
  <si>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</si>
  <si>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</si>
  <si>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</si>
  <si>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</si>
  <si>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</si>
  <si>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</si>
  <si>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</si>
  <si>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</si>
  <si>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</si>
  <si>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</si>
  <si>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</si>
  <si>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</si>
  <si>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</si>
  <si>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</si>
  <si>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</si>
  <si>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</si>
  <si>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</si>
  <si>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</si>
  <si>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</si>
  <si>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</si>
  <si>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</si>
  <si>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</si>
  <si>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</si>
  <si>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</si>
  <si>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</si>
  <si>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</si>
  <si>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</si>
  <si>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</si>
  <si>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</si>
  <si>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</si>
  <si>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</si>
  <si>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</si>
  <si>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</si>
  <si>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</si>
  <si>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</si>
  <si>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</si>
  <si>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</si>
  <si>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</si>
  <si>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</si>
  <si>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</si>
  <si>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</si>
  <si>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</si>
  <si>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</si>
  <si>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</si>
  <si>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</si>
  <si>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</si>
  <si>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</si>
  <si>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</si>
  <si>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</si>
  <si>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</si>
  <si>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</si>
  <si>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</si>
  <si>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</si>
  <si>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</si>
  <si>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</si>
  <si>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</si>
  <si>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</si>
  <si>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</si>
  <si>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</si>
  <si>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</si>
  <si>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</si>
  <si>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</si>
  <si>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</si>
  <si>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</si>
  <si>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</si>
  <si>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</si>
  <si>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</si>
  <si>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</si>
  <si>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</si>
  <si>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</si>
  <si>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</si>
  <si>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</si>
  <si>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</si>
  <si>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</si>
  <si>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</si>
  <si>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</si>
  <si>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</si>
  <si>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</si>
  <si>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</si>
  <si>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</si>
  <si>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</si>
  <si>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</si>
  <si>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</si>
  <si>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</si>
  <si>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</si>
  <si>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</si>
  <si>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</si>
  <si>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</si>
  <si>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</si>
  <si>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</si>
  <si>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</si>
  <si>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</si>
  <si>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</si>
  <si>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</si>
  <si>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</si>
  <si>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</si>
  <si>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</si>
  <si>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</si>
  <si>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</si>
  <si>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</si>
  <si>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</si>
  <si>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</si>
  <si>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</si>
  <si>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</si>
  <si>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</si>
  <si>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</si>
  <si>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</si>
  <si>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</si>
  <si>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</si>
  <si>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</si>
  <si>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</si>
  <si>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</si>
  <si>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</si>
  <si>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</si>
  <si>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</si>
  <si>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</si>
  <si>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</si>
  <si>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</si>
  <si>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</si>
  <si>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</si>
  <si>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</si>
  <si>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</si>
  <si>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</si>
  <si>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</si>
  <si>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</si>
  <si>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</si>
  <si>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</si>
  <si>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</si>
  <si>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</si>
  <si>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</si>
  <si>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</si>
  <si>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</si>
  <si>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5.</t>
  </si>
  <si>
    <t>4. Mitu aafrika ja aasia võistkonda pääseb alagrupiturniirilt edasi?</t>
  </si>
  <si>
    <t>Ronaldo</t>
  </si>
  <si>
    <t>Inglismaa</t>
  </si>
  <si>
    <t>Argentiina</t>
  </si>
  <si>
    <t>Tuneesia</t>
  </si>
  <si>
    <t>Saksamaa</t>
  </si>
  <si>
    <t>Messi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</si>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</sst>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25.png"/><Relationship Id="rId50" Type="http://schemas.openxmlformats.org/officeDocument/2006/relationships/image" Target="../media/image51.svg"/><Relationship Id="rId55" Type="http://schemas.openxmlformats.org/officeDocument/2006/relationships/image" Target="../media/image29.png"/><Relationship Id="rId63" Type="http://schemas.openxmlformats.org/officeDocument/2006/relationships/image" Target="../media/image33.png"/><Relationship Id="rId7" Type="http://schemas.openxmlformats.org/officeDocument/2006/relationships/image" Target="../media/image5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16.png"/><Relationship Id="rId11" Type="http://schemas.openxmlformats.org/officeDocument/2006/relationships/image" Target="../media/image7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20.png"/><Relationship Id="rId40" Type="http://schemas.openxmlformats.org/officeDocument/2006/relationships/image" Target="../media/image41.svg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8" Type="http://schemas.openxmlformats.org/officeDocument/2006/relationships/image" Target="../media/image59.svg"/><Relationship Id="rId5" Type="http://schemas.openxmlformats.org/officeDocument/2006/relationships/image" Target="../media/image4.png"/><Relationship Id="rId61" Type="http://schemas.openxmlformats.org/officeDocument/2006/relationships/image" Target="../media/image32.png"/><Relationship Id="rId19" Type="http://schemas.openxmlformats.org/officeDocument/2006/relationships/image" Target="../media/image11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15.png"/><Relationship Id="rId30" Type="http://schemas.openxmlformats.org/officeDocument/2006/relationships/image" Target="../media/image31.svg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27.png"/><Relationship Id="rId3" Type="http://schemas.openxmlformats.org/officeDocument/2006/relationships/image" Target="../media/image3.png"/><Relationship Id="rId12" Type="http://schemas.openxmlformats.org/officeDocument/2006/relationships/image" Target="../media/image13.sv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31.png"/><Relationship Id="rId20" Type="http://schemas.openxmlformats.org/officeDocument/2006/relationships/image" Target="../media/image21.svg"/><Relationship Id="rId41" Type="http://schemas.openxmlformats.org/officeDocument/2006/relationships/image" Target="../media/image2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" Type="http://schemas.openxmlformats.org/officeDocument/2006/relationships/image" Target="../media/image11.svg"/><Relationship Id="rId31" Type="http://schemas.openxmlformats.org/officeDocument/2006/relationships/image" Target="../media/image17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xmlns="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xmlns="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xmlns="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xmlns="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xmlns="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xmlns="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xmlns="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xmlns="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xmlns="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xmlns="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xmlns="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xmlns="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xmlns="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xmlns="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xmlns="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xmlns="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xmlns="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xmlns="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xmlns="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xmlns="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xmlns="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xmlns="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xmlns="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xmlns="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xmlns="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xmlns="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xmlns="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xmlns="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xmlns="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xmlns="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xmlns="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xmlns="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xmlns="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xmlns="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xmlns="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xmlns="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xmlns="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xmlns="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xmlns="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xmlns="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xmlns="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xmlns="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xmlns="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xmlns="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xmlns="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xmlns="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xmlns="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xmlns="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xmlns="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xmlns="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xmlns="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xmlns="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xmlns="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xmlns="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xmlns="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xmlns="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xmlns="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xmlns="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xmlns="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xmlns="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xmlns="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xmlns="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xmlns="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xmlns="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xmlns="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xmlns="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xmlns="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xmlns="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xmlns="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xmlns="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xmlns="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xmlns="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xmlns="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xmlns="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xmlns="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xmlns="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xmlns="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xmlns="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xmlns="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xmlns="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xmlns="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xmlns="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xmlns="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xmlns="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xmlns="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xmlns="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xmlns="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xmlns="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xmlns="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xmlns="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xmlns="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xmlns="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xmlns="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xmlns="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xmlns="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showGridLines="0" topLeftCell="A12" workbookViewId="0">
      <selection activeCell="G20" sqref="G20"/>
    </sheetView>
  </sheetViews>
  <sheetFormatPr defaultColWidth="9.21875" defaultRowHeight="14.4" x14ac:dyDescent="0.3"/>
  <cols>
    <col min="1" max="1" width="1.21875" style="10" customWidth="1"/>
    <col min="2" max="2" width="18.77734375" style="10" bestFit="1" customWidth="1"/>
    <col min="3" max="3" width="20.21875" style="10" customWidth="1"/>
    <col min="4" max="4" width="9.21875" style="10"/>
    <col min="5" max="5" width="1.21875" style="10" customWidth="1"/>
    <col min="6" max="6" width="9.21875" style="10"/>
    <col min="7" max="7" width="27.5546875" style="10" bestFit="1" customWidth="1"/>
    <col min="8" max="8" width="2.77734375" style="10" customWidth="1"/>
    <col min="9" max="9" width="1.21875" style="10" customWidth="1"/>
    <col min="10" max="16384" width="9.218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97"/>
  <sheetViews>
    <sheetView showGridLines="0" tabSelected="1" zoomScaleNormal="100" workbookViewId="0">
      <selection activeCell="BU29" sqref="BU29"/>
    </sheetView>
  </sheetViews>
  <sheetFormatPr defaultColWidth="9.21875" defaultRowHeight="14.4" x14ac:dyDescent="0.3"/>
  <cols>
    <col min="1" max="1" width="4.77734375" style="3" customWidth="1"/>
    <col min="2" max="2" width="6.21875" style="3" customWidth="1"/>
    <col min="3" max="3" width="11.77734375" style="3" bestFit="1" customWidth="1"/>
    <col min="4" max="4" width="7.21875" style="4" customWidth="1"/>
    <col min="5" max="5" width="22.5546875" style="5" customWidth="1"/>
    <col min="6" max="7" width="4.21875" style="6" customWidth="1"/>
    <col min="8" max="8" width="22.5546875" style="7" customWidth="1"/>
    <col min="9" max="9" width="3.44140625" style="2" customWidth="1"/>
    <col min="10" max="10" width="14" style="8" customWidth="1"/>
    <col min="11" max="14" width="5.44140625" style="9" customWidth="1"/>
    <col min="15" max="15" width="7.77734375" style="9" customWidth="1"/>
    <col min="16" max="16" width="6.7773437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21875" style="48" hidden="1" customWidth="1"/>
    <col min="27" max="27" width="5.44140625" style="47" hidden="1" customWidth="1"/>
    <col min="28" max="28" width="13.44140625" style="48" hidden="1" customWidth="1"/>
    <col min="29" max="33" width="5.44140625" style="47" hidden="1" customWidth="1"/>
    <col min="34" max="36" width="6" style="47" hidden="1" customWidth="1"/>
    <col min="37" max="37" width="5.44140625" style="47" hidden="1" customWidth="1"/>
    <col min="38" max="38" width="6" style="47" hidden="1" customWidth="1"/>
    <col min="39" max="39" width="7.21875" style="48" hidden="1" customWidth="1"/>
    <col min="40" max="40" width="10" style="48" hidden="1" customWidth="1"/>
    <col min="41" max="41" width="15.21875" style="48" hidden="1" customWidth="1"/>
    <col min="42" max="46" width="4.77734375" style="47" hidden="1" customWidth="1"/>
    <col min="47" max="49" width="9.21875" style="48" hidden="1" customWidth="1"/>
    <col min="50" max="50" width="9.218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21875" style="2"/>
  </cols>
  <sheetData>
    <row r="1" spans="1:76" ht="46.2" x14ac:dyDescent="0.3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3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Qatar_win</v>
      </c>
      <c r="T7" s="88" t="str">
        <f t="shared" ref="T7:T54" si="4">IF(S7="","",IF(F7&lt;G7,H7&amp;"_win",IF(F7&gt;G7,H7&amp;"_lose",H7&amp;"_draw")))</f>
        <v>Ecuador_lose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4</v>
      </c>
      <c r="AB8" s="48" t="str">
        <f>VLOOKUP("Senegal",T,lang,FALSE)</f>
        <v>Senegal</v>
      </c>
      <c r="AC8" s="47">
        <f>COUNTIF($S$7:$T$54,"=" &amp; AB8 &amp; "_win")</f>
        <v>0</v>
      </c>
      <c r="AD8" s="47">
        <f>COUNTIF($S$7:$T$54,"=" &amp; AB8 &amp; "_draw")</f>
        <v>1</v>
      </c>
      <c r="AE8" s="47">
        <f>COUNTIF($S$7:$T$54,"=" &amp; AB8 &amp; "_lose")</f>
        <v>2</v>
      </c>
      <c r="AF8" s="47">
        <f>SUMIF($E$7:$E$54,$AB8,$F$7:$F$54) + SUMIF($H$7:$H$54,$AB8,$G$7:$G$54)</f>
        <v>2</v>
      </c>
      <c r="AG8" s="47">
        <f>SUMIF($E$7:$E$54,$AB8,$G$7:$G$54) + SUMIF($H$7:$H$54,$AB8,$F$7:$F$54)</f>
        <v>5</v>
      </c>
      <c r="AH8" s="47">
        <f>(AF8-AG8)*100+AK8*10000+AF8</f>
        <v>9702</v>
      </c>
      <c r="AI8" s="47">
        <f>AF8-AG8</f>
        <v>-3</v>
      </c>
      <c r="AJ8" s="47">
        <f>(AI8-AI13)/AI12</f>
        <v>0</v>
      </c>
      <c r="AK8" s="47">
        <f>AC8*3+AD8</f>
        <v>1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114.44523652444444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1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7 - 3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2</v>
      </c>
      <c r="AB9" s="48" t="str">
        <f>VLOOKUP("Qatar",T,lang,FALSE)</f>
        <v>Qatar</v>
      </c>
      <c r="AC9" s="47">
        <f>COUNTIF($S$7:$T$54,"=" &amp; AB9 &amp; "_win")</f>
        <v>2</v>
      </c>
      <c r="AD9" s="47">
        <f>COUNTIF($S$7:$T$54,"=" &amp; AB9 &amp; "_draw")</f>
        <v>0</v>
      </c>
      <c r="AE9" s="47">
        <f>COUNTIF($S$7:$T$54,"=" &amp; AB9 &amp; "_lose")</f>
        <v>1</v>
      </c>
      <c r="AF9" s="47">
        <f>SUMIF($E$7:$E$54,$AB9,$F$7:$F$54) + SUMIF($H$7:$H$54,$AB9,$G$7:$G$54)</f>
        <v>5</v>
      </c>
      <c r="AG9" s="47">
        <f>SUMIF($E$7:$E$54,$AB9,$G$7:$G$54) + SUMIF($H$7:$H$54,$AB9,$F$7:$F$54)</f>
        <v>4</v>
      </c>
      <c r="AH9" s="47">
        <f>(AF9-AG9)*100+AK9*10000+AF9</f>
        <v>60105</v>
      </c>
      <c r="AI9" s="47">
        <f>AF9-AG9</f>
        <v>1</v>
      </c>
      <c r="AJ9" s="47">
        <f>(AI9-AI13)/AI12</f>
        <v>0.5</v>
      </c>
      <c r="AK9" s="47">
        <f>AC9*3+AD9</f>
        <v>6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725.00072050000006</v>
      </c>
      <c r="AO9" s="48" t="str">
        <f>IF(SUM(AC8:AE11)=12,J10,INDEX(T,71,lang))</f>
        <v>Qatar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Qatar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5 - 4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1</v>
      </c>
      <c r="V10" s="47">
        <f t="shared" si="6"/>
        <v>1</v>
      </c>
      <c r="W10" s="47">
        <f t="shared" si="7"/>
        <v>1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1</v>
      </c>
      <c r="AE10" s="47">
        <f>COUNTIF($S$7:$T$54,"=" &amp; AB10 &amp; "_lose")</f>
        <v>2</v>
      </c>
      <c r="AF10" s="47">
        <f>SUMIF($E$7:$E$54,$AB10,$F$7:$F$54) + SUMIF($H$7:$H$54,$AB10,$G$7:$G$54)</f>
        <v>4</v>
      </c>
      <c r="AG10" s="47">
        <f>SUMIF($E$7:$E$54,$AB10,$G$7:$G$54) + SUMIF($H$7:$H$54,$AB10,$F$7:$F$54)</f>
        <v>6</v>
      </c>
      <c r="AH10" s="47">
        <f>(AF10-AG10)*100+AK10*10000+AF10</f>
        <v>9804</v>
      </c>
      <c r="AI10" s="47">
        <f>AF10-AG10</f>
        <v>-2</v>
      </c>
      <c r="AJ10" s="47">
        <f>(AI10-AI13)/AI12</f>
        <v>0.125</v>
      </c>
      <c r="AK10" s="47">
        <f>AC10*3+AD10</f>
        <v>1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130.27850427777778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1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0</v>
      </c>
      <c r="M11" s="25">
        <f>VLOOKUP(3,AA8:AK11,4,FALSE)</f>
        <v>1</v>
      </c>
      <c r="N11" s="25">
        <f>VLOOKUP(3,AA8:AK11,5,FALSE)</f>
        <v>2</v>
      </c>
      <c r="O11" s="25" t="str">
        <f>VLOOKUP(3,AA8:AK11,6,FALSE) &amp; " - " &amp; VLOOKUP(3,AA8:AK11,7,FALSE)</f>
        <v>4 - 6</v>
      </c>
      <c r="P11" s="54">
        <f>L11*3+M11</f>
        <v>1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3</v>
      </c>
      <c r="AH11" s="47">
        <f>(AF11-AG11)*100+AK11*10000+AF11</f>
        <v>90407</v>
      </c>
      <c r="AI11" s="47">
        <f>AF11-AG11</f>
        <v>4</v>
      </c>
      <c r="AJ11" s="47">
        <f>(AI11-AI13)/AI12</f>
        <v>0.875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1099.1674959966667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Senegal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2 - 5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3</v>
      </c>
      <c r="AF12" s="47">
        <f t="shared" si="10"/>
        <v>6</v>
      </c>
      <c r="AG12" s="47">
        <f t="shared" si="10"/>
        <v>4</v>
      </c>
      <c r="AH12" s="47">
        <f>MAX(AH8:AH11)-AH13+1</f>
        <v>80706</v>
      </c>
      <c r="AI12" s="47">
        <f>MAX(AI8:AI11)-AI13+1</f>
        <v>8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3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Mexico_lose</v>
      </c>
      <c r="T13" s="88" t="str">
        <f t="shared" si="4"/>
        <v>Poland_win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-1</v>
      </c>
      <c r="AH13" s="47">
        <f>MIN(AH8:AH11)</f>
        <v>9702</v>
      </c>
      <c r="AI13" s="47">
        <f>MIN(AI8:AI11)</f>
        <v>-3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1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8</v>
      </c>
      <c r="AG14" s="47">
        <f>SUMIF($E$7:$E$54,$AB14,$G$7:$G$54) + SUMIF($H$7:$H$54,$AB14,$F$7:$F$54)</f>
        <v>3</v>
      </c>
      <c r="AH14" s="47">
        <f>(AF14-AG14)*100+AK14*10000+AF14</f>
        <v>90508</v>
      </c>
      <c r="AI14" s="47">
        <f>AF14-AG14</f>
        <v>5</v>
      </c>
      <c r="AJ14" s="47">
        <f>(AI14-AI19)/AI18</f>
        <v>0.90909090909090906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1002.3385433376624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8 - 3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7</v>
      </c>
      <c r="AH15" s="47">
        <f>(AF15-AG15)*100+AK15*10000+AF15</f>
        <v>-498</v>
      </c>
      <c r="AI15" s="47">
        <f>AF15-AG15</f>
        <v>-5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2.8579248571428573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>
        <v>0</v>
      </c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4 - 4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4</v>
      </c>
      <c r="AH16" s="47">
        <f>(AF16-AG16)*100+AK16*10000+AF16</f>
        <v>40004</v>
      </c>
      <c r="AI16" s="47">
        <f>AF16-AG16</f>
        <v>0</v>
      </c>
      <c r="AJ16" s="47">
        <f>(AI16-AI19)/AI18</f>
        <v>0.45454545454545453</v>
      </c>
      <c r="AK16" s="47">
        <f>AC16*3+AD16</f>
        <v>4</v>
      </c>
      <c r="AL16" s="47">
        <f>AP16/AP18*1000+AQ16/AQ18*100+AT16/AT18*10+AR16/AR18</f>
        <v>50.5</v>
      </c>
      <c r="AM16" s="47">
        <f>VLOOKUP(AB16,db_fifarank,2,FALSE)/2000000</f>
        <v>8.1685999999999998E-4</v>
      </c>
      <c r="AN16" s="48">
        <f>1000*AK16/AK18+100*AJ16+10*AF16/AF18+1*AL16/AL18+AM16</f>
        <v>452.15023055310297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1</v>
      </c>
      <c r="AR16" s="47">
        <f>SUMPRODUCT(($E$7:$E$54=AB16)*($U$7:$U$54)*($F$7:$F$54))+SUMPRODUCT(($H$7:$H$54=AB16)*($U$7:$U$54)*($G$7:$G$54))</f>
        <v>1</v>
      </c>
      <c r="AS16" s="47">
        <f>SUMPRODUCT(($E$7:$E$54=AB16)*($U$7:$U$54)*($G$7:$G$54))+SUMPRODUCT(($H$7:$H$54=AB16)*($U$7:$U$54)*($F$7:$F$54))</f>
        <v>1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>
        <v>1</v>
      </c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3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4 - 4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4</v>
      </c>
      <c r="AG17" s="47">
        <f>SUMIF($E$7:$E$54,$AB17,$G$7:$G$54) + SUMIF($H$7:$H$54,$AB17,$F$7:$F$54)</f>
        <v>4</v>
      </c>
      <c r="AH17" s="47">
        <f>(AF17-AG17)*100+AK17*10000+AF17</f>
        <v>40004</v>
      </c>
      <c r="AI17" s="47">
        <f>AF17-AG17</f>
        <v>0</v>
      </c>
      <c r="AJ17" s="47">
        <f>(AI17-AI19)/AI18</f>
        <v>0.45454545454545453</v>
      </c>
      <c r="AK17" s="47">
        <f>AC17*3+AD17</f>
        <v>4</v>
      </c>
      <c r="AL17" s="47">
        <f>AP17/AP18*1000+AQ17/AQ18*100+AT17/AT18*10+AR17/AR18</f>
        <v>50.5</v>
      </c>
      <c r="AM17" s="47">
        <f>VLOOKUP(AB17,db_fifarank,2,FALSE)/2000000</f>
        <v>7.9106500000000008E-4</v>
      </c>
      <c r="AN17" s="48">
        <f>1000*AK17/AK18+100*AJ17+10*AF17/AF18+1*AL17/AL18+AM17</f>
        <v>452.15020475810297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1</v>
      </c>
      <c r="AR17" s="47">
        <f>SUMPRODUCT(($E$7:$E$54=AB17)*($U$7:$U$54)*($F$7:$F$54))+SUMPRODUCT(($H$7:$H$54=AB17)*($U$7:$U$54)*($G$7:$G$54))</f>
        <v>1</v>
      </c>
      <c r="AS17" s="47">
        <f>SUMPRODUCT(($E$7:$E$54=AB17)*($U$7:$U$54)*($G$7:$G$54))+SUMPRODUCT(($H$7:$H$54=AB17)*($U$7:$U$54)*($F$7:$F$54))</f>
        <v>1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>
        <v>0</v>
      </c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2 - 7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7</v>
      </c>
      <c r="AG18" s="47">
        <f t="shared" si="11"/>
        <v>5</v>
      </c>
      <c r="AH18" s="47">
        <f>MAX(AH14:AH17)-AH19+1</f>
        <v>91007</v>
      </c>
      <c r="AI18" s="47">
        <f>MAX(AI14:AI17)-AI19+1</f>
        <v>11</v>
      </c>
      <c r="AK18" s="47">
        <f t="shared" si="11"/>
        <v>10</v>
      </c>
      <c r="AL18" s="47">
        <f t="shared" si="11"/>
        <v>51.5</v>
      </c>
      <c r="AP18" s="47">
        <f>MAX(AP14:AP17)-MIN(AP14:AP17)+1</f>
        <v>1</v>
      </c>
      <c r="AQ18" s="47">
        <f>MAX(AQ14:AQ17)-MIN(AQ14:AQ17)+1</f>
        <v>2</v>
      </c>
      <c r="AR18" s="47">
        <f>MAX(AR14:AR17)-MIN(AR14:AR17)+1</f>
        <v>2</v>
      </c>
      <c r="AS18" s="47">
        <f>MAX(AS14:AS17)-MIN(AS14:AS17)+1</f>
        <v>2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3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-498</v>
      </c>
      <c r="AI19" s="47">
        <f>MIN(AI14:AI17)</f>
        <v>-5</v>
      </c>
      <c r="AY19" s="125"/>
      <c r="AZ19" s="28" t="str">
        <f>AO39</f>
        <v>Belgium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2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Uruguay_lose</v>
      </c>
      <c r="T20" s="88" t="str">
        <f t="shared" si="4"/>
        <v>Korea Republic_win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-1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10</v>
      </c>
      <c r="AG20" s="47">
        <f>SUMIF($E$7:$E$54,$AB20,$G$7:$G$54) + SUMIF($H$7:$H$54,$AB20,$F$7:$F$54)</f>
        <v>4</v>
      </c>
      <c r="AH20" s="47">
        <f>(AF20-AG20)*100+AK20*10000+AF20</f>
        <v>90610</v>
      </c>
      <c r="AI20" s="47">
        <f>AF20-AG20</f>
        <v>6</v>
      </c>
      <c r="AJ20" s="47">
        <f>(AI20-AI25)/AI24</f>
        <v>0.90909090909090906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1102.0210845202021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1</v>
      </c>
      <c r="BI20" s="86">
        <v>1</v>
      </c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10 - 4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1</v>
      </c>
      <c r="AE21" s="47">
        <f>COUNTIF($S$7:$T$54,"=" &amp; AB21 &amp; "_lose")</f>
        <v>2</v>
      </c>
      <c r="AF21" s="47">
        <f>SUMIF($E$7:$E$54,$AB21,$F$7:$F$54) + SUMIF($H$7:$H$54,$AB21,$G$7:$G$54)</f>
        <v>2</v>
      </c>
      <c r="AG21" s="47">
        <f>SUMIF($E$7:$E$54,$AB21,$G$7:$G$54) + SUMIF($H$7:$H$54,$AB21,$F$7:$F$54)</f>
        <v>6</v>
      </c>
      <c r="AH21" s="47">
        <f>(AF21-AG21)*100+AK21*10000+AF21</f>
        <v>9602</v>
      </c>
      <c r="AI21" s="47">
        <f>AF21-AG21</f>
        <v>-4</v>
      </c>
      <c r="AJ21" s="47">
        <f>(AI21-AI25)/AI24</f>
        <v>0</v>
      </c>
      <c r="AK21" s="47">
        <f>AC21*3+AD21</f>
        <v>1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113.33405583333334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>
        <v>2</v>
      </c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0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5 - 5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0</v>
      </c>
      <c r="AD22" s="47">
        <f>COUNTIF($S$7:$T$54,"=" &amp; AB22 &amp; "_draw")</f>
        <v>1</v>
      </c>
      <c r="AE22" s="47">
        <f>COUNTIF($S$7:$T$54,"=" &amp; AB22 &amp; "_lose")</f>
        <v>2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7</v>
      </c>
      <c r="AH22" s="47">
        <f>(AF22-AG22)*100+AK22*10000+AF22</f>
        <v>9805</v>
      </c>
      <c r="AI22" s="47">
        <f>AF22-AG22</f>
        <v>-2</v>
      </c>
      <c r="AJ22" s="47">
        <f>(AI22-AI25)/AI24</f>
        <v>0.18181818181818182</v>
      </c>
      <c r="AK22" s="47">
        <f>AC22*3+AD22</f>
        <v>1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134.84931425848484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1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0</v>
      </c>
      <c r="M23" s="25">
        <f>VLOOKUP(3,AA20:AK23,4,FALSE)</f>
        <v>1</v>
      </c>
      <c r="N23" s="25">
        <f>VLOOKUP(3,AA20:AK23,5,FALSE)</f>
        <v>2</v>
      </c>
      <c r="O23" s="25" t="str">
        <f>VLOOKUP(3,AA20:AK23,6,FALSE) &amp; " - " &amp; VLOOKUP(3,AA20:AK23,7,FALSE)</f>
        <v>5 - 7</v>
      </c>
      <c r="P23" s="54">
        <f>L23*3+M23</f>
        <v>1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2</v>
      </c>
      <c r="AD23" s="47">
        <f>COUNTIF($S$7:$T$54,"=" &amp; AB23 &amp; "_draw")</f>
        <v>0</v>
      </c>
      <c r="AE23" s="47">
        <f>COUNTIF($S$7:$T$54,"=" &amp; AB23 &amp; "_lose")</f>
        <v>1</v>
      </c>
      <c r="AF23" s="47">
        <f>SUMIF($E$7:$E$54,$AB23,$F$7:$F$54) + SUMIF($H$7:$H$54,$AB23,$G$7:$G$54)</f>
        <v>5</v>
      </c>
      <c r="AG23" s="47">
        <f>SUMIF($E$7:$E$54,$AB23,$G$7:$G$54) + SUMIF($H$7:$H$54,$AB23,$F$7:$F$54)</f>
        <v>5</v>
      </c>
      <c r="AH23" s="47">
        <f>(AF23-AG23)*100+AK23*10000+AF23</f>
        <v>60005</v>
      </c>
      <c r="AI23" s="47">
        <f>AF23-AG23</f>
        <v>0</v>
      </c>
      <c r="AJ23" s="47">
        <f>(AI23-AI25)/AI24</f>
        <v>0.36363636363636365</v>
      </c>
      <c r="AK23" s="47">
        <f>AC23*3+AD23</f>
        <v>6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708.58663058585853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Korea Republic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2</v>
      </c>
      <c r="BW23" s="86"/>
      <c r="BX23" s="27"/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0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1</v>
      </c>
      <c r="N24" s="56">
        <f>VLOOKUP(4,AA20:AK23,5,FALSE)</f>
        <v>2</v>
      </c>
      <c r="O24" s="56" t="str">
        <f>VLOOKUP(4,AA20:AK23,6,FALSE) &amp; " - " &amp; VLOOKUP(4,AA20:AK23,7,FALSE)</f>
        <v>2 - 6</v>
      </c>
      <c r="P24" s="57">
        <f>L24*3+M24</f>
        <v>1</v>
      </c>
      <c r="R24" s="47">
        <f>DATE(2022,11,25)+TIME(2,0,0)+gmt_delta</f>
        <v>44890.666666666672</v>
      </c>
      <c r="S24" s="88" t="str">
        <f t="shared" si="3"/>
        <v>Qatar_win</v>
      </c>
      <c r="T24" s="88" t="str">
        <f t="shared" si="4"/>
        <v>Senegal_lose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3</v>
      </c>
      <c r="AF24" s="47">
        <f t="shared" si="12"/>
        <v>9</v>
      </c>
      <c r="AG24" s="47">
        <f t="shared" si="12"/>
        <v>4</v>
      </c>
      <c r="AH24" s="47">
        <f>MAX(AH20:AH23)-AH25+1</f>
        <v>81009</v>
      </c>
      <c r="AI24" s="47">
        <f>MAX(AI20:AI23)-AI25+1</f>
        <v>11</v>
      </c>
      <c r="AK24" s="47">
        <f t="shared" si="12"/>
        <v>9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Portugal</v>
      </c>
      <c r="BV24" s="85">
        <v>1</v>
      </c>
      <c r="BW24" s="87"/>
      <c r="BX24" s="30"/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9602</v>
      </c>
      <c r="AI25" s="47">
        <f>MIN(AI20:AI23)</f>
        <v>-4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3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8</v>
      </c>
      <c r="AG26" s="47">
        <f>SUMIF($E$7:$E$54,$AB26,$G$7:$G$54) + SUMIF($H$7:$H$54,$AB26,$F$7:$F$54)</f>
        <v>3</v>
      </c>
      <c r="AH26" s="47">
        <f>(AF26-AG26)*100+AK26*10000+AF26</f>
        <v>90508</v>
      </c>
      <c r="AI26" s="47">
        <f>AF26-AG26</f>
        <v>5</v>
      </c>
      <c r="AJ26" s="47">
        <f>(AI26-AI31)/AI30</f>
        <v>0.88888888888888884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1100.3183553174601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3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8 - 3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3</v>
      </c>
      <c r="AG27" s="47">
        <f>SUMIF($E$7:$E$54,$AB27,$G$7:$G$54) + SUMIF($H$7:$H$54,$AB27,$F$7:$F$54)</f>
        <v>6</v>
      </c>
      <c r="AH27" s="47">
        <f>(AF27-AG27)*100+AK27*10000+AF27</f>
        <v>9703</v>
      </c>
      <c r="AI27" s="47">
        <f>AF27-AG27</f>
        <v>-3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115.3975672618254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Qatar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6 - 5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5</v>
      </c>
      <c r="AH28" s="47">
        <f>(AF28-AG28)*100+AK28*10000+AF28</f>
        <v>60106</v>
      </c>
      <c r="AI28" s="47">
        <f>AF28-AG28</f>
        <v>1</v>
      </c>
      <c r="AJ28" s="47">
        <f>(AI28-AI31)/AI30</f>
        <v>0.44444444444444442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719.68336648253967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3</v>
      </c>
      <c r="G29" s="22">
        <v>2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3 - 6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2</v>
      </c>
      <c r="AG29" s="47">
        <f>SUMIF($E$7:$E$54,$AB29,$G$7:$G$54) + SUMIF($H$7:$H$54,$AB29,$F$7:$F$54)</f>
        <v>5</v>
      </c>
      <c r="AH29" s="47">
        <f>(AF29-AG29)*100+AK29*10000+AF29</f>
        <v>9702</v>
      </c>
      <c r="AI29" s="47">
        <f>AF29-AG29</f>
        <v>-3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113.96900386825398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2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2 - 5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7</v>
      </c>
      <c r="AG30" s="47">
        <f t="shared" si="13"/>
        <v>4</v>
      </c>
      <c r="AH30" s="47">
        <f>MAX(AH26:AH29)-AH31+1</f>
        <v>80807</v>
      </c>
      <c r="AI30" s="47">
        <f>MAX(AI26:AI29)-AI31+1</f>
        <v>9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9702</v>
      </c>
      <c r="AI31" s="47">
        <f>MIN(AI26:AI29)</f>
        <v>-3</v>
      </c>
      <c r="AY31" s="125"/>
      <c r="AZ31" s="28" t="str">
        <f>AO21</f>
        <v>Poland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6</v>
      </c>
      <c r="AG32" s="47">
        <f>SUMIF($E$7:$E$54,$AB32,$G$7:$G$54) + SUMIF($H$7:$H$54,$AB32,$F$7:$F$54)</f>
        <v>3</v>
      </c>
      <c r="AH32" s="47">
        <f>(AF32-AG32)*100+AK32*10000+AF32</f>
        <v>60306</v>
      </c>
      <c r="AI32" s="47">
        <f>AF32-AG32</f>
        <v>3</v>
      </c>
      <c r="AJ32" s="47">
        <f>(AI32-AI37)/AI36</f>
        <v>0.7142857142857143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745.59609259523802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0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3</v>
      </c>
      <c r="G33" s="22">
        <v>1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8 - 2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8</v>
      </c>
      <c r="AH33" s="47">
        <f>(AF33-AG33)*100+AK33*10000+AF33</f>
        <v>9301</v>
      </c>
      <c r="AI33" s="47">
        <f>AF33-AG33</f>
        <v>-7</v>
      </c>
      <c r="AJ33" s="47">
        <f>(AI33-AI37)/AI36</f>
        <v>0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112.36186114111112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6 - 3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8</v>
      </c>
      <c r="AG34" s="47">
        <f>SUMIF($E$7:$E$54,$AB34,$G$7:$G$54) + SUMIF($H$7:$H$54,$AB34,$F$7:$F$54)</f>
        <v>2</v>
      </c>
      <c r="AH34" s="47">
        <f>(AF34-AG34)*100+AK34*10000+AF34</f>
        <v>90608</v>
      </c>
      <c r="AI34" s="47">
        <f>AF34-AG34</f>
        <v>6</v>
      </c>
      <c r="AJ34" s="47">
        <f>(AI34-AI37)/AI36</f>
        <v>0.9285714285714286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1102.8579681221429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Croatia</v>
      </c>
      <c r="BA34" s="84">
        <v>2</v>
      </c>
      <c r="BB34" s="86">
        <v>0</v>
      </c>
      <c r="BC34" s="27">
        <v>0</v>
      </c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3 - 5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Cameroon_draw</v>
      </c>
      <c r="T35" s="88" t="str">
        <f t="shared" si="4"/>
        <v>Serbia_draw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0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3</v>
      </c>
      <c r="AG35" s="47">
        <f>SUMIF($E$7:$E$54,$AB35,$G$7:$G$54) + SUMIF($H$7:$H$54,$AB35,$F$7:$F$54)</f>
        <v>5</v>
      </c>
      <c r="AH35" s="47">
        <f>(AF35-AG35)*100+AK35*10000+AF35</f>
        <v>9803</v>
      </c>
      <c r="AI35" s="47">
        <f>AF35-AG35</f>
        <v>-2</v>
      </c>
      <c r="AJ35" s="47">
        <f>(AI35-AI37)/AI36</f>
        <v>0.35714285714285715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150.57617354539684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2</v>
      </c>
      <c r="BB35" s="87">
        <v>0</v>
      </c>
      <c r="BC35" s="30">
        <v>1</v>
      </c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1</v>
      </c>
      <c r="BW35" s="86"/>
      <c r="BX35" s="27"/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1 - 8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4</v>
      </c>
      <c r="AD36" s="47">
        <f t="shared" si="14"/>
        <v>2</v>
      </c>
      <c r="AE36" s="47">
        <f t="shared" si="14"/>
        <v>3</v>
      </c>
      <c r="AF36" s="47">
        <f t="shared" si="14"/>
        <v>8</v>
      </c>
      <c r="AG36" s="47">
        <f t="shared" si="14"/>
        <v>7</v>
      </c>
      <c r="AH36" s="47">
        <f>MAX(AH32:AH35)-AH37+1</f>
        <v>81308</v>
      </c>
      <c r="AI36" s="47">
        <f>MAX(AI32:AI35)-AI37+1</f>
        <v>14</v>
      </c>
      <c r="AK36" s="47">
        <f t="shared" si="14"/>
        <v>9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Spain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3</v>
      </c>
      <c r="BW36" s="87"/>
      <c r="BX36" s="30"/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9301</v>
      </c>
      <c r="AI37" s="47">
        <f>MIN(AI32:AI35)</f>
        <v>-7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3</v>
      </c>
      <c r="G38" s="22">
        <v>0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2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0</v>
      </c>
      <c r="AE38" s="47">
        <f>COUNTIF($S$7:$T$54,"=" &amp; AB38 &amp; "_lose")</f>
        <v>1</v>
      </c>
      <c r="AF38" s="47">
        <f>SUMIF($E$7:$E$54,$AB38,$F$7:$F$54) + SUMIF($H$7:$H$54,$AB38,$G$7:$G$54)</f>
        <v>5</v>
      </c>
      <c r="AG38" s="47">
        <f>SUMIF($E$7:$E$54,$AB38,$G$7:$G$54) + SUMIF($H$7:$H$54,$AB38,$F$7:$F$54)</f>
        <v>3</v>
      </c>
      <c r="AH38" s="47">
        <f>(AF38-AG38)*100+AK38*10000+AF38</f>
        <v>60205</v>
      </c>
      <c r="AI38" s="47">
        <f>AF38-AG38</f>
        <v>2</v>
      </c>
      <c r="AJ38" s="47">
        <f>(AI38-AI43)/AI42</f>
        <v>0.66666666666666663</v>
      </c>
      <c r="AK38" s="47">
        <f>AC38*3+AD38</f>
        <v>6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673.81043730952376</v>
      </c>
      <c r="AO38" s="48" t="str">
        <f>IF(SUM(AC38:AE41)=12,J39,INDEX(T,80,lang))</f>
        <v>Croatia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1</v>
      </c>
      <c r="H39" s="90" t="str">
        <f>AB8</f>
        <v>Senegal</v>
      </c>
      <c r="J39" s="50" t="str">
        <f>VLOOKUP(1,AA38:AK41,2,FALSE)</f>
        <v>Croatia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7 - 2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5</v>
      </c>
      <c r="AG39" s="47">
        <f>SUMIF($E$7:$E$54,$AB39,$G$7:$G$54) + SUMIF($H$7:$H$54,$AB39,$F$7:$F$54)</f>
        <v>6</v>
      </c>
      <c r="AH39" s="47">
        <f>(AF39-AG39)*100+AK39*10000+AF39</f>
        <v>29905</v>
      </c>
      <c r="AI39" s="47">
        <f>AF39-AG39</f>
        <v>-1</v>
      </c>
      <c r="AJ39" s="47">
        <f>(AI39-AI43)/AI42</f>
        <v>0.41666666666666669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348.81026330952386</v>
      </c>
      <c r="AO39" s="48" t="str">
        <f>IF(SUM(AC38:AE41)=12,J40,INDEX(T,81,lang))</f>
        <v>Belgium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1</v>
      </c>
      <c r="H40" s="90" t="str">
        <f>AB9</f>
        <v>Qatar</v>
      </c>
      <c r="J40" s="53" t="str">
        <f>VLOOKUP(2,AA38:AK41,2,FALSE)</f>
        <v>Belgium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5 - 3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7</v>
      </c>
      <c r="AH40" s="47">
        <f>(AF40-AG40)*100+AK40*10000+AF40</f>
        <v>-599</v>
      </c>
      <c r="AI40" s="47">
        <f>AF40-AG40</f>
        <v>-6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1.4293473685714286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5 - 6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1</v>
      </c>
      <c r="AB41" s="48" t="str">
        <f>VLOOKUP("Croatia",T,lang,FALSE)</f>
        <v>Croatia</v>
      </c>
      <c r="AC41" s="47">
        <f>COUNTIF($S$7:$T$54,"=" &amp; AB41 &amp; "_win")</f>
        <v>3</v>
      </c>
      <c r="AD41" s="47">
        <f>COUNTIF($S$7:$T$54,"=" &amp; AB41 &amp; "_draw")</f>
        <v>0</v>
      </c>
      <c r="AE41" s="47">
        <f>COUNTIF($S$7:$T$54,"=" &amp; AB41 &amp; "_lose")</f>
        <v>0</v>
      </c>
      <c r="AF41" s="47">
        <f>SUMIF($E$7:$E$54,$AB41,$F$7:$F$54) + SUMIF($H$7:$H$54,$AB41,$G$7:$G$54)</f>
        <v>7</v>
      </c>
      <c r="AG41" s="47">
        <f>SUMIF($E$7:$E$54,$AB41,$G$7:$G$54) + SUMIF($H$7:$H$54,$AB41,$F$7:$F$54)</f>
        <v>2</v>
      </c>
      <c r="AH41" s="47">
        <f>(AF41-AG41)*100+AK41*10000+AF41</f>
        <v>90507</v>
      </c>
      <c r="AI41" s="47">
        <f>AF41-AG41</f>
        <v>5</v>
      </c>
      <c r="AJ41" s="47">
        <f>(AI41-AI43)/AI42</f>
        <v>0.91666666666666663</v>
      </c>
      <c r="AK41" s="47">
        <f>AC41*3+AD41</f>
        <v>9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1001.6674772216667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1 - 7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7</v>
      </c>
      <c r="AG42" s="47">
        <f t="shared" si="15"/>
        <v>6</v>
      </c>
      <c r="AH42" s="47">
        <f>MAX(AH38:AH41)-AH43+1</f>
        <v>91107</v>
      </c>
      <c r="AI42" s="47">
        <f>MAX(AI38:AI41)-AI43+1</f>
        <v>12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-599</v>
      </c>
      <c r="AI43" s="47">
        <f>MIN(AI38:AI41)</f>
        <v>-6</v>
      </c>
      <c r="AY43" s="135"/>
      <c r="AZ43" s="136"/>
      <c r="BA43" s="136"/>
      <c r="BB43" s="136"/>
      <c r="BC43" s="137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7</v>
      </c>
      <c r="AG44" s="47">
        <f>SUMIF($E$7:$E$54,$AB44,$G$7:$G$54) + SUMIF($H$7:$H$54,$AB44,$F$7:$F$54)</f>
        <v>2</v>
      </c>
      <c r="AH44" s="47">
        <f>(AF44-AG44)*100+AK44*10000+AF44</f>
        <v>90507</v>
      </c>
      <c r="AI44" s="47">
        <f>AF44-AG44</f>
        <v>5</v>
      </c>
      <c r="AJ44" s="47">
        <f>(AI44-AI49)/AI48</f>
        <v>0.88888888888888884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1100.5564719005556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7 - 2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4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1</v>
      </c>
      <c r="AE45" s="47">
        <f>COUNTIF($S$7:$T$54,"=" &amp; AB45 &amp; "_lose")</f>
        <v>2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5</v>
      </c>
      <c r="AH45" s="47">
        <f>(AF45-AG45)*100+AK45*10000+AF45</f>
        <v>9702</v>
      </c>
      <c r="AI45" s="47">
        <f>AF45-AG45</f>
        <v>-3</v>
      </c>
      <c r="AJ45" s="47">
        <f>(AI45-AI49)/AI48</f>
        <v>0</v>
      </c>
      <c r="AK45" s="47">
        <f>AC45*3+AD45</f>
        <v>1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114.44521820944445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1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5 - 5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Arabia_draw</v>
      </c>
      <c r="T46" s="88" t="str">
        <f t="shared" si="4"/>
        <v>Mexico_draw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0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5</v>
      </c>
      <c r="AG46" s="47">
        <f>SUMIF($E$7:$E$54,$AB46,$G$7:$G$54) + SUMIF($H$7:$H$54,$AB46,$F$7:$F$54)</f>
        <v>5</v>
      </c>
      <c r="AH46" s="47">
        <f>(AF46-AG46)*100+AK46*10000+AF46</f>
        <v>40005</v>
      </c>
      <c r="AI46" s="47">
        <f>AF46-AG46</f>
        <v>0</v>
      </c>
      <c r="AJ46" s="47">
        <f>(AI46-AI49)/AI48</f>
        <v>0.33333333333333331</v>
      </c>
      <c r="AK46" s="47">
        <f>AC46*3+AD46</f>
        <v>4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486.11192877111108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1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4 - 6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Croatia_win</v>
      </c>
      <c r="T47" s="88" t="str">
        <f t="shared" si="4"/>
        <v>Belgium_lose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1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2</v>
      </c>
      <c r="AE47" s="47">
        <f>COUNTIF($S$7:$T$54,"=" &amp; AB47 &amp; "_lose")</f>
        <v>1</v>
      </c>
      <c r="AF47" s="47">
        <f>SUMIF($E$7:$E$54,$AB47,$F$7:$F$54) + SUMIF($H$7:$H$54,$AB47,$G$7:$G$54)</f>
        <v>4</v>
      </c>
      <c r="AG47" s="47">
        <f>SUMIF($E$7:$E$54,$AB47,$G$7:$G$54) + SUMIF($H$7:$H$54,$AB47,$F$7:$F$54)</f>
        <v>6</v>
      </c>
      <c r="AH47" s="47">
        <f>(AF47-AG47)*100+AK47*10000+AF47</f>
        <v>19804</v>
      </c>
      <c r="AI47" s="47">
        <f>AF47-AG47</f>
        <v>-2</v>
      </c>
      <c r="AJ47" s="47">
        <f>(AI47-AI49)/AI48</f>
        <v>0.1111111111111111</v>
      </c>
      <c r="AK47" s="47">
        <f>AC47*3+AD47</f>
        <v>2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240.00074024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3</v>
      </c>
      <c r="G48" s="22">
        <v>1</v>
      </c>
      <c r="H48" s="90" t="str">
        <f>AB40</f>
        <v>Morocco</v>
      </c>
      <c r="J48" s="55" t="str">
        <f>VLOOKUP(4,AA44:AK47,2,FALSE)</f>
        <v>Serbia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2 - 5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3</v>
      </c>
      <c r="AE48" s="47">
        <f t="shared" si="16"/>
        <v>3</v>
      </c>
      <c r="AF48" s="47">
        <f t="shared" si="16"/>
        <v>6</v>
      </c>
      <c r="AG48" s="47">
        <f t="shared" si="16"/>
        <v>5</v>
      </c>
      <c r="AH48" s="47">
        <f>MAX(AH44:AH47)-AH49+1</f>
        <v>80806</v>
      </c>
      <c r="AI48" s="47">
        <f>MAX(AI44:AI47)-AI49+1</f>
        <v>9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9702</v>
      </c>
      <c r="AI49" s="47">
        <f>MIN(AI44:AI47)</f>
        <v>-3</v>
      </c>
      <c r="AY49" s="135"/>
      <c r="AZ49" s="136"/>
      <c r="BA49" s="136"/>
      <c r="BB49" s="136"/>
      <c r="BC49" s="137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8</v>
      </c>
      <c r="AG50" s="47">
        <f>SUMIF($E$7:$E$54,$AB50,$G$7:$G$54) + SUMIF($H$7:$H$54,$AB50,$F$7:$F$54)</f>
        <v>2</v>
      </c>
      <c r="AH50" s="47">
        <f>(AF50-AG50)*100+AK50*10000+AF50</f>
        <v>90608</v>
      </c>
      <c r="AI50" s="47">
        <f>AF50-AG50</f>
        <v>6</v>
      </c>
      <c r="AJ50" s="47">
        <f>(AI50-AI55)/AI54</f>
        <v>0.91666666666666663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1003.0960754852381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2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8 - 2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Ghana_win</v>
      </c>
      <c r="T51" s="88" t="str">
        <f t="shared" si="4"/>
        <v>Uruguay_lose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1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1</v>
      </c>
      <c r="AD51" s="47">
        <f>COUNTIF($S$7:$T$54,"=" &amp; AB51 &amp; "_draw")</f>
        <v>1</v>
      </c>
      <c r="AE51" s="47">
        <f>COUNTIF($S$7:$T$54,"=" &amp; AB51 &amp; "_lose")</f>
        <v>1</v>
      </c>
      <c r="AF51" s="47">
        <f>SUMIF($E$7:$E$54,$AB51,$F$7:$F$54) + SUMIF($H$7:$H$54,$AB51,$G$7:$G$54)</f>
        <v>4</v>
      </c>
      <c r="AG51" s="47">
        <f>SUMIF($E$7:$E$54,$AB51,$G$7:$G$54) + SUMIF($H$7:$H$54,$AB51,$F$7:$F$54)</f>
        <v>5</v>
      </c>
      <c r="AH51" s="47">
        <f>(AF51-AG51)*100+AK51*10000+AF51</f>
        <v>39904</v>
      </c>
      <c r="AI51" s="47">
        <f>AF51-AG51</f>
        <v>-1</v>
      </c>
      <c r="AJ51" s="47">
        <f>(AI51-AI55)/AI54</f>
        <v>0.33333333333333331</v>
      </c>
      <c r="AK51" s="47">
        <f>AC51*3+AD51</f>
        <v>4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439.04831272761902</v>
      </c>
      <c r="AO51" s="48" t="str">
        <f>IF(SUM(AC50:AE53)=12,J52,INDEX(T,85,lang))</f>
        <v>Korea Republic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2</v>
      </c>
      <c r="H52" s="90" t="str">
        <f>AB50</f>
        <v>Portugal</v>
      </c>
      <c r="J52" s="53" t="str">
        <f>VLOOKUP(2,AA50:AK53,2,FALSE)</f>
        <v>Korea Republic</v>
      </c>
      <c r="K52" s="25">
        <f>L52+M52+N52</f>
        <v>3</v>
      </c>
      <c r="L52" s="25">
        <f>VLOOKUP(2,AA50:AK53,3,FALSE)</f>
        <v>1</v>
      </c>
      <c r="M52" s="25">
        <f>VLOOKUP(2,AA50:AK53,4,FALSE)</f>
        <v>1</v>
      </c>
      <c r="N52" s="25">
        <f>VLOOKUP(2,AA50:AK53,5,FALSE)</f>
        <v>1</v>
      </c>
      <c r="O52" s="25" t="str">
        <f>VLOOKUP(2,AA50:AK53,6,FALSE) &amp; " - " &amp; VLOOKUP(2,AA50:AK53,7,FALSE)</f>
        <v>4 - 4</v>
      </c>
      <c r="P52" s="54">
        <f>L52*3+M52</f>
        <v>4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4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0</v>
      </c>
      <c r="AE52" s="47">
        <f>COUNTIF($S$7:$T$54,"=" &amp; AB52 &amp; "_lose")</f>
        <v>3</v>
      </c>
      <c r="AF52" s="47">
        <f>SUMIF($E$7:$E$54,$AB52,$F$7:$F$54) + SUMIF($H$7:$H$54,$AB52,$G$7:$G$54)</f>
        <v>2</v>
      </c>
      <c r="AG52" s="47">
        <f>SUMIF($E$7:$E$54,$AB52,$G$7:$G$54) + SUMIF($H$7:$H$54,$AB52,$F$7:$F$54)</f>
        <v>7</v>
      </c>
      <c r="AH52" s="47">
        <f>(AF52-AG52)*100+AK52*10000+AF52</f>
        <v>-498</v>
      </c>
      <c r="AI52" s="47">
        <f>AF52-AG52</f>
        <v>-5</v>
      </c>
      <c r="AJ52" s="47">
        <f>(AI52-AI55)/AI54</f>
        <v>0</v>
      </c>
      <c r="AK52" s="47">
        <f>AC52*3+AD52</f>
        <v>0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2.8579607221428573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2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1</v>
      </c>
      <c r="M53" s="25">
        <f>VLOOKUP(3,AA50:AK53,4,FALSE)</f>
        <v>1</v>
      </c>
      <c r="N53" s="25">
        <f>VLOOKUP(3,AA50:AK53,5,FALSE)</f>
        <v>1</v>
      </c>
      <c r="O53" s="25" t="str">
        <f>VLOOKUP(3,AA50:AK53,6,FALSE) &amp; " - " &amp; VLOOKUP(3,AA50:AK53,7,FALSE)</f>
        <v>4 - 5</v>
      </c>
      <c r="P53" s="54">
        <f>L53*3+M53</f>
        <v>4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2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1</v>
      </c>
      <c r="AE53" s="47">
        <f>COUNTIF($S$7:$T$54,"=" &amp; AB53 &amp; "_lose")</f>
        <v>1</v>
      </c>
      <c r="AF53" s="47">
        <f>SUMIF($E$7:$E$54,$AB53,$F$7:$F$54) + SUMIF($H$7:$H$54,$AB53,$G$7:$G$54)</f>
        <v>4</v>
      </c>
      <c r="AG53" s="47">
        <f>SUMIF($E$7:$E$54,$AB53,$G$7:$G$54) + SUMIF($H$7:$H$54,$AB53,$F$7:$F$54)</f>
        <v>4</v>
      </c>
      <c r="AH53" s="47">
        <f>(AF53-AG53)*100+AK53*10000+AF53</f>
        <v>40004</v>
      </c>
      <c r="AI53" s="47">
        <f>AF53-AG53</f>
        <v>0</v>
      </c>
      <c r="AJ53" s="47">
        <f>(AI53-AI55)/AI54</f>
        <v>0.41666666666666669</v>
      </c>
      <c r="AK53" s="47">
        <f>AC53*3+AD53</f>
        <v>4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447.38171215095241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3</v>
      </c>
      <c r="H54" s="91" t="str">
        <f>AB44</f>
        <v>Brazil</v>
      </c>
      <c r="J54" s="55" t="str">
        <f>VLOOKUP(4,AA50:AK53,2,FALSE)</f>
        <v>Uruguay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2 - 7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2</v>
      </c>
      <c r="AE54" s="47">
        <f t="shared" si="17"/>
        <v>4</v>
      </c>
      <c r="AF54" s="47">
        <f t="shared" si="17"/>
        <v>7</v>
      </c>
      <c r="AG54" s="47">
        <f t="shared" si="17"/>
        <v>6</v>
      </c>
      <c r="AH54" s="47">
        <f>MAX(AH50:AH53)-AH55+1</f>
        <v>91107</v>
      </c>
      <c r="AI54" s="47">
        <f>MAX(AI50:AI53)-AI55+1</f>
        <v>12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-498</v>
      </c>
      <c r="AI55" s="47">
        <f>MIN(AI50:AI53)</f>
        <v>-5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88" t="str">
        <f>IF(OR(S64="",S64="draw"),INDEX(T,92,lang),S64)</f>
        <v>Spain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France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>
      <formula1>"0,1,2,3,4,5,6,7,8,9,10,11,12,13,14,15,16,17,18,19,20"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22 Schedule in Excel" display="Home Page: www.excely.com"/>
    <hyperlink ref="AY48:BC54" r:id="rId3" tooltip="FIFA World Cup Historical Data 1930 - 2018" display="http://www.excely.com/football/fifa-world-cup-statistics.shtml"/>
    <hyperlink ref="AY41:BC46" r:id="rId4" tooltip="World Cup 2022 Interactive Schedule - www.wallchart.io" display="http://www.wallchart.io/football/world-cup-2022.html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2531</v>
      </c>
    </row>
    <row r="3" spans="1:2" x14ac:dyDescent="0.3">
      <c r="A3" s="100" t="s">
        <v>2519</v>
      </c>
      <c r="B3" s="103" t="s">
        <v>2532</v>
      </c>
    </row>
    <row r="4" spans="1:2" x14ac:dyDescent="0.3">
      <c r="A4" s="103" t="s">
        <v>2520</v>
      </c>
      <c r="B4" s="100" t="s">
        <v>2533</v>
      </c>
    </row>
    <row r="5" spans="1:2" x14ac:dyDescent="0.3">
      <c r="A5" s="100" t="s">
        <v>2530</v>
      </c>
      <c r="B5" s="103">
        <v>2</v>
      </c>
    </row>
    <row r="6" spans="1:2" x14ac:dyDescent="0.3">
      <c r="A6" s="103" t="s">
        <v>2521</v>
      </c>
      <c r="B6" s="100" t="s">
        <v>2529</v>
      </c>
    </row>
    <row r="7" spans="1:2" x14ac:dyDescent="0.3">
      <c r="A7" s="100" t="s">
        <v>2522</v>
      </c>
      <c r="B7" s="103" t="s">
        <v>2531</v>
      </c>
    </row>
    <row r="8" spans="1:2" x14ac:dyDescent="0.3">
      <c r="A8" s="103" t="s">
        <v>2523</v>
      </c>
      <c r="B8" s="100" t="s">
        <v>2534</v>
      </c>
    </row>
    <row r="9" spans="1:2" x14ac:dyDescent="0.3">
      <c r="A9" s="100" t="s">
        <v>2524</v>
      </c>
      <c r="B9" s="103" t="s">
        <v>2535</v>
      </c>
    </row>
    <row r="10" spans="1:2" x14ac:dyDescent="0.3">
      <c r="A10" s="103" t="s">
        <v>2525</v>
      </c>
      <c r="B10" s="100" t="s">
        <v>2536</v>
      </c>
    </row>
    <row r="11" spans="1:2" x14ac:dyDescent="0.3">
      <c r="A11" s="100" t="s">
        <v>2528</v>
      </c>
      <c r="B11" s="103" t="s">
        <v>2537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Windows User</cp:lastModifiedBy>
  <cp:lastPrinted>2018-01-03T15:36:04Z</cp:lastPrinted>
  <dcterms:created xsi:type="dcterms:W3CDTF">2017-12-27T19:32:51Z</dcterms:created>
  <dcterms:modified xsi:type="dcterms:W3CDTF">2022-11-20T14:52:33Z</dcterms:modified>
</cp:coreProperties>
</file>