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34.png" ContentType="image/png"/>
  <Override PartName="/xl/media/image40.png" ContentType="image/png"/>
  <Override PartName="/xl/media/image35.png" ContentType="image/png"/>
  <Override PartName="/xl/media/image50.png" ContentType="image/png"/>
  <Override PartName="/xl/media/image41.png" ContentType="image/png"/>
  <Override PartName="/xl/media/image36.png" ContentType="image/png"/>
  <Override PartName="/xl/media/image51.png" ContentType="image/png"/>
  <Override PartName="/xl/media/image42.png" ContentType="image/png"/>
  <Override PartName="/xl/media/image37.png" ContentType="image/png"/>
  <Override PartName="/xl/media/image52.png" ContentType="image/png"/>
  <Override PartName="/xl/media/image43.png" ContentType="image/png"/>
  <Override PartName="/xl/media/image38.png" ContentType="image/png"/>
  <Override PartName="/xl/media/image53.png" ContentType="image/png"/>
  <Override PartName="/xl/media/image66.jpeg" ContentType="image/jpeg"/>
  <Override PartName="/xl/media/image44.png" ContentType="image/png"/>
  <Override PartName="/xl/media/image39.png" ContentType="image/png"/>
  <Override PartName="/xl/media/image54.png" ContentType="image/png"/>
  <Override PartName="/xl/media/image45.png" ContentType="image/png"/>
  <Override PartName="/xl/media/image60.png" ContentType="image/png"/>
  <Override PartName="/xl/media/image55.png" ContentType="image/png"/>
  <Override PartName="/xl/media/image46.png" ContentType="image/png"/>
  <Override PartName="/xl/media/image61.png" ContentType="image/png"/>
  <Override PartName="/xl/media/image56.png" ContentType="image/png"/>
  <Override PartName="/xl/media/image47.png" ContentType="image/png"/>
  <Override PartName="/xl/media/image62.png" ContentType="image/png"/>
  <Override PartName="/xl/media/image57.png" ContentType="image/png"/>
  <Override PartName="/xl/media/image48.png" ContentType="image/png"/>
  <Override PartName="/xl/media/image63.png" ContentType="image/png"/>
  <Override PartName="/xl/media/image58.png" ContentType="image/png"/>
  <Override PartName="/xl/media/image49.png" ContentType="image/png"/>
  <Override PartName="/xl/media/image64.png" ContentType="image/png"/>
  <Override PartName="/xl/media/image59.png" ContentType="image/png"/>
  <Override PartName="/xl/media/image65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T" sheetId="1" state="hidden" r:id="rId2"/>
    <sheet name="Settings" sheetId="2" state="visible" r:id="rId3"/>
    <sheet name="2022 World Cup" sheetId="3" state="visible" r:id="rId4"/>
    <sheet name="LISAKÜSIMUSED" sheetId="4" state="visible" r:id="rId5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<sst xmlns="http://schemas.openxmlformats.org/spreadsheetml/2006/main" count="4374" uniqueCount="2540">
  <si>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</si>
  <si>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</si>
  <si>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</si>
  <si>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</si>
  <si>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</si>
  <si>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</si>
  <si>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</si>
  <si>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</si>
  <si>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</si>
  <si>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</si>
  <si>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</si>
  <si>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</si>
  <si>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</si>
  <si>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Faroese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</si>
  <si>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</si>
  <si>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</si>
  <si>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</si>
  <si>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</si>
  <si>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</si>
  <si>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</si>
  <si>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</si>
  <si>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</si>
  <si>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</si>
  <si>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</si>
  <si>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</si>
  <si>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</si>
  <si>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</si>
  <si>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</si>
  <si>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</si>
  <si>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</si>
  <si>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</si>
  <si>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</si>
  <si>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</si>
  <si>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</si>
  <si>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</si>
  <si>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</si>
  <si>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</si>
  <si>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</si>
  <si>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</si>
  <si>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</si>
  <si>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</si>
  <si>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</si>
  <si>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2022 World Cup Final Tournament Schedule</t>
  </si>
  <si>
    <t xml:space="preserve">Kupa Botërore 2022</t>
  </si>
  <si>
    <r>
      <rPr>
        <sz val="11"/>
        <color rgb="FF000000"/>
        <rFont val="Arial Unicode MS"/>
        <family val="2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2022</t>
    </r>
  </si>
  <si>
    <t xml:space="preserve">Աշխարհի 2022թ. առաջնություն </t>
  </si>
  <si>
    <t xml:space="preserve">2022 - cu il Dünya Çempionatinin Final Mərhələsinin Cədvəli</t>
  </si>
  <si>
    <t xml:space="preserve">График на срещите - Световно първенство 2022</t>
  </si>
  <si>
    <t xml:space="preserve">Calendari de la Fase Final de la Copa del Món de futbol 2022</t>
  </si>
  <si>
    <r>
      <rPr>
        <sz val="11"/>
        <color rgb="FF000000"/>
        <rFont val="PingFang SC"/>
        <family val="2"/>
      </rPr>
      <t xml:space="preserve">巴西</t>
    </r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PingFang SC"/>
        <family val="2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</si>
  <si>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PingFang SC"/>
        <family val="2"/>
      </rPr>
      <t xml:space="preserve">世界盃賽程</t>
    </r>
  </si>
  <si>
    <t xml:space="preserve">Svjetsko prvenstvo 2022 raspored utakmica</t>
  </si>
  <si>
    <t xml:space="preserve">Mistrovství světa ve fotbale 2022</t>
  </si>
  <si>
    <t xml:space="preserve">2022 Verdensmesterskabs Oversigt</t>
  </si>
  <si>
    <t xml:space="preserve">Wereldkampioenschap 2022 Toernooischema</t>
  </si>
  <si>
    <t xml:space="preserve">2022 Heimsmeistarakappingaryvirlit</t>
  </si>
  <si>
    <t xml:space="preserve">Coupe du Monde de la FIFA 2022 - Calendrier des matchs</t>
  </si>
  <si>
    <t xml:space="preserve">მსოფლიო ჩემპიონატი ფეხბურთში - სამხრეთ აფრიკა 2022</t>
  </si>
  <si>
    <t xml:space="preserve">Spielplan Weltmeisterschafts endrunde 2022</t>
  </si>
  <si>
    <t xml:space="preserve">Πρόγραμμα Τελικών Παγκοσμίου Κυπέλλου 2022</t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</si>
  <si>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Arial Unicode MS"/>
        <family val="2"/>
      </rPr>
      <t xml:space="preserve">גביע העולם טורניר הגמר תזמן</t>
    </r>
  </si>
  <si>
    <t xml:space="preserve">2022 Labdarúgó-világbajnokság döntő sorozata</t>
  </si>
  <si>
    <t xml:space="preserve">Jadwal Turnamen Final Piala Dunia 2022</t>
  </si>
  <si>
    <t xml:space="preserve">HM 2022 lokakeppnin</t>
  </si>
  <si>
    <t xml:space="preserve">Calendario Coppa del mondo 2022</t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</si>
  <si>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PingFang SC"/>
        <family val="2"/>
      </rPr>
      <t xml:space="preserve">월드컵 최종 토너먼트 일정</t>
    </r>
  </si>
  <si>
    <t xml:space="preserve">2022 Pasaulio Futbolo Čempionato Tvarkaraštis</t>
  </si>
  <si>
    <t xml:space="preserve">Светско првенство 2022 - Распоред на натпревари</t>
  </si>
  <si>
    <t xml:space="preserve">Skeda tat-Tazza tad-Dinja 2022</t>
  </si>
  <si>
    <t xml:space="preserve">Verdensmesterskapet i fotball 2022</t>
  </si>
  <si>
    <r>
      <rPr>
        <sz val="11"/>
        <color rgb="FF000000"/>
        <rFont val="Arial Unicode MS"/>
        <family val="2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2022</t>
    </r>
  </si>
  <si>
    <t xml:space="preserve">2022 Mistrzostwa Świata Terminarz Meczów</t>
  </si>
  <si>
    <t xml:space="preserve">Calendário Fase Final Mundial 2022</t>
  </si>
  <si>
    <t xml:space="preserve">Programul Turneului Final FIFA World Cup 2022</t>
  </si>
  <si>
    <t xml:space="preserve">Svetsko prvenstvo u fudbalu 2022 - Raspored utakmica</t>
  </si>
  <si>
    <t xml:space="preserve">Majstrovstvá sveta vo futbale 2022</t>
  </si>
  <si>
    <t xml:space="preserve">Svetovno prvenstvo 2022 razpored tekem</t>
  </si>
  <si>
    <t xml:space="preserve">Copa Mundial de Fútbol - Brasil 2022</t>
  </si>
  <si>
    <t xml:space="preserve">Schema för VM-slutspelet 2022</t>
  </si>
  <si>
    <r>
      <rPr>
        <sz val="11"/>
        <color rgb="FF000000"/>
        <rFont val="Arial Unicode MS"/>
        <family val="2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2022</t>
    </r>
  </si>
  <si>
    <t xml:space="preserve">2022 Dünya Kupası Finalleri Turnuva Fikstürü</t>
  </si>
  <si>
    <t xml:space="preserve">Lịch Thi Đấu Cúp Bóng Đá Thế Giới 2022</t>
  </si>
  <si>
    <t xml:space="preserve">Календар Чемпіонату Світу 2022</t>
  </si>
  <si>
    <t xml:space="preserve">۲۰۱۰ فٹبال عالمی کپ ٹورنمنٹ کا خاکہ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</si>
  <si>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</si>
  <si>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</si>
  <si>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</si>
  <si>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</si>
  <si>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</si>
  <si>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</si>
  <si>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</si>
  <si>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</si>
  <si>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</si>
  <si>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</si>
  <si>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</si>
  <si>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</si>
  <si>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</si>
  <si>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Bólkaspæl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</si>
  <si>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</si>
  <si>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</si>
  <si>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</si>
  <si>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</si>
  <si>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</si>
  <si>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</si>
  <si>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</si>
  <si>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</si>
  <si>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</si>
  <si>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</si>
  <si>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</si>
  <si>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</si>
  <si>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</si>
  <si>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</si>
  <si>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</si>
  <si>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</si>
  <si>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</si>
  <si>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</si>
  <si>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</si>
  <si>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</si>
  <si>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</si>
  <si>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</si>
  <si>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</si>
  <si>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</si>
  <si>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</si>
  <si>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</si>
  <si>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</si>
  <si>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</si>
  <si>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</si>
  <si>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</si>
  <si>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</si>
  <si>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</si>
  <si>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</si>
  <si>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</si>
  <si>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</si>
  <si>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</si>
  <si>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</si>
  <si>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</si>
  <si>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</si>
  <si>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</si>
  <si>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Áttandapartsfinala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</si>
  <si>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</si>
  <si>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</si>
  <si>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</si>
  <si>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</si>
  <si>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</si>
  <si>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</si>
  <si>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</si>
  <si>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</si>
  <si>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</si>
  <si>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</si>
  <si>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</si>
  <si>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</si>
  <si>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</si>
  <si>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</si>
  <si>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</si>
  <si>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</si>
  <si>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</si>
  <si>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</si>
  <si>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</si>
  <si>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</si>
  <si>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</si>
  <si>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</si>
  <si>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</si>
  <si>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</si>
  <si>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</si>
  <si>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</si>
  <si>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</si>
  <si>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</si>
  <si>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</si>
  <si>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</si>
  <si>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</si>
  <si>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</si>
  <si>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</si>
  <si>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</si>
  <si>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</si>
  <si>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PingFang SC"/>
        <family val="2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</si>
  <si>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</si>
  <si>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</si>
  <si>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</si>
  <si>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</si>
  <si>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</si>
  <si>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Fjórðingsfinala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</si>
  <si>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</si>
  <si>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</si>
  <si>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</si>
  <si>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</si>
  <si>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</si>
  <si>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</si>
  <si>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</si>
  <si>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</si>
  <si>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</si>
  <si>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PingFang SC"/>
        <family val="2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</si>
  <si>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</si>
  <si>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</si>
  <si>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</si>
  <si>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</si>
  <si>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</si>
  <si>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</si>
  <si>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</si>
  <si>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</si>
  <si>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</si>
  <si>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</si>
  <si>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</si>
  <si>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</si>
  <si>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</si>
  <si>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</si>
  <si>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</si>
  <si>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</si>
  <si>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</si>
  <si>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</si>
  <si>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</si>
  <si>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</si>
  <si>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</si>
  <si>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</si>
  <si>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</si>
  <si>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</si>
  <si>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</si>
  <si>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</si>
  <si>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</si>
  <si>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</si>
  <si>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</si>
  <si>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Hálvfinala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</si>
  <si>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</si>
  <si>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</si>
  <si>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</si>
  <si>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</si>
  <si>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</si>
  <si>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</si>
  <si>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</si>
  <si>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</si>
  <si>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</si>
  <si>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</si>
  <si>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</si>
  <si>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</si>
  <si>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</si>
  <si>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</si>
  <si>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</si>
  <si>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</si>
  <si>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</si>
  <si>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</si>
  <si>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</si>
  <si>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</si>
  <si>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</si>
  <si>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</si>
  <si>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</si>
  <si>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</si>
  <si>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</si>
  <si>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</si>
  <si>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</si>
  <si>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</si>
  <si>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</si>
  <si>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</si>
  <si>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</si>
  <si>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</si>
  <si>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</si>
  <si>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</si>
  <si>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</si>
  <si>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</si>
  <si>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</si>
  <si>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Dystur um 3. pláss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</si>
  <si>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</si>
  <si>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</si>
  <si>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</si>
  <si>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</si>
  <si>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Arial Unicode MS"/>
        <family val="2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</si>
  <si>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</si>
  <si>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</si>
  <si>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</si>
  <si>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</si>
  <si>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PingFang SC"/>
        <family val="2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</si>
  <si>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</si>
  <si>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</si>
  <si>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</si>
  <si>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</si>
  <si>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</si>
  <si>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</si>
  <si>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</si>
  <si>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</si>
  <si>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</si>
  <si>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</si>
  <si>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</si>
  <si>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</si>
  <si>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Arial Unicode MS"/>
        <family val="2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</si>
  <si>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</si>
  <si>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</si>
  <si>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</si>
  <si>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</si>
  <si>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</si>
  <si>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</si>
  <si>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</si>
  <si>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</si>
  <si>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</si>
  <si>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</si>
  <si>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</si>
  <si>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</si>
  <si>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</si>
  <si>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Finala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</si>
  <si>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</si>
  <si>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</si>
  <si>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</si>
  <si>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</si>
  <si>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</si>
  <si>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</si>
  <si>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</si>
  <si>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</si>
  <si>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</si>
  <si>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</si>
  <si>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</si>
  <si>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</si>
  <si>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</si>
  <si>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</si>
  <si>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</si>
  <si>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</si>
  <si>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</si>
  <si>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</si>
  <si>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</si>
  <si>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</si>
  <si>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</si>
  <si>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</si>
  <si>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</si>
  <si>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</si>
  <si>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</si>
  <si>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</si>
  <si>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</si>
  <si>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</si>
  <si>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</si>
  <si>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Bólkur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</si>
  <si>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</si>
  <si>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</si>
  <si>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</si>
  <si>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</si>
  <si>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</si>
  <si>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</si>
  <si>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</si>
  <si>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</si>
  <si>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</si>
  <si>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</si>
  <si>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</si>
  <si>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</si>
  <si>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</si>
  <si>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สาย</t>
  </si>
  <si>
    <t xml:space="preserve">Bảng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</si>
  <si>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</si>
  <si>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</si>
  <si>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</si>
  <si>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</si>
  <si>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</si>
  <si>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</si>
  <si>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</si>
  <si>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</si>
  <si>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</si>
  <si>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</si>
  <si>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</si>
  <si>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</si>
  <si>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</si>
  <si>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</si>
  <si>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</si>
  <si>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</si>
  <si>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</si>
  <si>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</si>
  <si>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</si>
  <si>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</si>
  <si>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</si>
  <si>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</si>
  <si>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</si>
  <si>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</si>
  <si>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</si>
  <si>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</si>
  <si>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</si>
  <si>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</si>
  <si>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</si>
  <si>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</si>
  <si>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</si>
  <si>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</si>
  <si>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</si>
  <si>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</si>
  <si>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</si>
  <si>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</si>
  <si>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</si>
  <si>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</si>
  <si>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</si>
  <si>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</si>
  <si>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</si>
  <si>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</si>
  <si>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</si>
  <si>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</si>
  <si>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</si>
  <si>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</si>
  <si>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</si>
  <si>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P</t>
  </si>
  <si>
    <t xml:space="preserve">ชนะ</t>
  </si>
  <si>
    <t xml:space="preserve">T</t>
  </si>
  <si>
    <t xml:space="preserve">В</t>
  </si>
  <si>
    <t xml:space="preserve">جیت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</si>
  <si>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</si>
  <si>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</si>
  <si>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</si>
  <si>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</si>
  <si>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</si>
  <si>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</si>
  <si>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</si>
  <si>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</si>
  <si>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</si>
  <si>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</si>
  <si>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</si>
  <si>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</si>
  <si>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</si>
  <si>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</si>
  <si>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</si>
  <si>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</si>
  <si>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</si>
  <si>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</si>
  <si>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</si>
  <si>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</si>
  <si>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</si>
  <si>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</si>
  <si>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</si>
  <si>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</si>
  <si>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</si>
  <si>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</si>
  <si>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</si>
  <si>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</si>
  <si>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</si>
  <si>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</si>
  <si>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</si>
  <si>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</si>
  <si>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</si>
  <si>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</si>
  <si>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</si>
  <si>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</si>
  <si>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И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</si>
  <si>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</si>
  <si>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</si>
  <si>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</si>
  <si>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</si>
  <si>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</si>
  <si>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Arial Unicode MS"/>
        <family val="2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Arial Unicode MS"/>
        <family val="2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</si>
  <si>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</si>
  <si>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</si>
  <si>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</si>
  <si>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</si>
  <si>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</si>
  <si>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PingFang SC"/>
        <family val="2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PingFang SC"/>
        <family val="2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</si>
  <si>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</si>
  <si>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</si>
  <si>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</si>
  <si>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</si>
  <si>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</si>
  <si>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</si>
  <si>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</si>
  <si>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</si>
  <si>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</si>
  <si>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</si>
  <si>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</si>
  <si>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</si>
  <si>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</si>
  <si>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</si>
  <si>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</si>
  <si>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</si>
  <si>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</si>
  <si>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Arial Unicode MS"/>
        <family val="2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Arial Unicode MS"/>
        <family val="2"/>
      </rPr>
      <t xml:space="preserve">زده</t>
    </r>
  </si>
  <si>
    <t xml:space="preserve">Z - S</t>
  </si>
  <si>
    <t xml:space="preserve">GM - GS</t>
  </si>
  <si>
    <t xml:space="preserve">GM - GP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</si>
  <si>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</si>
  <si>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</si>
  <si>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</si>
  <si>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Arial Unicode MS"/>
        <family val="2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Arial Unicode MS"/>
        <family val="2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</si>
  <si>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</si>
  <si>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</si>
  <si>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</si>
  <si>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Arial Unicode MS"/>
        <family val="2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Arial Unicode MS"/>
        <family val="2"/>
      </rPr>
      <t xml:space="preserve">انکے خلاف گول کئے گئے</t>
    </r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</si>
  <si>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</si>
  <si>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</si>
  <si>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</si>
  <si>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</si>
  <si>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</si>
  <si>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</si>
  <si>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</si>
  <si>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</si>
  <si>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</si>
  <si>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</si>
  <si>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Stig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</si>
  <si>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</si>
  <si>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</si>
  <si>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</si>
  <si>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</si>
  <si>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</si>
  <si>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</si>
  <si>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</si>
  <si>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</si>
  <si>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</si>
  <si>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</si>
  <si>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</si>
  <si>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</si>
  <si>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BOD</t>
  </si>
  <si>
    <t xml:space="preserve">คะแนน</t>
  </si>
  <si>
    <t xml:space="preserve">Điểm</t>
  </si>
  <si>
    <t xml:space="preserve">نشان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</si>
  <si>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</si>
  <si>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</si>
  <si>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</si>
  <si>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</si>
  <si>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</si>
  <si>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</si>
  <si>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</si>
  <si>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</si>
  <si>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</si>
  <si>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</si>
  <si>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</si>
  <si>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</si>
  <si>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</si>
  <si>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</si>
  <si>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</si>
  <si>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</si>
  <si>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</si>
  <si>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</si>
  <si>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</si>
  <si>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</si>
  <si>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</si>
  <si>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</si>
  <si>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</si>
  <si>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</si>
  <si>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</si>
  <si>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</si>
  <si>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</si>
  <si>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</si>
  <si>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</si>
  <si>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</si>
  <si>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</si>
  <si>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</si>
  <si>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</si>
  <si>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</si>
  <si>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</si>
  <si>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</si>
  <si>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</si>
  <si>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</si>
  <si>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</si>
  <si>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</si>
  <si>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</si>
  <si>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Mán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</si>
  <si>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</si>
  <si>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</si>
  <si>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</si>
  <si>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</si>
  <si>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</si>
  <si>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</si>
  <si>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</si>
  <si>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</si>
  <si>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</si>
  <si>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</si>
  <si>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</si>
  <si>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</si>
  <si>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Mån</t>
  </si>
  <si>
    <t xml:space="preserve">จันทร์</t>
  </si>
  <si>
    <t xml:space="preserve">Pzt</t>
  </si>
  <si>
    <t xml:space="preserve">T2</t>
  </si>
  <si>
    <t xml:space="preserve">Пн</t>
  </si>
  <si>
    <t xml:space="preserve">پیر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</si>
  <si>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</si>
  <si>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</si>
  <si>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</si>
  <si>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</si>
  <si>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</si>
  <si>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</si>
  <si>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</si>
  <si>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</si>
  <si>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</si>
  <si>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</si>
  <si>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</si>
  <si>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</si>
  <si>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Týs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</si>
  <si>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</si>
  <si>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</si>
  <si>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</si>
  <si>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</si>
  <si>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</si>
  <si>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</si>
  <si>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</si>
  <si>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</si>
  <si>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</si>
  <si>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</si>
  <si>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</si>
  <si>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</si>
  <si>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</si>
  <si>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</si>
  <si>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</si>
  <si>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</si>
  <si>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</si>
  <si>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</si>
  <si>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</si>
  <si>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</si>
  <si>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</si>
  <si>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</si>
  <si>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</si>
  <si>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</si>
  <si>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</si>
  <si>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</si>
  <si>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</si>
  <si>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</si>
  <si>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</si>
  <si>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</si>
  <si>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</si>
  <si>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</si>
  <si>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</si>
  <si>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Mik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</si>
  <si>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</si>
  <si>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</si>
  <si>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</si>
  <si>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</si>
  <si>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</si>
  <si>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</si>
  <si>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</si>
  <si>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</si>
  <si>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</si>
  <si>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</si>
  <si>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</si>
  <si>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</si>
  <si>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</si>
  <si>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</si>
  <si>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</si>
  <si>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Sre</t>
  </si>
  <si>
    <t xml:space="preserve">พุธ</t>
  </si>
  <si>
    <t xml:space="preserve">Çar</t>
  </si>
  <si>
    <t xml:space="preserve">T4</t>
  </si>
  <si>
    <t xml:space="preserve">Ср</t>
  </si>
  <si>
    <t xml:space="preserve">بدھ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</si>
  <si>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</si>
  <si>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</si>
  <si>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</si>
  <si>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</si>
  <si>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</si>
  <si>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</si>
  <si>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</si>
  <si>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</si>
  <si>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</si>
  <si>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</si>
  <si>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</si>
  <si>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Hós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</si>
  <si>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</si>
  <si>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</si>
  <si>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</si>
  <si>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</si>
  <si>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</si>
  <si>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</si>
  <si>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</si>
  <si>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</si>
  <si>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</si>
  <si>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</si>
  <si>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</si>
  <si>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</si>
  <si>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</si>
  <si>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</si>
  <si>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</si>
  <si>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</si>
  <si>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Št</t>
  </si>
  <si>
    <t xml:space="preserve">พฤหัส</t>
  </si>
  <si>
    <t xml:space="preserve">Per</t>
  </si>
  <si>
    <t xml:space="preserve">T5</t>
  </si>
  <si>
    <t xml:space="preserve">Чт</t>
  </si>
  <si>
    <t xml:space="preserve">جمعرات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</si>
  <si>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</si>
  <si>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</si>
  <si>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</si>
  <si>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</si>
  <si>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</si>
  <si>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</si>
  <si>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</si>
  <si>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</si>
  <si>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</si>
  <si>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</si>
  <si>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</si>
  <si>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</si>
  <si>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Frí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</si>
  <si>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</si>
  <si>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</si>
  <si>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</si>
  <si>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</si>
  <si>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</si>
  <si>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</si>
  <si>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</si>
  <si>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</si>
  <si>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</si>
  <si>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</si>
  <si>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</si>
  <si>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</si>
  <si>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</si>
  <si>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</si>
  <si>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Pi</t>
  </si>
  <si>
    <t xml:space="preserve">ศุกร์</t>
  </si>
  <si>
    <t xml:space="preserve">Cum</t>
  </si>
  <si>
    <t xml:space="preserve">T6</t>
  </si>
  <si>
    <t xml:space="preserve">Пт</t>
  </si>
  <si>
    <t xml:space="preserve">جمعہ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</si>
  <si>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</si>
  <si>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</si>
  <si>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</si>
  <si>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</si>
  <si>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</si>
  <si>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</si>
  <si>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</si>
  <si>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</si>
  <si>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</si>
  <si>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</si>
  <si>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</si>
  <si>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</si>
  <si>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Ley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</si>
  <si>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</si>
  <si>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</si>
  <si>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</si>
  <si>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</si>
  <si>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</si>
  <si>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</si>
  <si>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</si>
  <si>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</si>
  <si>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</si>
  <si>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</si>
  <si>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</si>
  <si>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</si>
  <si>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</si>
  <si>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</si>
  <si>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</si>
  <si>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</si>
  <si>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</si>
  <si>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Сб</t>
  </si>
  <si>
    <t xml:space="preserve">سنیچر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</si>
  <si>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</si>
  <si>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</si>
  <si>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</si>
  <si>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</si>
  <si>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</si>
  <si>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</si>
  <si>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</si>
  <si>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</si>
  <si>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</si>
  <si>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</si>
  <si>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</si>
  <si>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</si>
  <si>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PingFang SC"/>
        <family val="2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</si>
  <si>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</si>
  <si>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</si>
  <si>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</si>
  <si>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</si>
  <si>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</si>
  <si>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</si>
  <si>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</si>
  <si>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</si>
  <si>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</si>
  <si>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</si>
  <si>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</si>
  <si>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</si>
  <si>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</si>
  <si>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</si>
  <si>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</si>
  <si>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</si>
  <si>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</si>
  <si>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</si>
  <si>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</si>
  <si>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</si>
  <si>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</si>
  <si>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</si>
  <si>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</si>
  <si>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</si>
  <si>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</si>
  <si>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PingFang SC"/>
        <family val="2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</si>
  <si>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</si>
  <si>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</si>
  <si>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</si>
  <si>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</si>
  <si>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</si>
  <si>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</si>
  <si>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</si>
  <si>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</si>
  <si>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</si>
  <si>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</si>
  <si>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</si>
  <si>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</si>
  <si>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</si>
  <si>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</si>
  <si>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</si>
  <si>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</si>
  <si>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</si>
  <si>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</si>
  <si>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</si>
  <si>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</si>
  <si>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</si>
  <si>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PingFang SC"/>
        <family val="2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</si>
  <si>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</si>
  <si>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</si>
  <si>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</si>
  <si>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</si>
  <si>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</si>
  <si>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</si>
  <si>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</si>
  <si>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</si>
  <si>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</si>
  <si>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</si>
  <si>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</si>
  <si>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</si>
  <si>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</si>
  <si>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</si>
  <si>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</si>
  <si>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</si>
  <si>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</si>
  <si>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</si>
  <si>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</si>
  <si>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</si>
  <si>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</si>
  <si>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PingFang SC"/>
        <family val="2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</si>
  <si>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</si>
  <si>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</si>
  <si>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</si>
  <si>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</si>
  <si>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</si>
  <si>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</si>
  <si>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</si>
  <si>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</si>
  <si>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</si>
  <si>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</si>
  <si>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</si>
  <si>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</si>
  <si>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</si>
  <si>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</si>
  <si>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</si>
  <si>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</si>
  <si>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</si>
  <si>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</si>
  <si>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</si>
  <si>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</si>
  <si>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</si>
  <si>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</si>
  <si>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</si>
  <si>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</si>
  <si>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</si>
  <si>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PingFang SC"/>
        <family val="2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</si>
  <si>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</si>
  <si>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</si>
  <si>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</si>
  <si>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</si>
  <si>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</si>
  <si>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</si>
  <si>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</si>
  <si>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</si>
  <si>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</si>
  <si>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</si>
  <si>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</si>
  <si>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</si>
  <si>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</si>
  <si>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</si>
  <si>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</si>
  <si>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</si>
  <si>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</si>
  <si>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</si>
  <si>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</si>
  <si>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</si>
  <si>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</si>
  <si>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</si>
  <si>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</si>
  <si>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</si>
  <si>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PingFang SC"/>
        <family val="2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</si>
  <si>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</si>
  <si>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</si>
  <si>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</si>
  <si>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</si>
  <si>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</si>
  <si>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</si>
  <si>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</si>
  <si>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</si>
  <si>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</si>
  <si>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</si>
  <si>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</si>
  <si>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</si>
  <si>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</si>
  <si>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</si>
  <si>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</si>
  <si>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</si>
  <si>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</si>
  <si>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</si>
  <si>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</si>
  <si>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</si>
  <si>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</si>
  <si>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</si>
  <si>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</si>
  <si>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</si>
  <si>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</si>
  <si>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</si>
  <si>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</si>
  <si>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PingFang SC"/>
        <family val="2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</si>
  <si>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</si>
  <si>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</si>
  <si>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</si>
  <si>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</si>
  <si>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</si>
  <si>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</si>
  <si>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</si>
  <si>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</si>
  <si>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</si>
  <si>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</si>
  <si>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</si>
  <si>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</si>
  <si>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</si>
  <si>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</si>
  <si>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</si>
  <si>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</si>
  <si>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</si>
  <si>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</si>
  <si>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</si>
  <si>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</si>
  <si>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</si>
  <si>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</si>
  <si>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</si>
  <si>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</si>
  <si>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</si>
  <si>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</si>
  <si>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PingFang SC"/>
        <family val="2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</si>
  <si>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</si>
  <si>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</si>
  <si>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</si>
  <si>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</si>
  <si>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</si>
  <si>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</si>
  <si>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</si>
  <si>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</si>
  <si>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</si>
  <si>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</si>
  <si>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</si>
  <si>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</si>
  <si>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</si>
  <si>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</si>
  <si>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</si>
  <si>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</si>
  <si>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</si>
  <si>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</si>
  <si>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</si>
  <si>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</si>
  <si>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</si>
  <si>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</si>
  <si>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</si>
  <si>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</si>
  <si>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PingFang SC"/>
        <family val="2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</si>
  <si>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</si>
  <si>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</si>
  <si>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</si>
  <si>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</si>
  <si>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</si>
  <si>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</si>
  <si>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</si>
  <si>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</si>
  <si>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</si>
  <si>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</si>
  <si>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</si>
  <si>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</si>
  <si>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</si>
  <si>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</si>
  <si>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</si>
  <si>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</si>
  <si>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</si>
  <si>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</si>
  <si>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</si>
  <si>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</si>
  <si>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</si>
  <si>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</si>
  <si>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PingFang SC"/>
        <family val="2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</si>
  <si>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</si>
  <si>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</si>
  <si>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</si>
  <si>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</si>
  <si>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</si>
  <si>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</si>
  <si>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</si>
  <si>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</si>
  <si>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</si>
  <si>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</si>
  <si>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</si>
  <si>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</si>
  <si>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</si>
  <si>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</si>
  <si>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</si>
  <si>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</si>
  <si>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</si>
  <si>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</si>
  <si>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</si>
  <si>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</si>
  <si>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</si>
  <si>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</si>
  <si>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</si>
  <si>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</si>
  <si>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PingFang SC"/>
        <family val="2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</si>
  <si>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</si>
  <si>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</si>
  <si>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</si>
  <si>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</si>
  <si>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</si>
  <si>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</si>
  <si>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</si>
  <si>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</si>
  <si>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</si>
  <si>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</si>
  <si>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</si>
  <si>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</si>
  <si>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</si>
  <si>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</si>
  <si>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</si>
  <si>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</si>
  <si>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</si>
  <si>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</si>
  <si>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</si>
  <si>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</si>
  <si>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</si>
  <si>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</si>
  <si>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</si>
  <si>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</si>
  <si>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</si>
  <si>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PingFang SC"/>
        <family val="2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</si>
  <si>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</si>
  <si>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</si>
  <si>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</si>
  <si>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</si>
  <si>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</si>
  <si>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</si>
  <si>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</si>
  <si>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</si>
  <si>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</si>
  <si>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</si>
  <si>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</si>
  <si>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</si>
  <si>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</si>
  <si>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</si>
  <si>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</si>
  <si>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</si>
  <si>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</si>
  <si>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</si>
  <si>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</si>
  <si>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</si>
  <si>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</si>
  <si>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Lið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</si>
  <si>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</si>
  <si>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</si>
  <si>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</si>
  <si>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</si>
  <si>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</si>
  <si>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</si>
  <si>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</si>
  <si>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</si>
  <si>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</si>
  <si>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</si>
  <si>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</si>
  <si>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</si>
  <si>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</si>
  <si>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</si>
  <si>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</si>
  <si>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</si>
  <si>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</si>
  <si>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</si>
  <si>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</si>
  <si>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</si>
  <si>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</si>
  <si>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Команда</t>
  </si>
  <si>
    <t xml:space="preserve">ٹیم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</si>
  <si>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</si>
  <si>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</si>
  <si>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</si>
  <si>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</si>
  <si>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</si>
  <si>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</si>
  <si>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</si>
  <si>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</si>
  <si>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</si>
  <si>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</si>
  <si>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</si>
  <si>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</si>
  <si>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</si>
  <si>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</si>
  <si>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</si>
  <si>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</si>
  <si>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</si>
  <si>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</si>
  <si>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</si>
  <si>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Qatar</t>
  </si>
  <si>
    <t xml:space="preserve">Katari</t>
  </si>
  <si>
    <t xml:space="preserve">دولة قطر</t>
  </si>
  <si>
    <t xml:space="preserve">Քաթար</t>
  </si>
  <si>
    <t xml:space="preserve">Катар</t>
  </si>
  <si>
    <t xml:space="preserve">卡塔尔</t>
  </si>
  <si>
    <t xml:space="preserve">卡塔爾</t>
  </si>
  <si>
    <t xml:space="preserve">Katar</t>
  </si>
  <si>
    <t xml:space="preserve">ᲙᲐᲢᲐᲠᲘ</t>
  </si>
  <si>
    <t xml:space="preserve">Κατάρ</t>
  </si>
  <si>
    <t xml:space="preserve">קטאר</t>
  </si>
  <si>
    <t xml:space="preserve">카타르</t>
  </si>
  <si>
    <t xml:space="preserve">Kataras</t>
  </si>
  <si>
    <t xml:space="preserve">قطر</t>
  </si>
  <si>
    <t xml:space="preserve">Catar</t>
  </si>
  <si>
    <t xml:space="preserve">กาตาร์</t>
  </si>
  <si>
    <t xml:space="preserve">Ecuador</t>
  </si>
  <si>
    <t xml:space="preserve">Ekuador</t>
  </si>
  <si>
    <t xml:space="preserve">الإكوادور</t>
  </si>
  <si>
    <t xml:space="preserve">Էկվադոր</t>
  </si>
  <si>
    <t xml:space="preserve">Ekvador</t>
  </si>
  <si>
    <t xml:space="preserve">Еквадор</t>
  </si>
  <si>
    <t xml:space="preserve">厄瓜多尔</t>
  </si>
  <si>
    <t xml:space="preserve">厄瓜多爾</t>
  </si>
  <si>
    <t xml:space="preserve">Ekvádor</t>
  </si>
  <si>
    <t xml:space="preserve">Equateur</t>
  </si>
  <si>
    <t xml:space="preserve">ᲔᲙᲕᲐᲓᲝᲠᲘ</t>
  </si>
  <si>
    <t xml:space="preserve">Εκουαδόρ</t>
  </si>
  <si>
    <t xml:space="preserve">אקוודור</t>
  </si>
  <si>
    <t xml:space="preserve">에콰도르</t>
  </si>
  <si>
    <t xml:space="preserve">Ekvadoras</t>
  </si>
  <si>
    <t xml:space="preserve">Ekwador</t>
  </si>
  <si>
    <t xml:space="preserve">اکوادور</t>
  </si>
  <si>
    <t xml:space="preserve">Equador</t>
  </si>
  <si>
    <t xml:space="preserve">เอกวาดอร์</t>
  </si>
  <si>
    <t xml:space="preserve">ایکواڈور</t>
  </si>
  <si>
    <t xml:space="preserve">Netherlands</t>
  </si>
  <si>
    <t xml:space="preserve">Hollandë</t>
  </si>
  <si>
    <t xml:space="preserve">هولندا</t>
  </si>
  <si>
    <t xml:space="preserve">Նիդեռլանդներ</t>
  </si>
  <si>
    <t xml:space="preserve">Hollandiya</t>
  </si>
  <si>
    <t xml:space="preserve">Холандия</t>
  </si>
  <si>
    <t xml:space="preserve">Països Baixos</t>
  </si>
  <si>
    <t xml:space="preserve">荷兰</t>
  </si>
  <si>
    <t xml:space="preserve">荷蘭</t>
  </si>
  <si>
    <t xml:space="preserve">Nizozemska</t>
  </si>
  <si>
    <t xml:space="preserve">Holandsko</t>
  </si>
  <si>
    <t xml:space="preserve">Holland</t>
  </si>
  <si>
    <t xml:space="preserve">Nederland</t>
  </si>
  <si>
    <t xml:space="preserve">Pays-Bas</t>
  </si>
  <si>
    <t xml:space="preserve">ᲜᲘᲓᲔᲠᲚᲐᲜᲓᲔᲑᲘ</t>
  </si>
  <si>
    <t xml:space="preserve">Niederlande</t>
  </si>
  <si>
    <t xml:space="preserve">Ολλανδία</t>
  </si>
  <si>
    <t xml:space="preserve">הולנד</t>
  </si>
  <si>
    <t xml:space="preserve">Hollandia</t>
  </si>
  <si>
    <t xml:space="preserve">Belanda</t>
  </si>
  <si>
    <t xml:space="preserve">Olanda</t>
  </si>
  <si>
    <t xml:space="preserve">네덜란드</t>
  </si>
  <si>
    <t xml:space="preserve">Nyderlandai</t>
  </si>
  <si>
    <t xml:space="preserve">Холандија</t>
  </si>
  <si>
    <t xml:space="preserve">هلند</t>
  </si>
  <si>
    <t xml:space="preserve">Holandia</t>
  </si>
  <si>
    <t xml:space="preserve">Holanda</t>
  </si>
  <si>
    <t xml:space="preserve">Низоземска</t>
  </si>
  <si>
    <t xml:space="preserve">Países Bajos</t>
  </si>
  <si>
    <t xml:space="preserve">Nederländska</t>
  </si>
  <si>
    <t xml:space="preserve">เนเธอร์แลนด์</t>
  </si>
  <si>
    <t xml:space="preserve">Hollanda</t>
  </si>
  <si>
    <t xml:space="preserve">NướC Hà Lan</t>
  </si>
  <si>
    <t xml:space="preserve">Нідерланди</t>
  </si>
  <si>
    <t xml:space="preserve">نیدرلینڈز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</si>
  <si>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</si>
  <si>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</si>
  <si>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</si>
  <si>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</si>
  <si>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</si>
  <si>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</si>
  <si>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</si>
  <si>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</si>
  <si>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</si>
  <si>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</si>
  <si>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</si>
  <si>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</si>
  <si>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</si>
  <si>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</si>
  <si>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</si>
  <si>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</si>
  <si>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</si>
  <si>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</si>
  <si>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</si>
  <si>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</si>
  <si>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</si>
  <si>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</si>
  <si>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</si>
  <si>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</si>
  <si>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</si>
  <si>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</si>
  <si>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</si>
  <si>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</si>
  <si>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</si>
  <si>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</si>
  <si>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</si>
  <si>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</si>
  <si>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</si>
  <si>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</si>
  <si>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</si>
  <si>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</si>
  <si>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</si>
  <si>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</si>
  <si>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</si>
  <si>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</si>
  <si>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</si>
  <si>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</si>
  <si>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</si>
  <si>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</si>
  <si>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</si>
  <si>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</si>
  <si>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</si>
  <si>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</si>
  <si>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</si>
  <si>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</si>
  <si>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United States</t>
  </si>
  <si>
    <t xml:space="preserve">Shtetet E Bashkuara</t>
  </si>
  <si>
    <t xml:space="preserve">الولايات المتحدة</t>
  </si>
  <si>
    <t xml:space="preserve">Միացյալ Նահանգներ</t>
  </si>
  <si>
    <t xml:space="preserve">Amerika BirləŞmiş Ştatları</t>
  </si>
  <si>
    <t xml:space="preserve">Съединени Щати</t>
  </si>
  <si>
    <t xml:space="preserve">Estats Units</t>
  </si>
  <si>
    <t xml:space="preserve">美国</t>
  </si>
  <si>
    <t xml:space="preserve">美國</t>
  </si>
  <si>
    <t xml:space="preserve">Ujedinjene Države</t>
  </si>
  <si>
    <t xml:space="preserve">Spojené Státy</t>
  </si>
  <si>
    <t xml:space="preserve">Forenede Stater</t>
  </si>
  <si>
    <t xml:space="preserve">Verenigde Staten</t>
  </si>
  <si>
    <t xml:space="preserve">États-Unis</t>
  </si>
  <si>
    <t xml:space="preserve">ᲨᲔᲔᲠᲗᲔᲑᲣᲚᲘ ᲨᲢᲐᲢᲔᲑᲘ</t>
  </si>
  <si>
    <t xml:space="preserve">Vereinigte Staaten</t>
  </si>
  <si>
    <t xml:space="preserve">Ηνωμένες Πολιτείες</t>
  </si>
  <si>
    <t xml:space="preserve">ארצות הברית</t>
  </si>
  <si>
    <t xml:space="preserve">Egyesült Államok</t>
  </si>
  <si>
    <t xml:space="preserve">Amerika Serikat</t>
  </si>
  <si>
    <t xml:space="preserve">Bandaríkin</t>
  </si>
  <si>
    <t xml:space="preserve">Stati Uniti</t>
  </si>
  <si>
    <t xml:space="preserve">미국</t>
  </si>
  <si>
    <t xml:space="preserve">Jungtinės Valstijos</t>
  </si>
  <si>
    <t xml:space="preserve">Соединети Држави</t>
  </si>
  <si>
    <t xml:space="preserve">USA</t>
  </si>
  <si>
    <t xml:space="preserve">ایالات متحده</t>
  </si>
  <si>
    <t xml:space="preserve">Stany Zjednoczone</t>
  </si>
  <si>
    <t xml:space="preserve">Estados Unidos</t>
  </si>
  <si>
    <t xml:space="preserve">Statele Unite</t>
  </si>
  <si>
    <t xml:space="preserve">Америка</t>
  </si>
  <si>
    <t xml:space="preserve">Spojené Štáty</t>
  </si>
  <si>
    <t xml:space="preserve">Združene Države</t>
  </si>
  <si>
    <t xml:space="preserve">Förenta Staterna</t>
  </si>
  <si>
    <t xml:space="preserve">สหรัฐ</t>
  </si>
  <si>
    <t xml:space="preserve">Amerika Birleşik Devletleri</t>
  </si>
  <si>
    <t xml:space="preserve">Hoa Kỳ</t>
  </si>
  <si>
    <t xml:space="preserve">Сполучені Штати</t>
  </si>
  <si>
    <t xml:space="preserve">ریاستہائے متحدہ</t>
  </si>
  <si>
    <t xml:space="preserve">Wales</t>
  </si>
  <si>
    <t xml:space="preserve">Uells</t>
  </si>
  <si>
    <t xml:space="preserve">ويلز</t>
  </si>
  <si>
    <t xml:space="preserve">Ուելս</t>
  </si>
  <si>
    <t xml:space="preserve">Uels</t>
  </si>
  <si>
    <t xml:space="preserve">Уелс</t>
  </si>
  <si>
    <t xml:space="preserve">Gal·Les</t>
  </si>
  <si>
    <t xml:space="preserve">威尔士</t>
  </si>
  <si>
    <t xml:space="preserve">威爾士</t>
  </si>
  <si>
    <t xml:space="preserve">Pays De Galles</t>
  </si>
  <si>
    <t xml:space="preserve">ᲣᲔᲚᲡᲘ</t>
  </si>
  <si>
    <t xml:space="preserve">Ουαλία</t>
  </si>
  <si>
    <t xml:space="preserve">וויילס</t>
  </si>
  <si>
    <t xml:space="preserve">Galles</t>
  </si>
  <si>
    <t xml:space="preserve">웨일즈</t>
  </si>
  <si>
    <t xml:space="preserve">Velsas</t>
  </si>
  <si>
    <t xml:space="preserve">Велс</t>
  </si>
  <si>
    <t xml:space="preserve">ولز</t>
  </si>
  <si>
    <t xml:space="preserve">Walia</t>
  </si>
  <si>
    <t xml:space="preserve">Gales</t>
  </si>
  <si>
    <t xml:space="preserve">Țara Galilor</t>
  </si>
  <si>
    <t xml:space="preserve">Веллес</t>
  </si>
  <si>
    <t xml:space="preserve">เวลส์</t>
  </si>
  <si>
    <t xml:space="preserve">Galler</t>
  </si>
  <si>
    <t xml:space="preserve">Xứ Wales</t>
  </si>
  <si>
    <t xml:space="preserve">Уельс</t>
  </si>
  <si>
    <t xml:space="preserve">ویلز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</si>
  <si>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</si>
  <si>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</si>
  <si>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</si>
  <si>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</si>
  <si>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</si>
  <si>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</si>
  <si>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</si>
  <si>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</si>
  <si>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</si>
  <si>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</si>
  <si>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</si>
  <si>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</si>
  <si>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</si>
  <si>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</si>
  <si>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</si>
  <si>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</si>
  <si>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</si>
  <si>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</si>
  <si>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</si>
  <si>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</si>
  <si>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</si>
  <si>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</si>
  <si>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</si>
  <si>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</si>
  <si>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</si>
  <si>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</si>
  <si>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</si>
  <si>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</si>
  <si>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</si>
  <si>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</si>
  <si>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</si>
  <si>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</si>
  <si>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</si>
  <si>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</si>
  <si>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</si>
  <si>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</si>
  <si>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</si>
  <si>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</si>
  <si>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</si>
  <si>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</si>
  <si>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</si>
  <si>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</si>
  <si>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</si>
  <si>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</si>
  <si>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</si>
  <si>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</si>
  <si>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</si>
  <si>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</si>
  <si>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</si>
  <si>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</si>
  <si>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</si>
  <si>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</si>
  <si>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</si>
  <si>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</si>
  <si>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</si>
  <si>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</si>
  <si>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</si>
  <si>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</si>
  <si>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</si>
  <si>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</si>
  <si>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</si>
  <si>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</si>
  <si>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</si>
  <si>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</si>
  <si>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</si>
  <si>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</si>
  <si>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</si>
  <si>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</si>
  <si>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</si>
  <si>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</si>
  <si>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</si>
  <si>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</si>
  <si>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</si>
  <si>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</si>
  <si>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</si>
  <si>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</si>
  <si>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</si>
  <si>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</si>
  <si>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</si>
  <si>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</si>
  <si>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</si>
  <si>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mexico</t>
  </si>
  <si>
    <t xml:space="preserve">ประเทศเม็กซิโก</t>
  </si>
  <si>
    <t xml:space="preserve">Мексика</t>
  </si>
  <si>
    <t xml:space="preserve">میکسیکو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</si>
  <si>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</si>
  <si>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</si>
  <si>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</si>
  <si>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</si>
  <si>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</si>
  <si>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</si>
  <si>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</si>
  <si>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</si>
  <si>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</si>
  <si>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</si>
  <si>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</si>
  <si>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</si>
  <si>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PÓland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</si>
  <si>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</si>
  <si>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</si>
  <si>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</si>
  <si>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</si>
  <si>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</si>
  <si>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</si>
  <si>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</si>
  <si>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</si>
  <si>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</si>
  <si>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</si>
  <si>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</si>
  <si>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</si>
  <si>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</si>
  <si>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</si>
  <si>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</si>
  <si>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</si>
  <si>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</si>
  <si>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</si>
  <si>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</si>
  <si>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</si>
  <si>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</si>
  <si>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</si>
  <si>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</si>
  <si>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</si>
  <si>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</si>
  <si>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</si>
  <si>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</si>
  <si>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</si>
  <si>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</si>
  <si>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</si>
  <si>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</si>
  <si>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</si>
  <si>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</si>
  <si>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</si>
  <si>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</si>
  <si>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Frankaríki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</si>
  <si>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</si>
  <si>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</si>
  <si>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</si>
  <si>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</si>
  <si>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</si>
  <si>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</si>
  <si>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</si>
  <si>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</si>
  <si>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</si>
  <si>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</si>
  <si>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</si>
  <si>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</si>
  <si>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</si>
  <si>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</si>
  <si>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</si>
  <si>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</si>
  <si>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</si>
  <si>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</si>
  <si>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</si>
  <si>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</si>
  <si>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</si>
  <si>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</si>
  <si>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</si>
  <si>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</si>
  <si>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</si>
  <si>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</si>
  <si>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</si>
  <si>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</si>
  <si>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</si>
  <si>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</si>
  <si>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</si>
  <si>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</si>
  <si>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</si>
  <si>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</si>
  <si>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</si>
  <si>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</si>
  <si>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</si>
  <si>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</si>
  <si>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</si>
  <si>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</si>
  <si>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</si>
  <si>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</si>
  <si>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</si>
  <si>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</si>
  <si>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</si>
  <si>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</si>
  <si>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</si>
  <si>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</si>
  <si>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</si>
  <si>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</si>
  <si>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</si>
  <si>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</si>
  <si>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</si>
  <si>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</si>
  <si>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</si>
  <si>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</si>
  <si>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</si>
  <si>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</si>
  <si>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</si>
  <si>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</si>
  <si>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</si>
  <si>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</si>
  <si>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</si>
  <si>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</si>
  <si>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</si>
  <si>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</si>
  <si>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</si>
  <si>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</si>
  <si>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</si>
  <si>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</si>
  <si>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</si>
  <si>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</si>
  <si>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</si>
  <si>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</si>
  <si>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</si>
  <si>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</si>
  <si>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</si>
  <si>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</si>
  <si>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</si>
  <si>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</si>
  <si>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</si>
  <si>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</si>
  <si>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</si>
  <si>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</si>
  <si>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</si>
  <si>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</si>
  <si>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</si>
  <si>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</si>
  <si>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</si>
  <si>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</si>
  <si>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</si>
  <si>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</si>
  <si>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Tunesia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</si>
  <si>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</si>
  <si>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</si>
  <si>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</si>
  <si>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</si>
  <si>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</si>
  <si>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</si>
  <si>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</si>
  <si>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</si>
  <si>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</si>
  <si>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</si>
  <si>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</si>
  <si>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</si>
  <si>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</si>
  <si>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</si>
  <si>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</si>
  <si>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</si>
  <si>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</si>
  <si>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</si>
  <si>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</si>
  <si>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</si>
  <si>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</si>
  <si>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</si>
  <si>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</si>
  <si>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</si>
  <si>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</si>
  <si>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</si>
  <si>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</si>
  <si>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</si>
  <si>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</si>
  <si>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</si>
  <si>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</si>
  <si>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</si>
  <si>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</si>
  <si>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</si>
  <si>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</si>
  <si>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</si>
  <si>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</si>
  <si>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</si>
  <si>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</si>
  <si>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</si>
  <si>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</si>
  <si>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</si>
  <si>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</si>
  <si>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</si>
  <si>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</si>
  <si>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</si>
  <si>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</si>
  <si>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</si>
  <si>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</si>
  <si>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</si>
  <si>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</si>
  <si>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</si>
  <si>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</si>
  <si>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</si>
  <si>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</si>
  <si>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</si>
  <si>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</si>
  <si>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</si>
  <si>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</si>
  <si>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</si>
  <si>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Kosta Rika</t>
  </si>
  <si>
    <t xml:space="preserve">კოსტა რიკის</t>
  </si>
  <si>
    <t xml:space="preserve">Κόστα Ρίκα</t>
  </si>
  <si>
    <t xml:space="preserve">קוסטה ריקה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</si>
  <si>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</si>
  <si>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</si>
  <si>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</si>
  <si>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</si>
  <si>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</si>
  <si>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</si>
  <si>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</si>
  <si>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</si>
  <si>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</si>
  <si>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</si>
  <si>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</si>
  <si>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</si>
  <si>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</si>
  <si>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</si>
  <si>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</si>
  <si>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</si>
  <si>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</si>
  <si>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</si>
  <si>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</si>
  <si>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</si>
  <si>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</si>
  <si>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</si>
  <si>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</si>
  <si>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Týskland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</si>
  <si>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</si>
  <si>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</si>
  <si>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</si>
  <si>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</si>
  <si>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</si>
  <si>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</si>
  <si>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</si>
  <si>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</si>
  <si>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</si>
  <si>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</si>
  <si>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</si>
  <si>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</si>
  <si>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</si>
  <si>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</si>
  <si>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</si>
  <si>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</si>
  <si>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</si>
  <si>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</si>
  <si>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</si>
  <si>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</si>
  <si>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</si>
  <si>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</si>
  <si>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</si>
  <si>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</si>
  <si>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</si>
  <si>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</si>
  <si>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</si>
  <si>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</si>
  <si>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</si>
  <si>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</si>
  <si>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</si>
  <si>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</si>
  <si>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</si>
  <si>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</si>
  <si>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</si>
  <si>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</si>
  <si>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</si>
  <si>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</si>
  <si>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</si>
  <si>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</si>
  <si>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</si>
  <si>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</si>
  <si>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</si>
  <si>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</si>
  <si>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</si>
  <si>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</si>
  <si>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</si>
  <si>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</si>
  <si>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</si>
  <si>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</si>
  <si>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</si>
  <si>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</si>
  <si>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</si>
  <si>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</si>
  <si>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</si>
  <si>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</si>
  <si>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</si>
  <si>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</si>
  <si>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</si>
  <si>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</si>
  <si>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</si>
  <si>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</si>
  <si>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</si>
  <si>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</si>
  <si>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</si>
  <si>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</si>
  <si>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</si>
  <si>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Belgia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</si>
  <si>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</si>
  <si>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</si>
  <si>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</si>
  <si>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</si>
  <si>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</si>
  <si>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</si>
  <si>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</si>
  <si>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</si>
  <si>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</si>
  <si>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</si>
  <si>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</si>
  <si>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</si>
  <si>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</si>
  <si>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</si>
  <si>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</si>
  <si>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Canada</t>
  </si>
  <si>
    <t xml:space="preserve">Kanada</t>
  </si>
  <si>
    <t xml:space="preserve">كندا</t>
  </si>
  <si>
    <t xml:space="preserve">Կանադա</t>
  </si>
  <si>
    <t xml:space="preserve">Канада</t>
  </si>
  <si>
    <t xml:space="preserve">Canadà</t>
  </si>
  <si>
    <t xml:space="preserve">加拿大</t>
  </si>
  <si>
    <t xml:space="preserve">ᲙᲐᲜᲐᲓᲐ</t>
  </si>
  <si>
    <t xml:space="preserve">Καναδάς</t>
  </si>
  <si>
    <t xml:space="preserve">קנדה</t>
  </si>
  <si>
    <t xml:space="preserve">캐나다</t>
  </si>
  <si>
    <t xml:space="preserve">کانادا</t>
  </si>
  <si>
    <t xml:space="preserve">Canadá</t>
  </si>
  <si>
    <t xml:space="preserve">แคนาดา</t>
  </si>
  <si>
    <t xml:space="preserve">کینیڈا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</si>
  <si>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</si>
  <si>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</si>
  <si>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</si>
  <si>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</si>
  <si>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</si>
  <si>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</si>
  <si>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</si>
  <si>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</si>
  <si>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</si>
  <si>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</si>
  <si>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</si>
  <si>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</si>
  <si>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</si>
  <si>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</si>
  <si>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</si>
  <si>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</si>
  <si>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</si>
  <si>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</si>
  <si>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</si>
  <si>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</si>
  <si>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</si>
  <si>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</si>
  <si>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</si>
  <si>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</si>
  <si>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</si>
  <si>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Марокко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</si>
  <si>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</si>
  <si>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</si>
  <si>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</si>
  <si>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</si>
  <si>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</si>
  <si>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</si>
  <si>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</si>
  <si>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</si>
  <si>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</si>
  <si>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</si>
  <si>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</si>
  <si>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</si>
  <si>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</si>
  <si>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Kroatia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</si>
  <si>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</si>
  <si>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</si>
  <si>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</si>
  <si>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</si>
  <si>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</si>
  <si>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</si>
  <si>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</si>
  <si>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</si>
  <si>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</si>
  <si>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</si>
  <si>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</si>
  <si>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کرواسی</t>
  </si>
  <si>
    <t xml:space="preserve">Chorwacja</t>
  </si>
  <si>
    <t xml:space="preserve">Croácia</t>
  </si>
  <si>
    <t xml:space="preserve">Croația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</si>
  <si>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</si>
  <si>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</si>
  <si>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</si>
  <si>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</si>
  <si>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</si>
  <si>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</si>
  <si>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</si>
  <si>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</si>
  <si>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</si>
  <si>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</si>
  <si>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</si>
  <si>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</si>
  <si>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</si>
  <si>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</si>
  <si>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</si>
  <si>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</si>
  <si>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</si>
  <si>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</si>
  <si>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Brasilia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</si>
  <si>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</si>
  <si>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</si>
  <si>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</si>
  <si>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</si>
  <si>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</si>
  <si>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</si>
  <si>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</si>
  <si>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</si>
  <si>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</si>
  <si>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</si>
  <si>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</si>
  <si>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</si>
  <si>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</si>
  <si>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</si>
  <si>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</si>
  <si>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</si>
  <si>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</si>
  <si>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</si>
  <si>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</si>
  <si>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</si>
  <si>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</si>
  <si>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</si>
  <si>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</si>
  <si>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</si>
  <si>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</si>
  <si>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</si>
  <si>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</si>
  <si>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</si>
  <si>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</si>
  <si>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</si>
  <si>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</si>
  <si>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</si>
  <si>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</si>
  <si>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</si>
  <si>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</si>
  <si>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</si>
  <si>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</si>
  <si>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</si>
  <si>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</si>
  <si>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</si>
  <si>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</si>
  <si>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</si>
  <si>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</si>
  <si>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</si>
  <si>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</si>
  <si>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</si>
  <si>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</si>
  <si>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</si>
  <si>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</si>
  <si>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</si>
  <si>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</si>
  <si>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</si>
  <si>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</si>
  <si>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</si>
  <si>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</si>
  <si>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</si>
  <si>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</si>
  <si>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</si>
  <si>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</si>
  <si>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Sveis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</si>
  <si>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</si>
  <si>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</si>
  <si>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</si>
  <si>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</si>
  <si>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</si>
  <si>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</si>
  <si>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</si>
  <si>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</si>
  <si>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</si>
  <si>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</si>
  <si>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</si>
  <si>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</si>
  <si>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</si>
  <si>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</si>
  <si>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</si>
  <si>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</si>
  <si>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</si>
  <si>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</si>
  <si>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</si>
  <si>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</si>
  <si>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</si>
  <si>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</si>
  <si>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</si>
  <si>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</si>
  <si>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</si>
  <si>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Cameroon</t>
  </si>
  <si>
    <t xml:space="preserve">Kamerun</t>
  </si>
  <si>
    <t xml:space="preserve">الكاميرون</t>
  </si>
  <si>
    <t xml:space="preserve">Կակերուհի</t>
  </si>
  <si>
    <t xml:space="preserve">Kameron</t>
  </si>
  <si>
    <t xml:space="preserve">Камерун</t>
  </si>
  <si>
    <t xml:space="preserve">Camerun</t>
  </si>
  <si>
    <t xml:space="preserve">喀麦隆</t>
  </si>
  <si>
    <t xml:space="preserve">喀麥隆</t>
  </si>
  <si>
    <t xml:space="preserve">Kameroen</t>
  </si>
  <si>
    <t xml:space="preserve">Cameroun</t>
  </si>
  <si>
    <t xml:space="preserve">ᲙᲐᲛᲔᲠᲣᲜᲘ</t>
  </si>
  <si>
    <t xml:space="preserve">Καμερούν</t>
  </si>
  <si>
    <t xml:space="preserve">קמרון</t>
  </si>
  <si>
    <t xml:space="preserve">Kamerún</t>
  </si>
  <si>
    <t xml:space="preserve">카메룬</t>
  </si>
  <si>
    <t xml:space="preserve">Kamerūnas</t>
  </si>
  <si>
    <t xml:space="preserve">کامرون</t>
  </si>
  <si>
    <t xml:space="preserve">Camarões</t>
  </si>
  <si>
    <t xml:space="preserve">Camerún</t>
  </si>
  <si>
    <t xml:space="preserve">แคเมอรูน</t>
  </si>
  <si>
    <t xml:space="preserve">کیمرون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</si>
  <si>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</si>
  <si>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</si>
  <si>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</si>
  <si>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</si>
  <si>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</si>
  <si>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</si>
  <si>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</si>
  <si>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</si>
  <si>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</si>
  <si>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</si>
  <si>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</si>
  <si>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</si>
  <si>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</si>
  <si>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</si>
  <si>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</si>
  <si>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</si>
  <si>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</si>
  <si>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</si>
  <si>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</si>
  <si>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</si>
  <si>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</si>
  <si>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</si>
  <si>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</si>
  <si>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</si>
  <si>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</si>
  <si>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Ghana</t>
  </si>
  <si>
    <t xml:space="preserve">Ghanë</t>
  </si>
  <si>
    <t xml:space="preserve">غانا</t>
  </si>
  <si>
    <t xml:space="preserve">Գանա</t>
  </si>
  <si>
    <t xml:space="preserve">Qana</t>
  </si>
  <si>
    <t xml:space="preserve">Гана</t>
  </si>
  <si>
    <t xml:space="preserve">加纳</t>
  </si>
  <si>
    <t xml:space="preserve">加納</t>
  </si>
  <si>
    <t xml:space="preserve">Gana</t>
  </si>
  <si>
    <t xml:space="preserve">ᲒᲐᲜᲐᲜᲐ</t>
  </si>
  <si>
    <t xml:space="preserve">Γκάνα</t>
  </si>
  <si>
    <t xml:space="preserve">גאנה</t>
  </si>
  <si>
    <t xml:space="preserve">Ghána</t>
  </si>
  <si>
    <t xml:space="preserve">가나</t>
  </si>
  <si>
    <t xml:space="preserve">غنا</t>
  </si>
  <si>
    <t xml:space="preserve">ประเทศกานา</t>
  </si>
  <si>
    <t xml:space="preserve">گھانا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</si>
  <si>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</si>
  <si>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</si>
  <si>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</si>
  <si>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</si>
  <si>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</si>
  <si>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</si>
  <si>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</si>
  <si>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</si>
  <si>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</si>
  <si>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</si>
  <si>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</si>
  <si>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</si>
  <si>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</si>
  <si>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</si>
  <si>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</t>
  </si>
  <si>
    <t xml:space="preserve">Urugwaj</t>
  </si>
  <si>
    <t xml:space="preserve">اروگوئه</t>
  </si>
  <si>
    <t xml:space="preserve">Uruguaj</t>
  </si>
  <si>
    <t xml:space="preserve">ประเทศอุรุกวัย</t>
  </si>
  <si>
    <t xml:space="preserve">یوراگوئے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</si>
  <si>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</si>
  <si>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</si>
  <si>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</si>
  <si>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</si>
  <si>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</si>
  <si>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</si>
  <si>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</si>
  <si>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</si>
  <si>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</si>
  <si>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</si>
  <si>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</si>
  <si>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</si>
  <si>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Suðurkorea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</si>
  <si>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</si>
  <si>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</si>
  <si>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</si>
  <si>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</si>
  <si>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</si>
  <si>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</si>
  <si>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</si>
  <si>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</si>
  <si>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</si>
  <si>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</si>
  <si>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</si>
  <si>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Јужна Кореја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</si>
  <si>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</si>
  <si>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</si>
  <si>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</si>
  <si>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</si>
  <si>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Coreia</t>
  </si>
  <si>
    <t xml:space="preserve">Coreea de Sud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</si>
  <si>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</si>
  <si>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</si>
  <si>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</si>
  <si>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</si>
  <si>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</si>
  <si>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</si>
  <si>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</si>
  <si>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</si>
  <si>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</si>
  <si>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</si>
  <si>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</si>
  <si>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</si>
  <si>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</si>
  <si>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</si>
  <si>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</si>
  <si>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</si>
  <si>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</si>
  <si>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</si>
  <si>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</si>
  <si>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</si>
  <si>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</si>
  <si>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</si>
  <si>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</si>
  <si>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</si>
  <si>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</si>
  <si>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</si>
  <si>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</si>
  <si>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</si>
  <si>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</si>
  <si>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</si>
  <si>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</si>
  <si>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</si>
  <si>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</si>
  <si>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</si>
  <si>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PingFang SC"/>
        <family val="2"/>
      </rPr>
      <t xml:space="preserve">위</t>
    </r>
  </si>
  <si>
    <t xml:space="preserve">1Ċ</t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</si>
  <si>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</si>
  <si>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</si>
  <si>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</si>
  <si>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</si>
  <si>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</si>
  <si>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</si>
  <si>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PingFang SC"/>
        <family val="2"/>
      </rPr>
      <t xml:space="preserve">위</t>
    </r>
  </si>
  <si>
    <t xml:space="preserve">2Ċ</t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</si>
  <si>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</si>
  <si>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</si>
  <si>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</si>
  <si>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</si>
  <si>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</si>
  <si>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</si>
  <si>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</si>
  <si>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</si>
  <si>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</si>
  <si>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</si>
  <si>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</si>
  <si>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</si>
  <si>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</si>
  <si>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</si>
  <si>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</si>
  <si>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</si>
  <si>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</si>
  <si>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</si>
  <si>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</si>
  <si>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</si>
  <si>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</si>
  <si>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</si>
  <si>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</si>
  <si>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</si>
  <si>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</si>
  <si>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</si>
  <si>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</si>
  <si>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</si>
  <si>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</si>
  <si>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</si>
  <si>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</si>
  <si>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</si>
  <si>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</si>
  <si>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</si>
  <si>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</si>
  <si>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</si>
  <si>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</si>
  <si>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</si>
  <si>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</si>
  <si>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</si>
  <si>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</si>
  <si>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</si>
  <si>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</si>
  <si>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</si>
  <si>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</si>
  <si>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</si>
  <si>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</si>
  <si>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</si>
  <si>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PingFang SC"/>
        <family val="2"/>
      </rPr>
      <t xml:space="preserve">위</t>
    </r>
  </si>
  <si>
    <t xml:space="preserve">1Ġ</t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</si>
  <si>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</si>
  <si>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</si>
  <si>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</si>
  <si>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</si>
  <si>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</si>
  <si>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</si>
  <si>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PingFang SC"/>
        <family val="2"/>
      </rPr>
      <t xml:space="preserve">위</t>
    </r>
  </si>
  <si>
    <t xml:space="preserve">2Ġ</t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</si>
  <si>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</si>
  <si>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</si>
  <si>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</si>
  <si>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</si>
  <si>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</si>
  <si>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PingFang SC"/>
        <family val="2"/>
      </rPr>
      <t xml:space="preserve">위</t>
    </r>
  </si>
  <si>
    <t xml:space="preserve">1Ħ</t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</si>
  <si>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</si>
  <si>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</si>
  <si>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</si>
  <si>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</si>
  <si>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</si>
  <si>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PingFang SC"/>
        <family val="2"/>
      </rPr>
      <t xml:space="preserve"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</si>
  <si>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</si>
  <si>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</si>
  <si>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</si>
  <si>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</si>
  <si>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</si>
  <si>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</si>
  <si>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</si>
  <si>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PingFang SC"/>
        <family val="2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</si>
  <si>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</si>
  <si>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</si>
  <si>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</si>
  <si>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</si>
  <si>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PingFang SC"/>
        <family val="2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</si>
  <si>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</si>
  <si>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</si>
  <si>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</si>
  <si>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</si>
  <si>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</si>
  <si>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</si>
  <si>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</si>
  <si>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</si>
  <si>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</si>
  <si>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</si>
  <si>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</si>
  <si>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</si>
  <si>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</si>
  <si>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</si>
  <si>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PingFang SC"/>
        <family val="2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</si>
  <si>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</si>
  <si>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</si>
  <si>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</si>
  <si>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</si>
  <si>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PingFang SC"/>
        <family val="2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</si>
  <si>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</si>
  <si>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</si>
  <si>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</si>
  <si>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</si>
  <si>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</si>
  <si>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</si>
  <si>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</si>
  <si>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</si>
  <si>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</si>
  <si>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</si>
  <si>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</si>
  <si>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</si>
  <si>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</si>
  <si>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</si>
  <si>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PingFang SC"/>
        <family val="2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</si>
  <si>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</si>
  <si>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</si>
  <si>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</si>
  <si>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</si>
  <si>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PingFang SC"/>
        <family val="2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</si>
  <si>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</si>
  <si>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</si>
  <si>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</si>
  <si>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</si>
  <si>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</si>
  <si>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</si>
  <si>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</si>
  <si>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</si>
  <si>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</si>
  <si>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</si>
  <si>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</si>
  <si>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</si>
  <si>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</si>
  <si>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</si>
  <si>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PingFang SC"/>
        <family val="2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</si>
  <si>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</si>
  <si>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</si>
  <si>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</si>
  <si>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</si>
  <si>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PingFang SC"/>
        <family val="2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</si>
  <si>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</si>
  <si>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</si>
  <si>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</si>
  <si>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</si>
  <si>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</si>
  <si>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</si>
  <si>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</si>
  <si>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</si>
  <si>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</si>
  <si>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</si>
  <si>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</si>
  <si>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</si>
  <si>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</si>
  <si>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</si>
  <si>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PingFang SC"/>
        <family val="2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</si>
  <si>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</si>
  <si>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</si>
  <si>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</si>
  <si>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</si>
  <si>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PingFang SC"/>
        <family val="2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</si>
  <si>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</si>
  <si>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</si>
  <si>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</si>
  <si>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</si>
  <si>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</si>
  <si>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</si>
  <si>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</si>
  <si>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</si>
  <si>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</si>
  <si>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</si>
  <si>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</si>
  <si>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</si>
  <si>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</si>
  <si>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</si>
  <si>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PingFang SC"/>
        <family val="2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</si>
  <si>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</si>
  <si>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</si>
  <si>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</si>
  <si>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</si>
  <si>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PingFang SC"/>
        <family val="2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</si>
  <si>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</si>
  <si>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</si>
  <si>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</si>
  <si>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</si>
  <si>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</si>
  <si>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</si>
  <si>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</si>
  <si>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</si>
  <si>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</si>
  <si>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</si>
  <si>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</si>
  <si>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</si>
  <si>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</si>
  <si>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</si>
  <si>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PingFang SC"/>
        <family val="2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</si>
  <si>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</si>
  <si>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</si>
  <si>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</si>
  <si>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</si>
  <si>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PingFang SC"/>
        <family val="2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</si>
  <si>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</si>
  <si>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</si>
  <si>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</si>
  <si>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</si>
  <si>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</si>
  <si>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</si>
  <si>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</si>
  <si>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</si>
  <si>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</si>
  <si>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</si>
  <si>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</si>
  <si>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</si>
  <si>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</si>
  <si>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</si>
  <si>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PingFang SC"/>
        <family val="2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</si>
  <si>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</si>
  <si>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</si>
  <si>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</si>
  <si>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</si>
  <si>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PingFang SC"/>
        <family val="2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</si>
  <si>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</si>
  <si>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</si>
  <si>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</si>
  <si>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</si>
  <si>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</si>
  <si>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</si>
  <si>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</si>
  <si>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</si>
  <si>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</si>
  <si>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</si>
  <si>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</si>
  <si>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</si>
  <si>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</si>
  <si>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</si>
  <si>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PingFang SC"/>
        <family val="2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</si>
  <si>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</si>
  <si>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</si>
  <si>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</si>
  <si>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</si>
  <si>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PingFang SC"/>
        <family val="2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</si>
  <si>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</si>
  <si>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</si>
  <si>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</si>
  <si>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</si>
  <si>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</si>
  <si>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</si>
  <si>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</si>
  <si>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</si>
  <si>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</si>
  <si>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</si>
  <si>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</si>
  <si>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</si>
  <si>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</si>
  <si>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</si>
  <si>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PingFang SC"/>
        <family val="2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</si>
  <si>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</si>
  <si>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</si>
  <si>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</si>
  <si>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</si>
  <si>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PingFang SC"/>
        <family val="2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</si>
  <si>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</si>
  <si>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</si>
  <si>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</si>
  <si>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</si>
  <si>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</si>
  <si>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</si>
  <si>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</si>
  <si>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</si>
  <si>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</si>
  <si>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</si>
  <si>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</si>
  <si>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</si>
  <si>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</si>
  <si>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</si>
  <si>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PingFang SC"/>
        <family val="2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</si>
  <si>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</si>
  <si>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</si>
  <si>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</si>
  <si>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</si>
  <si>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PingFang SC"/>
        <family val="2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</si>
  <si>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</si>
  <si>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</si>
  <si>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</si>
  <si>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</si>
  <si>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</si>
  <si>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</si>
  <si>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</si>
  <si>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</si>
  <si>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</si>
  <si>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</si>
  <si>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</si>
  <si>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</si>
  <si>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</si>
  <si>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</si>
  <si>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PingFang SC"/>
        <family val="2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</si>
  <si>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</si>
  <si>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</si>
  <si>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</si>
  <si>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</si>
  <si>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PingFang SC"/>
        <family val="2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PingFang SC"/>
        <family val="2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</si>
  <si>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</si>
  <si>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</si>
  <si>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</si>
  <si>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</si>
  <si>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</si>
  <si>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</si>
  <si>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</si>
  <si>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</si>
  <si>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</si>
  <si>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</si>
  <si>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</si>
  <si>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</si>
  <si>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</si>
  <si>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</si>
  <si>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PingFang SC"/>
        <family val="2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</si>
  <si>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</si>
  <si>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</si>
  <si>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</si>
  <si>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</si>
  <si>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PingFang SC"/>
        <family val="2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PingFang SC"/>
        <family val="2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</si>
  <si>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</si>
  <si>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</si>
  <si>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</si>
  <si>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</si>
  <si>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</si>
  <si>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</si>
  <si>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</si>
  <si>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</si>
  <si>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</si>
  <si>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</si>
  <si>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</si>
  <si>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</si>
  <si>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</si>
  <si>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</si>
  <si>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PingFang SC"/>
        <family val="2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</si>
  <si>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</si>
  <si>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</si>
  <si>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</si>
  <si>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</si>
  <si>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PingFang SC"/>
        <family val="2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PingFang SC"/>
        <family val="2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</si>
  <si>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</si>
  <si>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</si>
  <si>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</si>
  <si>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</si>
  <si>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</si>
  <si>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</si>
  <si>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</si>
  <si>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</si>
  <si>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</si>
  <si>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</si>
  <si>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</si>
  <si>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</si>
  <si>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PingFang SC"/>
        <family val="2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</si>
  <si>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</si>
  <si>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</si>
  <si>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PingFang SC"/>
        <family val="2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PingFang SC"/>
        <family val="2"/>
      </rPr>
      <t xml:space="preserve">패자</t>
    </r>
  </si>
  <si>
    <t xml:space="preserve">И61</t>
  </si>
  <si>
    <r>
      <rPr>
        <sz val="11"/>
        <color rgb="FF000000"/>
        <rFont val="Arial Unicode MS"/>
        <family val="2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</si>
  <si>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</si>
  <si>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Arial Unicode MS"/>
        <family val="2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</si>
  <si>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</si>
  <si>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</si>
  <si>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</si>
  <si>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</si>
  <si>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</si>
  <si>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PingFang SC"/>
        <family val="2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</si>
  <si>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</si>
  <si>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</si>
  <si>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PingFang SC"/>
        <family val="2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PingFang SC"/>
        <family val="2"/>
      </rPr>
      <t xml:space="preserve">패자</t>
    </r>
  </si>
  <si>
    <t xml:space="preserve">И62</t>
  </si>
  <si>
    <r>
      <rPr>
        <sz val="11"/>
        <color rgb="FF000000"/>
        <rFont val="Arial Unicode MS"/>
        <family val="2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</si>
  <si>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</si>
  <si>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Arial Unicode MS"/>
        <family val="2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</si>
  <si>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</si>
  <si>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</si>
  <si>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</si>
  <si>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2022</t>
  </si>
  <si>
    <t xml:space="preserve">Kampioni </t>
  </si>
  <si>
    <r>
      <rPr>
        <sz val="11"/>
        <color rgb="FF000000"/>
        <rFont val="Arial Unicode MS"/>
        <family val="2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2022</t>
    </r>
  </si>
  <si>
    <t xml:space="preserve">Աշխարհի 2022թ. Հաղթող</t>
  </si>
  <si>
    <t xml:space="preserve">Dünya Çempionu 2022</t>
  </si>
  <si>
    <t xml:space="preserve">Световен шампион 2022</t>
  </si>
  <si>
    <t xml:space="preserve">Campió del Món 2022</t>
  </si>
  <si>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PingFang SC"/>
        <family val="2"/>
      </rPr>
      <t xml:space="preserve">世界杯冠军</t>
    </r>
  </si>
  <si>
    <t xml:space="preserve">Svjetski prvak 2022</t>
  </si>
  <si>
    <t xml:space="preserve">Mistr světa 2022</t>
  </si>
  <si>
    <t xml:space="preserve">Verdensmester 2022</t>
  </si>
  <si>
    <t xml:space="preserve">Wereldkampioen 2022</t>
  </si>
  <si>
    <t xml:space="preserve">Heimsmeistari 2022</t>
  </si>
  <si>
    <t xml:space="preserve">Champion du Monde 2022</t>
  </si>
  <si>
    <t xml:space="preserve">მსოფლიოს ჩემპიონი 2022</t>
  </si>
  <si>
    <t xml:space="preserve">Weltmeister 2022</t>
  </si>
  <si>
    <t xml:space="preserve">Πρωταθλητής 2022</t>
  </si>
  <si>
    <r>
      <rPr>
        <sz val="11"/>
        <color rgb="FF000000"/>
        <rFont val="Arial Unicode MS"/>
        <family val="2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2022</t>
    </r>
  </si>
  <si>
    <t xml:space="preserve">A labdarúgó-VB győztes csapata:</t>
  </si>
  <si>
    <t xml:space="preserve">Juara Piala Dunia 2022</t>
  </si>
  <si>
    <t xml:space="preserve">Heimsmeistarar 2022</t>
  </si>
  <si>
    <t xml:space="preserve">Coppa del Mondo 2022</t>
  </si>
  <si>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PingFang SC"/>
        <family val="2"/>
      </rPr>
      <t xml:space="preserve">년 우승국가</t>
    </r>
  </si>
  <si>
    <t xml:space="preserve">Pasaulio Čempionas 2022</t>
  </si>
  <si>
    <t xml:space="preserve">Светски шампион 2022</t>
  </si>
  <si>
    <t xml:space="preserve">Rebbieħ tat-Tazza tad-Dinja 2022</t>
  </si>
  <si>
    <t xml:space="preserve">Vinner 2022</t>
  </si>
  <si>
    <r>
      <rPr>
        <sz val="11"/>
        <color rgb="FF000000"/>
        <rFont val="Arial Unicode MS"/>
        <family val="2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2022</t>
    </r>
  </si>
  <si>
    <t xml:space="preserve">Mistrz Świata 2022</t>
  </si>
  <si>
    <t xml:space="preserve">Vencedor do Campeonato do Mundo 2022</t>
  </si>
  <si>
    <t xml:space="preserve">Campioana Mondiala 2022</t>
  </si>
  <si>
    <t xml:space="preserve">Svjetski šampion 2022</t>
  </si>
  <si>
    <t xml:space="preserve">Majster sveta 2022</t>
  </si>
  <si>
    <t xml:space="preserve">Svetovno prvak 2022</t>
  </si>
  <si>
    <t xml:space="preserve">Campeón 2022</t>
  </si>
  <si>
    <t xml:space="preserve">Världsmästare 2022</t>
  </si>
  <si>
    <r>
      <rPr>
        <sz val="11"/>
        <color rgb="FF000000"/>
        <rFont val="Arial Unicode MS"/>
        <family val="2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2022</t>
    </r>
  </si>
  <si>
    <t xml:space="preserve">2022 Dünya Şampiyonu</t>
  </si>
  <si>
    <t xml:space="preserve">Vòng Chung Kết 2022</t>
  </si>
  <si>
    <t xml:space="preserve">Чемпіон Світу 2022</t>
  </si>
  <si>
    <t xml:space="preserve">ورلڈ چیمپینس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</si>
  <si>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</si>
  <si>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</si>
  <si>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</si>
  <si>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</si>
  <si>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</si>
  <si>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</si>
  <si>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</si>
  <si>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</si>
  <si>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</si>
  <si>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</si>
  <si>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</si>
  <si>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</si>
  <si>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</si>
  <si>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</si>
  <si>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</si>
  <si>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</si>
  <si>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</si>
  <si>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</si>
  <si>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</si>
  <si>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</si>
  <si>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</si>
  <si>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</si>
  <si>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</si>
  <si>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</si>
  <si>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</si>
  <si>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</si>
  <si>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</si>
  <si>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</si>
  <si>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</si>
  <si>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</si>
  <si>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</si>
  <si>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</si>
  <si>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</si>
  <si>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</si>
  <si>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</si>
  <si>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</si>
  <si>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</si>
  <si>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</si>
  <si>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</si>
  <si>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</si>
  <si>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</si>
  <si>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</si>
  <si>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</si>
  <si>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</si>
  <si>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</si>
  <si>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</si>
  <si>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</si>
  <si>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</si>
  <si>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</si>
  <si>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</si>
  <si>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</si>
  <si>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</si>
  <si>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</si>
  <si>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+ 3:00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</si>
  <si>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</si>
  <si>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</si>
  <si>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</si>
  <si>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</si>
  <si>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</si>
  <si>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</si>
  <si>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</si>
  <si>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</si>
  <si>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</si>
  <si>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</si>
  <si>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</si>
  <si>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</si>
  <si>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</si>
  <si>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</si>
  <si>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</si>
  <si>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</si>
  <si>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- 4:00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</si>
  <si>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</si>
  <si>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</si>
  <si>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</si>
  <si>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</si>
  <si>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</si>
  <si>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</si>
  <si>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</si>
  <si>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</si>
  <si>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</si>
  <si>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</si>
  <si>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</si>
  <si>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</si>
  <si>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</si>
  <si>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</si>
  <si>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</si>
  <si>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</si>
  <si>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</si>
  <si>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</si>
  <si>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</si>
  <si>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</si>
  <si>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</si>
  <si>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</si>
  <si>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</si>
  <si>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</si>
  <si>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</si>
  <si>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</si>
  <si>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</si>
  <si>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</si>
  <si>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</si>
  <si>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World Cup 2022
Interactive Schedule
www.wallchart.io</t>
  </si>
  <si>
    <t xml:space="preserve">FIFA World Cup
Historical Data
1930 - 2018</t>
  </si>
  <si>
    <t xml:space="preserve">Lisaküsimused</t>
  </si>
  <si>
    <t xml:space="preserve">Vastused</t>
  </si>
  <si>
    <t xml:space="preserve">1. Turniiri suurim väravakütt?</t>
  </si>
  <si>
    <t xml:space="preserve">1. Neymar</t>
  </si>
  <si>
    <t xml:space="preserve">2. Mis riigi mängija saab turniiril esimese punase kaardi?</t>
  </si>
  <si>
    <t xml:space="preserve">2. Qatar</t>
  </si>
  <si>
    <t xml:space="preserve">3. Mis riigi mängija lööb turniiril esimese värava otse karistuslöögist (penalt ei lähe arvesse)?</t>
  </si>
  <si>
    <t xml:space="preserve">3. Saksamaa</t>
  </si>
  <si>
    <t xml:space="preserve">4. Mitu aafrika ja aasia võistkonda pääseb alagrupiturniirilt edasi?</t>
  </si>
  <si>
    <t xml:space="preserve">4. 3</t>
  </si>
  <si>
    <t xml:space="preserve">5. Messi/Ronaldo/Neymar/Mbappe. Kes nendest lööb kõige rohkem väravaid?</t>
  </si>
  <si>
    <t xml:space="preserve">'5. Messi</t>
  </si>
  <si>
    <t xml:space="preserve">6. Mis võistkond lööb alagrupiturniiril kõige rohkem väravaid?</t>
  </si>
  <si>
    <t xml:space="preserve">'6. Brasiilia</t>
  </si>
  <si>
    <t xml:space="preserve">7. Mis võistkond laseb endale lüüa alagrupiturniiril kõige rohkem väravaid?</t>
  </si>
  <si>
    <t xml:space="preserve">'7. Qatar</t>
  </si>
  <si>
    <t xml:space="preserve">8. Mis riigi väravavaht tõrjub turniiri esimese penalti?</t>
  </si>
  <si>
    <t xml:space="preserve">'8. Holland</t>
  </si>
  <si>
    <t xml:space="preserve">9. Kes annab turniiril kõige rohkem väravasööte?</t>
  </si>
  <si>
    <t xml:space="preserve">'9. De Bryne</t>
  </si>
  <si>
    <t xml:space="preserve">10. Kas turniiril lüüakse hat-trick?</t>
  </si>
  <si>
    <t xml:space="preserve">'10. Jah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</si>
</sst>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;;;"/>
    <numFmt numFmtId="166" formatCode="General"/>
    <numFmt numFmtId="167" formatCode="#,##0"/>
    <numFmt numFmtId="168" formatCode="h:mm;@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Unicode MS"/>
      <family val="2"/>
    </font>
    <font>
      <sz val="11"/>
      <color rgb="FF000000"/>
      <name val="PingFang SC"/>
      <family val="2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204"/>
    </font>
    <font>
      <sz val="10"/>
      <color rgb="FF0000FF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6"/>
      <color rgb="FF0000FF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D1F2FB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  <fill>
      <patternFill patternType="solid">
        <fgColor rgb="FFFF0000"/>
        <bgColor rgb="FF993300"/>
      </patternFill>
    </fill>
    <fill>
      <patternFill patternType="solid">
        <fgColor rgb="FFE2F0D9"/>
        <bgColor rgb="FFDEEBF7"/>
      </patternFill>
    </fill>
    <fill>
      <patternFill patternType="solid">
        <fgColor rgb="FFD1F2FB"/>
        <bgColor rgb="FFDEEBF7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B2B2B2"/>
      </left>
      <right style="thin">
        <color rgb="FFB2B2B2"/>
      </right>
      <top style="medium"/>
      <bottom/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" shrinkToFit="false"/>
      <protection locked="fals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6" fillId="3" borderId="5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7" fontId="6" fillId="2" borderId="17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2" borderId="1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2" borderId="19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5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14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17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6" borderId="2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7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6" fillId="7" borderId="2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24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5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6" fillId="7" borderId="2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3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3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2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3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19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9" fillId="5" borderId="3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9" fillId="5" borderId="3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7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3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3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4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41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4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4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5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8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51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2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5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54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7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8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0" fillId="7" borderId="45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6" fontId="0" fillId="0" borderId="37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3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20" fillId="8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6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2" fillId="0" borderId="5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5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6" fillId="7" borderId="6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6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6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2" borderId="6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6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3" shrinkToFit="tru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3" shrinkToFit="true"/>
      <protection locked="true" hidden="true"/>
    </xf>
    <xf numFmtId="164" fontId="24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1"/>
    <cellStyle name="*unknown*" xfId="20" builtinId="8"/>
  </cellStyles>
  <dxfs count="180">
    <dxf>
      <font>
        <b val="1"/>
        <i val="0"/>
      </font>
    </dxf>
    <dxf>
      <font>
        <b val="1"/>
        <i val="0"/>
      </font>
    </dxf>
    <dxf>
      <font>
        <b val="1"/>
        <i val="0"/>
        <color rgb="00FFFFFF"/>
      </font>
      <fill>
        <patternFill>
          <bgColor rgb="FFDEEBF7"/>
        </patternFill>
      </fill>
    </dxf>
    <dxf>
      <font>
        <b val="0"/>
        <i val="0"/>
        <color rgb="00FFFFFF"/>
      </font>
      <fill>
        <patternFill>
          <bgColor rgb="FFDEEBF7"/>
        </patternFill>
      </fill>
    </dxf>
    <dxf>
      <font>
        <color rgb="00FFFFFF"/>
      </font>
      <fill>
        <patternFill>
          <bgColor rgb="FFFFFF99"/>
        </patternFill>
      </fill>
    </dxf>
    <dxf>
      <font>
        <b val="0"/>
        <i val="0"/>
        <color rgb="00FFFFFF"/>
      </font>
      <fill>
        <patternFill>
          <bgColor rgb="FFFFFF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1F2FB"/>
      <rgbColor rgb="FFE2F0D9"/>
      <rgbColor rgb="FFFFFF99"/>
      <rgbColor rgb="FF99CCFF"/>
      <rgbColor rgb="FFFF99CC"/>
      <rgbColor rgb="FFDEEBF7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<Relationship Id="rId3" Type="http://schemas.openxmlformats.org/officeDocument/2006/relationships/image" Target="../media/image36.png"/><Relationship Id="rId4" Type="http://schemas.openxmlformats.org/officeDocument/2006/relationships/image" Target="../media/image37.png"/><Relationship Id="rId5" Type="http://schemas.openxmlformats.org/officeDocument/2006/relationships/image" Target="../media/image38.png"/><Relationship Id="rId6" Type="http://schemas.openxmlformats.org/officeDocument/2006/relationships/image" Target="../media/image39.png"/><Relationship Id="rId7" Type="http://schemas.openxmlformats.org/officeDocument/2006/relationships/image" Target="../media/image40.png"/><Relationship Id="rId8" Type="http://schemas.openxmlformats.org/officeDocument/2006/relationships/image" Target="../media/image41.png"/><Relationship Id="rId9" Type="http://schemas.openxmlformats.org/officeDocument/2006/relationships/image" Target="../media/image42.png"/><Relationship Id="rId10" Type="http://schemas.openxmlformats.org/officeDocument/2006/relationships/image" Target="../media/image43.png"/><Relationship Id="rId11" Type="http://schemas.openxmlformats.org/officeDocument/2006/relationships/image" Target="../media/image44.png"/><Relationship Id="rId12" Type="http://schemas.openxmlformats.org/officeDocument/2006/relationships/image" Target="../media/image45.png"/><Relationship Id="rId13" Type="http://schemas.openxmlformats.org/officeDocument/2006/relationships/image" Target="../media/image46.png"/><Relationship Id="rId14" Type="http://schemas.openxmlformats.org/officeDocument/2006/relationships/image" Target="../media/image47.png"/><Relationship Id="rId15" Type="http://schemas.openxmlformats.org/officeDocument/2006/relationships/image" Target="../media/image48.png"/><Relationship Id="rId16" Type="http://schemas.openxmlformats.org/officeDocument/2006/relationships/image" Target="../media/image49.png"/><Relationship Id="rId17" Type="http://schemas.openxmlformats.org/officeDocument/2006/relationships/image" Target="../media/image50.png"/><Relationship Id="rId18" Type="http://schemas.openxmlformats.org/officeDocument/2006/relationships/image" Target="../media/image51.png"/><Relationship Id="rId19" Type="http://schemas.openxmlformats.org/officeDocument/2006/relationships/image" Target="../media/image52.png"/><Relationship Id="rId20" Type="http://schemas.openxmlformats.org/officeDocument/2006/relationships/image" Target="../media/image53.png"/><Relationship Id="rId21" Type="http://schemas.openxmlformats.org/officeDocument/2006/relationships/image" Target="../media/image54.png"/><Relationship Id="rId22" Type="http://schemas.openxmlformats.org/officeDocument/2006/relationships/image" Target="../media/image55.png"/><Relationship Id="rId23" Type="http://schemas.openxmlformats.org/officeDocument/2006/relationships/image" Target="../media/image56.png"/><Relationship Id="rId24" Type="http://schemas.openxmlformats.org/officeDocument/2006/relationships/image" Target="../media/image57.png"/><Relationship Id="rId25" Type="http://schemas.openxmlformats.org/officeDocument/2006/relationships/image" Target="../media/image58.png"/><Relationship Id="rId26" Type="http://schemas.openxmlformats.org/officeDocument/2006/relationships/image" Target="../media/image59.png"/><Relationship Id="rId27" Type="http://schemas.openxmlformats.org/officeDocument/2006/relationships/image" Target="../media/image60.png"/><Relationship Id="rId28" Type="http://schemas.openxmlformats.org/officeDocument/2006/relationships/image" Target="../media/image61.png"/><Relationship Id="rId29" Type="http://schemas.openxmlformats.org/officeDocument/2006/relationships/image" Target="../media/image62.png"/><Relationship Id="rId30" Type="http://schemas.openxmlformats.org/officeDocument/2006/relationships/image" Target="../media/image63.png"/><Relationship Id="rId31" Type="http://schemas.openxmlformats.org/officeDocument/2006/relationships/image" Target="../media/image64.png"/><Relationship Id="rId32" Type="http://schemas.openxmlformats.org/officeDocument/2006/relationships/image" Target="../media/image65.png"/><Relationship Id="rId33" Type="http://schemas.openxmlformats.org/officeDocument/2006/relationships/image" Target="../media/image39.png"/><Relationship Id="rId34" Type="http://schemas.openxmlformats.org/officeDocument/2006/relationships/image" Target="../media/image41.png"/><Relationship Id="rId35" Type="http://schemas.openxmlformats.org/officeDocument/2006/relationships/image" Target="../media/image34.png"/><Relationship Id="rId36" Type="http://schemas.openxmlformats.org/officeDocument/2006/relationships/image" Target="../media/image35.png"/><Relationship Id="rId37" Type="http://schemas.openxmlformats.org/officeDocument/2006/relationships/image" Target="../media/image36.png"/><Relationship Id="rId38" Type="http://schemas.openxmlformats.org/officeDocument/2006/relationships/image" Target="../media/image37.png"/><Relationship Id="rId39" Type="http://schemas.openxmlformats.org/officeDocument/2006/relationships/image" Target="../media/image38.png"/><Relationship Id="rId40" Type="http://schemas.openxmlformats.org/officeDocument/2006/relationships/image" Target="../media/image40.png"/><Relationship Id="rId41" Type="http://schemas.openxmlformats.org/officeDocument/2006/relationships/image" Target="../media/image42.png"/><Relationship Id="rId42" Type="http://schemas.openxmlformats.org/officeDocument/2006/relationships/image" Target="../media/image43.png"/><Relationship Id="rId43" Type="http://schemas.openxmlformats.org/officeDocument/2006/relationships/image" Target="../media/image44.png"/><Relationship Id="rId44" Type="http://schemas.openxmlformats.org/officeDocument/2006/relationships/image" Target="../media/image45.png"/><Relationship Id="rId45" Type="http://schemas.openxmlformats.org/officeDocument/2006/relationships/image" Target="../media/image46.png"/><Relationship Id="rId46" Type="http://schemas.openxmlformats.org/officeDocument/2006/relationships/image" Target="../media/image47.png"/><Relationship Id="rId47" Type="http://schemas.openxmlformats.org/officeDocument/2006/relationships/image" Target="../media/image48.png"/><Relationship Id="rId48" Type="http://schemas.openxmlformats.org/officeDocument/2006/relationships/image" Target="../media/image49.png"/><Relationship Id="rId49" Type="http://schemas.openxmlformats.org/officeDocument/2006/relationships/image" Target="../media/image50.png"/><Relationship Id="rId50" Type="http://schemas.openxmlformats.org/officeDocument/2006/relationships/image" Target="../media/image51.png"/><Relationship Id="rId51" Type="http://schemas.openxmlformats.org/officeDocument/2006/relationships/image" Target="../media/image52.png"/><Relationship Id="rId52" Type="http://schemas.openxmlformats.org/officeDocument/2006/relationships/image" Target="../media/image53.png"/><Relationship Id="rId53" Type="http://schemas.openxmlformats.org/officeDocument/2006/relationships/image" Target="../media/image54.png"/><Relationship Id="rId54" Type="http://schemas.openxmlformats.org/officeDocument/2006/relationships/image" Target="../media/image55.png"/><Relationship Id="rId55" Type="http://schemas.openxmlformats.org/officeDocument/2006/relationships/image" Target="../media/image56.png"/><Relationship Id="rId56" Type="http://schemas.openxmlformats.org/officeDocument/2006/relationships/image" Target="../media/image57.png"/><Relationship Id="rId57" Type="http://schemas.openxmlformats.org/officeDocument/2006/relationships/image" Target="../media/image58.png"/><Relationship Id="rId58" Type="http://schemas.openxmlformats.org/officeDocument/2006/relationships/image" Target="../media/image59.png"/><Relationship Id="rId59" Type="http://schemas.openxmlformats.org/officeDocument/2006/relationships/image" Target="../media/image60.png"/><Relationship Id="rId60" Type="http://schemas.openxmlformats.org/officeDocument/2006/relationships/image" Target="../media/image61.png"/><Relationship Id="rId61" Type="http://schemas.openxmlformats.org/officeDocument/2006/relationships/image" Target="../media/image62.png"/><Relationship Id="rId62" Type="http://schemas.openxmlformats.org/officeDocument/2006/relationships/image" Target="../media/image63.png"/><Relationship Id="rId63" Type="http://schemas.openxmlformats.org/officeDocument/2006/relationships/image" Target="../media/image64.png"/><Relationship Id="rId64" Type="http://schemas.openxmlformats.org/officeDocument/2006/relationships/image" Target="../media/image65.png"/><Relationship Id="rId65" Type="http://schemas.openxmlformats.org/officeDocument/2006/relationships/image" Target="../media/image34.png"/><Relationship Id="rId66" Type="http://schemas.openxmlformats.org/officeDocument/2006/relationships/image" Target="../media/image35.png"/><Relationship Id="rId67" Type="http://schemas.openxmlformats.org/officeDocument/2006/relationships/image" Target="../media/image36.png"/><Relationship Id="rId68" Type="http://schemas.openxmlformats.org/officeDocument/2006/relationships/image" Target="../media/image37.png"/><Relationship Id="rId69" Type="http://schemas.openxmlformats.org/officeDocument/2006/relationships/image" Target="../media/image38.png"/><Relationship Id="rId70" Type="http://schemas.openxmlformats.org/officeDocument/2006/relationships/image" Target="../media/image39.png"/><Relationship Id="rId71" Type="http://schemas.openxmlformats.org/officeDocument/2006/relationships/image" Target="../media/image40.png"/><Relationship Id="rId72" Type="http://schemas.openxmlformats.org/officeDocument/2006/relationships/image" Target="../media/image41.png"/><Relationship Id="rId73" Type="http://schemas.openxmlformats.org/officeDocument/2006/relationships/image" Target="../media/image42.png"/><Relationship Id="rId74" Type="http://schemas.openxmlformats.org/officeDocument/2006/relationships/image" Target="../media/image43.png"/><Relationship Id="rId75" Type="http://schemas.openxmlformats.org/officeDocument/2006/relationships/image" Target="../media/image44.png"/><Relationship Id="rId76" Type="http://schemas.openxmlformats.org/officeDocument/2006/relationships/image" Target="../media/image45.png"/><Relationship Id="rId77" Type="http://schemas.openxmlformats.org/officeDocument/2006/relationships/image" Target="../media/image46.png"/><Relationship Id="rId78" Type="http://schemas.openxmlformats.org/officeDocument/2006/relationships/image" Target="../media/image47.png"/><Relationship Id="rId79" Type="http://schemas.openxmlformats.org/officeDocument/2006/relationships/image" Target="../media/image48.png"/><Relationship Id="rId80" Type="http://schemas.openxmlformats.org/officeDocument/2006/relationships/image" Target="../media/image49.png"/><Relationship Id="rId81" Type="http://schemas.openxmlformats.org/officeDocument/2006/relationships/image" Target="../media/image50.png"/><Relationship Id="rId82" Type="http://schemas.openxmlformats.org/officeDocument/2006/relationships/image" Target="../media/image51.png"/><Relationship Id="rId83" Type="http://schemas.openxmlformats.org/officeDocument/2006/relationships/image" Target="../media/image52.png"/><Relationship Id="rId84" Type="http://schemas.openxmlformats.org/officeDocument/2006/relationships/image" Target="../media/image53.png"/><Relationship Id="rId85" Type="http://schemas.openxmlformats.org/officeDocument/2006/relationships/image" Target="../media/image54.png"/><Relationship Id="rId86" Type="http://schemas.openxmlformats.org/officeDocument/2006/relationships/image" Target="../media/image55.png"/><Relationship Id="rId87" Type="http://schemas.openxmlformats.org/officeDocument/2006/relationships/image" Target="../media/image56.png"/><Relationship Id="rId88" Type="http://schemas.openxmlformats.org/officeDocument/2006/relationships/image" Target="../media/image57.png"/><Relationship Id="rId89" Type="http://schemas.openxmlformats.org/officeDocument/2006/relationships/image" Target="../media/image58.png"/><Relationship Id="rId90" Type="http://schemas.openxmlformats.org/officeDocument/2006/relationships/image" Target="../media/image59.png"/><Relationship Id="rId91" Type="http://schemas.openxmlformats.org/officeDocument/2006/relationships/image" Target="../media/image60.png"/><Relationship Id="rId92" Type="http://schemas.openxmlformats.org/officeDocument/2006/relationships/image" Target="../media/image62.png"/><Relationship Id="rId93" Type="http://schemas.openxmlformats.org/officeDocument/2006/relationships/image" Target="../media/image63.png"/><Relationship Id="rId94" Type="http://schemas.openxmlformats.org/officeDocument/2006/relationships/image" Target="../media/image64.png"/><Relationship Id="rId95" Type="http://schemas.openxmlformats.org/officeDocument/2006/relationships/image" Target="../media/image6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1285920</xdr:colOff>
      <xdr:row>7</xdr:row>
      <xdr:rowOff>20880</xdr:rowOff>
    </xdr:from>
    <xdr:to>
      <xdr:col>4</xdr:col>
      <xdr:colOff>1495080</xdr:colOff>
      <xdr:row>7</xdr:row>
      <xdr:rowOff>172800</xdr:rowOff>
    </xdr:to>
    <xdr:pic>
      <xdr:nvPicPr>
        <xdr:cNvPr id="0" name="Graphic 31" descr=""/>
        <xdr:cNvPicPr/>
      </xdr:nvPicPr>
      <xdr:blipFill>
        <a:blip r:embed="rId1"/>
        <a:stretch/>
      </xdr:blipFill>
      <xdr:spPr>
        <a:xfrm>
          <a:off x="3400560" y="1411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7</xdr:row>
      <xdr:rowOff>20880</xdr:rowOff>
    </xdr:from>
    <xdr:to>
      <xdr:col>7</xdr:col>
      <xdr:colOff>239760</xdr:colOff>
      <xdr:row>7</xdr:row>
      <xdr:rowOff>172800</xdr:rowOff>
    </xdr:to>
    <xdr:pic>
      <xdr:nvPicPr>
        <xdr:cNvPr id="1" name="Graphic 35" descr=""/>
        <xdr:cNvPicPr/>
      </xdr:nvPicPr>
      <xdr:blipFill>
        <a:blip r:embed="rId2"/>
        <a:stretch/>
      </xdr:blipFill>
      <xdr:spPr>
        <a:xfrm>
          <a:off x="4335840" y="1411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1285920</xdr:colOff>
      <xdr:row>6</xdr:row>
      <xdr:rowOff>21960</xdr:rowOff>
    </xdr:from>
    <xdr:to>
      <xdr:col>4</xdr:col>
      <xdr:colOff>1495080</xdr:colOff>
      <xdr:row>6</xdr:row>
      <xdr:rowOff>173880</xdr:rowOff>
    </xdr:to>
    <xdr:pic>
      <xdr:nvPicPr>
        <xdr:cNvPr id="2" name="Graphic 39" descr=""/>
        <xdr:cNvPicPr/>
      </xdr:nvPicPr>
      <xdr:blipFill>
        <a:blip r:embed="rId3"/>
        <a:stretch/>
      </xdr:blipFill>
      <xdr:spPr>
        <a:xfrm>
          <a:off x="3400560" y="1222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34200</xdr:colOff>
      <xdr:row>6</xdr:row>
      <xdr:rowOff>18000</xdr:rowOff>
    </xdr:from>
    <xdr:to>
      <xdr:col>7</xdr:col>
      <xdr:colOff>243360</xdr:colOff>
      <xdr:row>6</xdr:row>
      <xdr:rowOff>169920</xdr:rowOff>
    </xdr:to>
    <xdr:pic>
      <xdr:nvPicPr>
        <xdr:cNvPr id="3" name="Graphic 43" descr=""/>
        <xdr:cNvPicPr/>
      </xdr:nvPicPr>
      <xdr:blipFill>
        <a:blip r:embed="rId4"/>
        <a:stretch/>
      </xdr:blipFill>
      <xdr:spPr>
        <a:xfrm>
          <a:off x="4339440" y="1218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8</xdr:row>
      <xdr:rowOff>16920</xdr:rowOff>
    </xdr:from>
    <xdr:to>
      <xdr:col>4</xdr:col>
      <xdr:colOff>1489320</xdr:colOff>
      <xdr:row>8</xdr:row>
      <xdr:rowOff>168840</xdr:rowOff>
    </xdr:to>
    <xdr:pic>
      <xdr:nvPicPr>
        <xdr:cNvPr id="4" name="Graphic 71" descr=""/>
        <xdr:cNvPicPr/>
      </xdr:nvPicPr>
      <xdr:blipFill>
        <a:blip r:embed="rId5"/>
        <a:stretch/>
      </xdr:blipFill>
      <xdr:spPr>
        <a:xfrm>
          <a:off x="3394800" y="1598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8</xdr:row>
      <xdr:rowOff>21240</xdr:rowOff>
    </xdr:from>
    <xdr:to>
      <xdr:col>7</xdr:col>
      <xdr:colOff>242280</xdr:colOff>
      <xdr:row>8</xdr:row>
      <xdr:rowOff>173160</xdr:rowOff>
    </xdr:to>
    <xdr:pic>
      <xdr:nvPicPr>
        <xdr:cNvPr id="5" name="Graphic 75" descr=""/>
        <xdr:cNvPicPr/>
      </xdr:nvPicPr>
      <xdr:blipFill>
        <a:blip r:embed="rId6"/>
        <a:stretch/>
      </xdr:blipFill>
      <xdr:spPr>
        <a:xfrm>
          <a:off x="4338360" y="1602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9</xdr:row>
      <xdr:rowOff>21240</xdr:rowOff>
    </xdr:from>
    <xdr:to>
      <xdr:col>4</xdr:col>
      <xdr:colOff>1490040</xdr:colOff>
      <xdr:row>9</xdr:row>
      <xdr:rowOff>173160</xdr:rowOff>
    </xdr:to>
    <xdr:pic>
      <xdr:nvPicPr>
        <xdr:cNvPr id="6" name="Graphic 79" descr=""/>
        <xdr:cNvPicPr/>
      </xdr:nvPicPr>
      <xdr:blipFill>
        <a:blip r:embed="rId7"/>
        <a:stretch/>
      </xdr:blipFill>
      <xdr:spPr>
        <a:xfrm>
          <a:off x="3395520" y="179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9</xdr:row>
      <xdr:rowOff>21240</xdr:rowOff>
    </xdr:from>
    <xdr:to>
      <xdr:col>7</xdr:col>
      <xdr:colOff>242280</xdr:colOff>
      <xdr:row>9</xdr:row>
      <xdr:rowOff>173160</xdr:rowOff>
    </xdr:to>
    <xdr:pic>
      <xdr:nvPicPr>
        <xdr:cNvPr id="7" name="Graphic 83" descr=""/>
        <xdr:cNvPicPr/>
      </xdr:nvPicPr>
      <xdr:blipFill>
        <a:blip r:embed="rId8"/>
        <a:stretch/>
      </xdr:blipFill>
      <xdr:spPr>
        <a:xfrm>
          <a:off x="4338360" y="179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10</xdr:row>
      <xdr:rowOff>21240</xdr:rowOff>
    </xdr:from>
    <xdr:to>
      <xdr:col>4</xdr:col>
      <xdr:colOff>1489320</xdr:colOff>
      <xdr:row>10</xdr:row>
      <xdr:rowOff>173160</xdr:rowOff>
    </xdr:to>
    <xdr:pic>
      <xdr:nvPicPr>
        <xdr:cNvPr id="8" name="Graphic 115" descr=""/>
        <xdr:cNvPicPr/>
      </xdr:nvPicPr>
      <xdr:blipFill>
        <a:blip r:embed="rId9"/>
        <a:stretch/>
      </xdr:blipFill>
      <xdr:spPr>
        <a:xfrm>
          <a:off x="3394800" y="198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10</xdr:row>
      <xdr:rowOff>21240</xdr:rowOff>
    </xdr:from>
    <xdr:to>
      <xdr:col>7</xdr:col>
      <xdr:colOff>242280</xdr:colOff>
      <xdr:row>10</xdr:row>
      <xdr:rowOff>173160</xdr:rowOff>
    </xdr:to>
    <xdr:pic>
      <xdr:nvPicPr>
        <xdr:cNvPr id="9" name="Graphic 116" descr=""/>
        <xdr:cNvPicPr/>
      </xdr:nvPicPr>
      <xdr:blipFill>
        <a:blip r:embed="rId10"/>
        <a:stretch/>
      </xdr:blipFill>
      <xdr:spPr>
        <a:xfrm>
          <a:off x="4338360" y="198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11</xdr:row>
      <xdr:rowOff>23400</xdr:rowOff>
    </xdr:from>
    <xdr:to>
      <xdr:col>4</xdr:col>
      <xdr:colOff>1489680</xdr:colOff>
      <xdr:row>11</xdr:row>
      <xdr:rowOff>175320</xdr:rowOff>
    </xdr:to>
    <xdr:pic>
      <xdr:nvPicPr>
        <xdr:cNvPr id="10" name="Graphic 117" descr=""/>
        <xdr:cNvPicPr/>
      </xdr:nvPicPr>
      <xdr:blipFill>
        <a:blip r:embed="rId11"/>
        <a:stretch/>
      </xdr:blipFill>
      <xdr:spPr>
        <a:xfrm>
          <a:off x="3395160" y="2176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11</xdr:row>
      <xdr:rowOff>23400</xdr:rowOff>
    </xdr:from>
    <xdr:to>
      <xdr:col>7</xdr:col>
      <xdr:colOff>239760</xdr:colOff>
      <xdr:row>11</xdr:row>
      <xdr:rowOff>175320</xdr:rowOff>
    </xdr:to>
    <xdr:pic>
      <xdr:nvPicPr>
        <xdr:cNvPr id="11" name="Graphic 118" descr=""/>
        <xdr:cNvPicPr/>
      </xdr:nvPicPr>
      <xdr:blipFill>
        <a:blip r:embed="rId12"/>
        <a:stretch/>
      </xdr:blipFill>
      <xdr:spPr>
        <a:xfrm>
          <a:off x="4335840" y="2176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12</xdr:row>
      <xdr:rowOff>23400</xdr:rowOff>
    </xdr:from>
    <xdr:to>
      <xdr:col>4</xdr:col>
      <xdr:colOff>1490040</xdr:colOff>
      <xdr:row>12</xdr:row>
      <xdr:rowOff>175320</xdr:rowOff>
    </xdr:to>
    <xdr:pic>
      <xdr:nvPicPr>
        <xdr:cNvPr id="12" name="Graphic 119" descr=""/>
        <xdr:cNvPicPr/>
      </xdr:nvPicPr>
      <xdr:blipFill>
        <a:blip r:embed="rId13"/>
        <a:stretch/>
      </xdr:blipFill>
      <xdr:spPr>
        <a:xfrm>
          <a:off x="3395520" y="2366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12</xdr:row>
      <xdr:rowOff>23400</xdr:rowOff>
    </xdr:from>
    <xdr:to>
      <xdr:col>7</xdr:col>
      <xdr:colOff>239760</xdr:colOff>
      <xdr:row>12</xdr:row>
      <xdr:rowOff>175320</xdr:rowOff>
    </xdr:to>
    <xdr:pic>
      <xdr:nvPicPr>
        <xdr:cNvPr id="13" name="Graphic 120" descr=""/>
        <xdr:cNvPicPr/>
      </xdr:nvPicPr>
      <xdr:blipFill>
        <a:blip r:embed="rId14"/>
        <a:stretch/>
      </xdr:blipFill>
      <xdr:spPr>
        <a:xfrm>
          <a:off x="4335840" y="2366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13</xdr:row>
      <xdr:rowOff>23760</xdr:rowOff>
    </xdr:from>
    <xdr:to>
      <xdr:col>4</xdr:col>
      <xdr:colOff>1490040</xdr:colOff>
      <xdr:row>13</xdr:row>
      <xdr:rowOff>175680</xdr:rowOff>
    </xdr:to>
    <xdr:pic>
      <xdr:nvPicPr>
        <xdr:cNvPr id="14" name="Graphic 121" descr=""/>
        <xdr:cNvPicPr/>
      </xdr:nvPicPr>
      <xdr:blipFill>
        <a:blip r:embed="rId15"/>
        <a:stretch/>
      </xdr:blipFill>
      <xdr:spPr>
        <a:xfrm>
          <a:off x="3395520" y="2557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13</xdr:row>
      <xdr:rowOff>23760</xdr:rowOff>
    </xdr:from>
    <xdr:to>
      <xdr:col>7</xdr:col>
      <xdr:colOff>239760</xdr:colOff>
      <xdr:row>13</xdr:row>
      <xdr:rowOff>175680</xdr:rowOff>
    </xdr:to>
    <xdr:pic>
      <xdr:nvPicPr>
        <xdr:cNvPr id="15" name="Graphic 122" descr=""/>
        <xdr:cNvPicPr/>
      </xdr:nvPicPr>
      <xdr:blipFill>
        <a:blip r:embed="rId16"/>
        <a:stretch/>
      </xdr:blipFill>
      <xdr:spPr>
        <a:xfrm>
          <a:off x="4335840" y="2557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14</xdr:row>
      <xdr:rowOff>23760</xdr:rowOff>
    </xdr:from>
    <xdr:to>
      <xdr:col>4</xdr:col>
      <xdr:colOff>1490040</xdr:colOff>
      <xdr:row>14</xdr:row>
      <xdr:rowOff>175680</xdr:rowOff>
    </xdr:to>
    <xdr:pic>
      <xdr:nvPicPr>
        <xdr:cNvPr id="16" name="Graphic 123" descr=""/>
        <xdr:cNvPicPr/>
      </xdr:nvPicPr>
      <xdr:blipFill>
        <a:blip r:embed="rId17"/>
        <a:stretch/>
      </xdr:blipFill>
      <xdr:spPr>
        <a:xfrm>
          <a:off x="3395520" y="2747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14</xdr:row>
      <xdr:rowOff>23760</xdr:rowOff>
    </xdr:from>
    <xdr:to>
      <xdr:col>7</xdr:col>
      <xdr:colOff>239760</xdr:colOff>
      <xdr:row>14</xdr:row>
      <xdr:rowOff>175680</xdr:rowOff>
    </xdr:to>
    <xdr:pic>
      <xdr:nvPicPr>
        <xdr:cNvPr id="17" name="Graphic 124" descr=""/>
        <xdr:cNvPicPr/>
      </xdr:nvPicPr>
      <xdr:blipFill>
        <a:blip r:embed="rId18"/>
        <a:stretch/>
      </xdr:blipFill>
      <xdr:spPr>
        <a:xfrm>
          <a:off x="4335840" y="2747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15</xdr:row>
      <xdr:rowOff>23760</xdr:rowOff>
    </xdr:from>
    <xdr:to>
      <xdr:col>4</xdr:col>
      <xdr:colOff>1489680</xdr:colOff>
      <xdr:row>15</xdr:row>
      <xdr:rowOff>175680</xdr:rowOff>
    </xdr:to>
    <xdr:pic>
      <xdr:nvPicPr>
        <xdr:cNvPr id="18" name="Graphic 125" descr=""/>
        <xdr:cNvPicPr/>
      </xdr:nvPicPr>
      <xdr:blipFill>
        <a:blip r:embed="rId19"/>
        <a:stretch/>
      </xdr:blipFill>
      <xdr:spPr>
        <a:xfrm>
          <a:off x="3395160" y="2938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15</xdr:row>
      <xdr:rowOff>23760</xdr:rowOff>
    </xdr:from>
    <xdr:to>
      <xdr:col>7</xdr:col>
      <xdr:colOff>239760</xdr:colOff>
      <xdr:row>15</xdr:row>
      <xdr:rowOff>175680</xdr:rowOff>
    </xdr:to>
    <xdr:pic>
      <xdr:nvPicPr>
        <xdr:cNvPr id="19" name="Graphic 126" descr=""/>
        <xdr:cNvPicPr/>
      </xdr:nvPicPr>
      <xdr:blipFill>
        <a:blip r:embed="rId20"/>
        <a:stretch/>
      </xdr:blipFill>
      <xdr:spPr>
        <a:xfrm>
          <a:off x="4335840" y="2938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16</xdr:row>
      <xdr:rowOff>24120</xdr:rowOff>
    </xdr:from>
    <xdr:to>
      <xdr:col>4</xdr:col>
      <xdr:colOff>1489680</xdr:colOff>
      <xdr:row>16</xdr:row>
      <xdr:rowOff>176040</xdr:rowOff>
    </xdr:to>
    <xdr:pic>
      <xdr:nvPicPr>
        <xdr:cNvPr id="20" name="Graphic 127" descr=""/>
        <xdr:cNvPicPr/>
      </xdr:nvPicPr>
      <xdr:blipFill>
        <a:blip r:embed="rId21"/>
        <a:stretch/>
      </xdr:blipFill>
      <xdr:spPr>
        <a:xfrm>
          <a:off x="3395160" y="3129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16</xdr:row>
      <xdr:rowOff>24120</xdr:rowOff>
    </xdr:from>
    <xdr:to>
      <xdr:col>7</xdr:col>
      <xdr:colOff>239760</xdr:colOff>
      <xdr:row>16</xdr:row>
      <xdr:rowOff>176040</xdr:rowOff>
    </xdr:to>
    <xdr:pic>
      <xdr:nvPicPr>
        <xdr:cNvPr id="21" name="Graphic 128" descr=""/>
        <xdr:cNvPicPr/>
      </xdr:nvPicPr>
      <xdr:blipFill>
        <a:blip r:embed="rId22"/>
        <a:stretch/>
      </xdr:blipFill>
      <xdr:spPr>
        <a:xfrm>
          <a:off x="4335840" y="3129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17</xdr:row>
      <xdr:rowOff>24120</xdr:rowOff>
    </xdr:from>
    <xdr:to>
      <xdr:col>4</xdr:col>
      <xdr:colOff>1489680</xdr:colOff>
      <xdr:row>17</xdr:row>
      <xdr:rowOff>176040</xdr:rowOff>
    </xdr:to>
    <xdr:pic>
      <xdr:nvPicPr>
        <xdr:cNvPr id="22" name="Graphic 129" descr=""/>
        <xdr:cNvPicPr/>
      </xdr:nvPicPr>
      <xdr:blipFill>
        <a:blip r:embed="rId23"/>
        <a:stretch/>
      </xdr:blipFill>
      <xdr:spPr>
        <a:xfrm>
          <a:off x="3395160" y="3319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17</xdr:row>
      <xdr:rowOff>24120</xdr:rowOff>
    </xdr:from>
    <xdr:to>
      <xdr:col>7</xdr:col>
      <xdr:colOff>239760</xdr:colOff>
      <xdr:row>17</xdr:row>
      <xdr:rowOff>176040</xdr:rowOff>
    </xdr:to>
    <xdr:pic>
      <xdr:nvPicPr>
        <xdr:cNvPr id="23" name="Graphic 130" descr=""/>
        <xdr:cNvPicPr/>
      </xdr:nvPicPr>
      <xdr:blipFill>
        <a:blip r:embed="rId24"/>
        <a:stretch/>
      </xdr:blipFill>
      <xdr:spPr>
        <a:xfrm>
          <a:off x="4335840" y="3319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1303560</xdr:colOff>
      <xdr:row>18</xdr:row>
      <xdr:rowOff>24120</xdr:rowOff>
    </xdr:from>
    <xdr:to>
      <xdr:col>4</xdr:col>
      <xdr:colOff>1455480</xdr:colOff>
      <xdr:row>18</xdr:row>
      <xdr:rowOff>176040</xdr:rowOff>
    </xdr:to>
    <xdr:pic>
      <xdr:nvPicPr>
        <xdr:cNvPr id="24" name="Graphic 131" descr=""/>
        <xdr:cNvPicPr/>
      </xdr:nvPicPr>
      <xdr:blipFill>
        <a:blip r:embed="rId25"/>
        <a:stretch/>
      </xdr:blipFill>
      <xdr:spPr>
        <a:xfrm>
          <a:off x="3418200" y="351036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18</xdr:row>
      <xdr:rowOff>24120</xdr:rowOff>
    </xdr:from>
    <xdr:to>
      <xdr:col>7</xdr:col>
      <xdr:colOff>239760</xdr:colOff>
      <xdr:row>18</xdr:row>
      <xdr:rowOff>176040</xdr:rowOff>
    </xdr:to>
    <xdr:pic>
      <xdr:nvPicPr>
        <xdr:cNvPr id="25" name="Graphic 132" descr=""/>
        <xdr:cNvPicPr/>
      </xdr:nvPicPr>
      <xdr:blipFill>
        <a:blip r:embed="rId26"/>
        <a:stretch/>
      </xdr:blipFill>
      <xdr:spPr>
        <a:xfrm>
          <a:off x="4335840" y="3510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19</xdr:row>
      <xdr:rowOff>24120</xdr:rowOff>
    </xdr:from>
    <xdr:to>
      <xdr:col>4</xdr:col>
      <xdr:colOff>1489680</xdr:colOff>
      <xdr:row>19</xdr:row>
      <xdr:rowOff>176040</xdr:rowOff>
    </xdr:to>
    <xdr:pic>
      <xdr:nvPicPr>
        <xdr:cNvPr id="26" name="Graphic 133" descr=""/>
        <xdr:cNvPicPr/>
      </xdr:nvPicPr>
      <xdr:blipFill>
        <a:blip r:embed="rId27"/>
        <a:stretch/>
      </xdr:blipFill>
      <xdr:spPr>
        <a:xfrm>
          <a:off x="3395160" y="3700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19</xdr:row>
      <xdr:rowOff>24120</xdr:rowOff>
    </xdr:from>
    <xdr:to>
      <xdr:col>7</xdr:col>
      <xdr:colOff>239760</xdr:colOff>
      <xdr:row>19</xdr:row>
      <xdr:rowOff>176040</xdr:rowOff>
    </xdr:to>
    <xdr:pic>
      <xdr:nvPicPr>
        <xdr:cNvPr id="27" name="Graphic 134" descr=""/>
        <xdr:cNvPicPr/>
      </xdr:nvPicPr>
      <xdr:blipFill>
        <a:blip r:embed="rId28"/>
        <a:stretch/>
      </xdr:blipFill>
      <xdr:spPr>
        <a:xfrm>
          <a:off x="4335840" y="3700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20</xdr:row>
      <xdr:rowOff>24480</xdr:rowOff>
    </xdr:from>
    <xdr:to>
      <xdr:col>4</xdr:col>
      <xdr:colOff>1489680</xdr:colOff>
      <xdr:row>20</xdr:row>
      <xdr:rowOff>176400</xdr:rowOff>
    </xdr:to>
    <xdr:pic>
      <xdr:nvPicPr>
        <xdr:cNvPr id="28" name="Graphic 135" descr=""/>
        <xdr:cNvPicPr/>
      </xdr:nvPicPr>
      <xdr:blipFill>
        <a:blip r:embed="rId29"/>
        <a:stretch/>
      </xdr:blipFill>
      <xdr:spPr>
        <a:xfrm>
          <a:off x="3395160" y="3891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20</xdr:row>
      <xdr:rowOff>24480</xdr:rowOff>
    </xdr:from>
    <xdr:to>
      <xdr:col>7</xdr:col>
      <xdr:colOff>239760</xdr:colOff>
      <xdr:row>20</xdr:row>
      <xdr:rowOff>176400</xdr:rowOff>
    </xdr:to>
    <xdr:pic>
      <xdr:nvPicPr>
        <xdr:cNvPr id="29" name="Graphic 136" descr=""/>
        <xdr:cNvPicPr/>
      </xdr:nvPicPr>
      <xdr:blipFill>
        <a:blip r:embed="rId30"/>
        <a:stretch/>
      </xdr:blipFill>
      <xdr:spPr>
        <a:xfrm>
          <a:off x="4335840" y="3891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21</xdr:row>
      <xdr:rowOff>24480</xdr:rowOff>
    </xdr:from>
    <xdr:to>
      <xdr:col>4</xdr:col>
      <xdr:colOff>1489680</xdr:colOff>
      <xdr:row>21</xdr:row>
      <xdr:rowOff>176400</xdr:rowOff>
    </xdr:to>
    <xdr:pic>
      <xdr:nvPicPr>
        <xdr:cNvPr id="30" name="Graphic 137" descr=""/>
        <xdr:cNvPicPr/>
      </xdr:nvPicPr>
      <xdr:blipFill>
        <a:blip r:embed="rId31"/>
        <a:stretch/>
      </xdr:blipFill>
      <xdr:spPr>
        <a:xfrm>
          <a:off x="3395160" y="4082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21</xdr:row>
      <xdr:rowOff>24480</xdr:rowOff>
    </xdr:from>
    <xdr:to>
      <xdr:col>7</xdr:col>
      <xdr:colOff>239760</xdr:colOff>
      <xdr:row>21</xdr:row>
      <xdr:rowOff>176400</xdr:rowOff>
    </xdr:to>
    <xdr:pic>
      <xdr:nvPicPr>
        <xdr:cNvPr id="31" name="Graphic 138" descr=""/>
        <xdr:cNvPicPr/>
      </xdr:nvPicPr>
      <xdr:blipFill>
        <a:blip r:embed="rId32"/>
        <a:stretch/>
      </xdr:blipFill>
      <xdr:spPr>
        <a:xfrm>
          <a:off x="4335840" y="4082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33840</xdr:colOff>
      <xdr:row>22</xdr:row>
      <xdr:rowOff>27000</xdr:rowOff>
    </xdr:from>
    <xdr:to>
      <xdr:col>7</xdr:col>
      <xdr:colOff>243000</xdr:colOff>
      <xdr:row>22</xdr:row>
      <xdr:rowOff>178920</xdr:rowOff>
    </xdr:to>
    <xdr:pic>
      <xdr:nvPicPr>
        <xdr:cNvPr id="32" name="Graphic 139" descr=""/>
        <xdr:cNvPicPr/>
      </xdr:nvPicPr>
      <xdr:blipFill>
        <a:blip r:embed="rId33"/>
        <a:stretch/>
      </xdr:blipFill>
      <xdr:spPr>
        <a:xfrm>
          <a:off x="4339080" y="42750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1283760</xdr:colOff>
      <xdr:row>22</xdr:row>
      <xdr:rowOff>21960</xdr:rowOff>
    </xdr:from>
    <xdr:to>
      <xdr:col>4</xdr:col>
      <xdr:colOff>1491840</xdr:colOff>
      <xdr:row>22</xdr:row>
      <xdr:rowOff>173880</xdr:rowOff>
    </xdr:to>
    <xdr:pic>
      <xdr:nvPicPr>
        <xdr:cNvPr id="33" name="Graphic 140" descr=""/>
        <xdr:cNvPicPr/>
      </xdr:nvPicPr>
      <xdr:blipFill>
        <a:blip r:embed="rId34"/>
        <a:stretch/>
      </xdr:blipFill>
      <xdr:spPr>
        <a:xfrm>
          <a:off x="3398400" y="426996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23</xdr:row>
      <xdr:rowOff>15480</xdr:rowOff>
    </xdr:from>
    <xdr:to>
      <xdr:col>7</xdr:col>
      <xdr:colOff>236880</xdr:colOff>
      <xdr:row>23</xdr:row>
      <xdr:rowOff>167400</xdr:rowOff>
    </xdr:to>
    <xdr:pic>
      <xdr:nvPicPr>
        <xdr:cNvPr id="34" name="Graphic 141" descr=""/>
        <xdr:cNvPicPr/>
      </xdr:nvPicPr>
      <xdr:blipFill>
        <a:blip r:embed="rId35"/>
        <a:stretch/>
      </xdr:blipFill>
      <xdr:spPr>
        <a:xfrm>
          <a:off x="4332960" y="4454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1285560</xdr:colOff>
      <xdr:row>24</xdr:row>
      <xdr:rowOff>20880</xdr:rowOff>
    </xdr:from>
    <xdr:to>
      <xdr:col>4</xdr:col>
      <xdr:colOff>1493640</xdr:colOff>
      <xdr:row>24</xdr:row>
      <xdr:rowOff>172800</xdr:rowOff>
    </xdr:to>
    <xdr:pic>
      <xdr:nvPicPr>
        <xdr:cNvPr id="35" name="Graphic 142" descr=""/>
        <xdr:cNvPicPr/>
      </xdr:nvPicPr>
      <xdr:blipFill>
        <a:blip r:embed="rId36"/>
        <a:stretch/>
      </xdr:blipFill>
      <xdr:spPr>
        <a:xfrm>
          <a:off x="3400200" y="465012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1284120</xdr:colOff>
      <xdr:row>23</xdr:row>
      <xdr:rowOff>19800</xdr:rowOff>
    </xdr:from>
    <xdr:to>
      <xdr:col>4</xdr:col>
      <xdr:colOff>1493280</xdr:colOff>
      <xdr:row>23</xdr:row>
      <xdr:rowOff>171720</xdr:rowOff>
    </xdr:to>
    <xdr:pic>
      <xdr:nvPicPr>
        <xdr:cNvPr id="36" name="Graphic 143" descr=""/>
        <xdr:cNvPicPr/>
      </xdr:nvPicPr>
      <xdr:blipFill>
        <a:blip r:embed="rId37"/>
        <a:stretch/>
      </xdr:blipFill>
      <xdr:spPr>
        <a:xfrm>
          <a:off x="3398760" y="4458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24</xdr:row>
      <xdr:rowOff>15840</xdr:rowOff>
    </xdr:from>
    <xdr:to>
      <xdr:col>7</xdr:col>
      <xdr:colOff>236880</xdr:colOff>
      <xdr:row>24</xdr:row>
      <xdr:rowOff>167760</xdr:rowOff>
    </xdr:to>
    <xdr:pic>
      <xdr:nvPicPr>
        <xdr:cNvPr id="37" name="Graphic 144" descr=""/>
        <xdr:cNvPicPr/>
      </xdr:nvPicPr>
      <xdr:blipFill>
        <a:blip r:embed="rId38"/>
        <a:stretch/>
      </xdr:blipFill>
      <xdr:spPr>
        <a:xfrm>
          <a:off x="4332960" y="4645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1285560</xdr:colOff>
      <xdr:row>25</xdr:row>
      <xdr:rowOff>23760</xdr:rowOff>
    </xdr:from>
    <xdr:to>
      <xdr:col>4</xdr:col>
      <xdr:colOff>1493640</xdr:colOff>
      <xdr:row>25</xdr:row>
      <xdr:rowOff>175680</xdr:rowOff>
    </xdr:to>
    <xdr:pic>
      <xdr:nvPicPr>
        <xdr:cNvPr id="38" name="Graphic 145" descr=""/>
        <xdr:cNvPicPr/>
      </xdr:nvPicPr>
      <xdr:blipFill>
        <a:blip r:embed="rId39"/>
        <a:stretch/>
      </xdr:blipFill>
      <xdr:spPr>
        <a:xfrm>
          <a:off x="3400200" y="484344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25</xdr:row>
      <xdr:rowOff>13680</xdr:rowOff>
    </xdr:from>
    <xdr:to>
      <xdr:col>7</xdr:col>
      <xdr:colOff>236880</xdr:colOff>
      <xdr:row>25</xdr:row>
      <xdr:rowOff>165600</xdr:rowOff>
    </xdr:to>
    <xdr:pic>
      <xdr:nvPicPr>
        <xdr:cNvPr id="39" name="Graphic 146" descr=""/>
        <xdr:cNvPicPr/>
      </xdr:nvPicPr>
      <xdr:blipFill>
        <a:blip r:embed="rId40"/>
        <a:stretch/>
      </xdr:blipFill>
      <xdr:spPr>
        <a:xfrm>
          <a:off x="4332960" y="4833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1277280</xdr:colOff>
      <xdr:row>29</xdr:row>
      <xdr:rowOff>14400</xdr:rowOff>
    </xdr:from>
    <xdr:to>
      <xdr:col>4</xdr:col>
      <xdr:colOff>1486440</xdr:colOff>
      <xdr:row>29</xdr:row>
      <xdr:rowOff>166320</xdr:rowOff>
    </xdr:to>
    <xdr:pic>
      <xdr:nvPicPr>
        <xdr:cNvPr id="40" name="Graphic 147" descr=""/>
        <xdr:cNvPicPr/>
      </xdr:nvPicPr>
      <xdr:blipFill>
        <a:blip r:embed="rId41"/>
        <a:stretch/>
      </xdr:blipFill>
      <xdr:spPr>
        <a:xfrm>
          <a:off x="3391920" y="5596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27</xdr:row>
      <xdr:rowOff>18000</xdr:rowOff>
    </xdr:from>
    <xdr:to>
      <xdr:col>7</xdr:col>
      <xdr:colOff>236880</xdr:colOff>
      <xdr:row>27</xdr:row>
      <xdr:rowOff>169920</xdr:rowOff>
    </xdr:to>
    <xdr:pic>
      <xdr:nvPicPr>
        <xdr:cNvPr id="41" name="Graphic 148" descr=""/>
        <xdr:cNvPicPr/>
      </xdr:nvPicPr>
      <xdr:blipFill>
        <a:blip r:embed="rId42"/>
        <a:stretch/>
      </xdr:blipFill>
      <xdr:spPr>
        <a:xfrm>
          <a:off x="4332960" y="5218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28</xdr:row>
      <xdr:rowOff>19080</xdr:rowOff>
    </xdr:from>
    <xdr:to>
      <xdr:col>7</xdr:col>
      <xdr:colOff>236880</xdr:colOff>
      <xdr:row>28</xdr:row>
      <xdr:rowOff>171000</xdr:rowOff>
    </xdr:to>
    <xdr:pic>
      <xdr:nvPicPr>
        <xdr:cNvPr id="42" name="Graphic 149" descr=""/>
        <xdr:cNvPicPr/>
      </xdr:nvPicPr>
      <xdr:blipFill>
        <a:blip r:embed="rId43"/>
        <a:stretch/>
      </xdr:blipFill>
      <xdr:spPr>
        <a:xfrm>
          <a:off x="4332960" y="5410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26</xdr:row>
      <xdr:rowOff>19080</xdr:rowOff>
    </xdr:from>
    <xdr:to>
      <xdr:col>4</xdr:col>
      <xdr:colOff>1490040</xdr:colOff>
      <xdr:row>26</xdr:row>
      <xdr:rowOff>171000</xdr:rowOff>
    </xdr:to>
    <xdr:pic>
      <xdr:nvPicPr>
        <xdr:cNvPr id="43" name="Graphic 150" descr=""/>
        <xdr:cNvPicPr/>
      </xdr:nvPicPr>
      <xdr:blipFill>
        <a:blip r:embed="rId44"/>
        <a:stretch/>
      </xdr:blipFill>
      <xdr:spPr>
        <a:xfrm>
          <a:off x="3395520" y="5029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25920</xdr:colOff>
      <xdr:row>29</xdr:row>
      <xdr:rowOff>14400</xdr:rowOff>
    </xdr:from>
    <xdr:to>
      <xdr:col>7</xdr:col>
      <xdr:colOff>235080</xdr:colOff>
      <xdr:row>29</xdr:row>
      <xdr:rowOff>166320</xdr:rowOff>
    </xdr:to>
    <xdr:pic>
      <xdr:nvPicPr>
        <xdr:cNvPr id="44" name="Graphic 151" descr=""/>
        <xdr:cNvPicPr/>
      </xdr:nvPicPr>
      <xdr:blipFill>
        <a:blip r:embed="rId45"/>
        <a:stretch/>
      </xdr:blipFill>
      <xdr:spPr>
        <a:xfrm>
          <a:off x="4331160" y="5596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27</xdr:row>
      <xdr:rowOff>18000</xdr:rowOff>
    </xdr:from>
    <xdr:to>
      <xdr:col>4</xdr:col>
      <xdr:colOff>1490040</xdr:colOff>
      <xdr:row>27</xdr:row>
      <xdr:rowOff>169920</xdr:rowOff>
    </xdr:to>
    <xdr:pic>
      <xdr:nvPicPr>
        <xdr:cNvPr id="45" name="Graphic 152" descr=""/>
        <xdr:cNvPicPr/>
      </xdr:nvPicPr>
      <xdr:blipFill>
        <a:blip r:embed="rId46"/>
        <a:stretch/>
      </xdr:blipFill>
      <xdr:spPr>
        <a:xfrm>
          <a:off x="3395520" y="5218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28</xdr:row>
      <xdr:rowOff>19080</xdr:rowOff>
    </xdr:from>
    <xdr:to>
      <xdr:col>4</xdr:col>
      <xdr:colOff>1490760</xdr:colOff>
      <xdr:row>28</xdr:row>
      <xdr:rowOff>171000</xdr:rowOff>
    </xdr:to>
    <xdr:pic>
      <xdr:nvPicPr>
        <xdr:cNvPr id="46" name="Graphic 153" descr=""/>
        <xdr:cNvPicPr/>
      </xdr:nvPicPr>
      <xdr:blipFill>
        <a:blip r:embed="rId47"/>
        <a:stretch/>
      </xdr:blipFill>
      <xdr:spPr>
        <a:xfrm>
          <a:off x="3396240" y="5410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26</xdr:row>
      <xdr:rowOff>19080</xdr:rowOff>
    </xdr:from>
    <xdr:to>
      <xdr:col>7</xdr:col>
      <xdr:colOff>243720</xdr:colOff>
      <xdr:row>26</xdr:row>
      <xdr:rowOff>171000</xdr:rowOff>
    </xdr:to>
    <xdr:pic>
      <xdr:nvPicPr>
        <xdr:cNvPr id="47" name="Graphic 154" descr=""/>
        <xdr:cNvPicPr/>
      </xdr:nvPicPr>
      <xdr:blipFill>
        <a:blip r:embed="rId48"/>
        <a:stretch/>
      </xdr:blipFill>
      <xdr:spPr>
        <a:xfrm>
          <a:off x="4339800" y="5029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31</xdr:row>
      <xdr:rowOff>9360</xdr:rowOff>
    </xdr:from>
    <xdr:to>
      <xdr:col>7</xdr:col>
      <xdr:colOff>236880</xdr:colOff>
      <xdr:row>31</xdr:row>
      <xdr:rowOff>161280</xdr:rowOff>
    </xdr:to>
    <xdr:pic>
      <xdr:nvPicPr>
        <xdr:cNvPr id="48" name="Graphic 155" descr=""/>
        <xdr:cNvPicPr/>
      </xdr:nvPicPr>
      <xdr:blipFill>
        <a:blip r:embed="rId49"/>
        <a:stretch/>
      </xdr:blipFill>
      <xdr:spPr>
        <a:xfrm>
          <a:off x="4332960" y="5972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32</xdr:row>
      <xdr:rowOff>21600</xdr:rowOff>
    </xdr:from>
    <xdr:to>
      <xdr:col>4</xdr:col>
      <xdr:colOff>1490760</xdr:colOff>
      <xdr:row>32</xdr:row>
      <xdr:rowOff>173520</xdr:rowOff>
    </xdr:to>
    <xdr:pic>
      <xdr:nvPicPr>
        <xdr:cNvPr id="49" name="Graphic 156" descr=""/>
        <xdr:cNvPicPr/>
      </xdr:nvPicPr>
      <xdr:blipFill>
        <a:blip r:embed="rId50"/>
        <a:stretch/>
      </xdr:blipFill>
      <xdr:spPr>
        <a:xfrm>
          <a:off x="3396240" y="6174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29520</xdr:colOff>
      <xdr:row>33</xdr:row>
      <xdr:rowOff>16560</xdr:rowOff>
    </xdr:from>
    <xdr:to>
      <xdr:col>7</xdr:col>
      <xdr:colOff>238680</xdr:colOff>
      <xdr:row>33</xdr:row>
      <xdr:rowOff>168480</xdr:rowOff>
    </xdr:to>
    <xdr:pic>
      <xdr:nvPicPr>
        <xdr:cNvPr id="50" name="Graphic 157" descr=""/>
        <xdr:cNvPicPr/>
      </xdr:nvPicPr>
      <xdr:blipFill>
        <a:blip r:embed="rId51"/>
        <a:stretch/>
      </xdr:blipFill>
      <xdr:spPr>
        <a:xfrm>
          <a:off x="4334760" y="6360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30</xdr:row>
      <xdr:rowOff>19440</xdr:rowOff>
    </xdr:from>
    <xdr:to>
      <xdr:col>4</xdr:col>
      <xdr:colOff>1490760</xdr:colOff>
      <xdr:row>30</xdr:row>
      <xdr:rowOff>171360</xdr:rowOff>
    </xdr:to>
    <xdr:pic>
      <xdr:nvPicPr>
        <xdr:cNvPr id="51" name="Graphic 158" descr=""/>
        <xdr:cNvPicPr/>
      </xdr:nvPicPr>
      <xdr:blipFill>
        <a:blip r:embed="rId52"/>
        <a:stretch/>
      </xdr:blipFill>
      <xdr:spPr>
        <a:xfrm>
          <a:off x="3396240" y="5791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33</xdr:row>
      <xdr:rowOff>21600</xdr:rowOff>
    </xdr:from>
    <xdr:to>
      <xdr:col>4</xdr:col>
      <xdr:colOff>1490040</xdr:colOff>
      <xdr:row>33</xdr:row>
      <xdr:rowOff>173520</xdr:rowOff>
    </xdr:to>
    <xdr:pic>
      <xdr:nvPicPr>
        <xdr:cNvPr id="52" name="Graphic 159" descr=""/>
        <xdr:cNvPicPr/>
      </xdr:nvPicPr>
      <xdr:blipFill>
        <a:blip r:embed="rId53"/>
        <a:stretch/>
      </xdr:blipFill>
      <xdr:spPr>
        <a:xfrm>
          <a:off x="3395520" y="6365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30</xdr:row>
      <xdr:rowOff>14400</xdr:rowOff>
    </xdr:from>
    <xdr:to>
      <xdr:col>7</xdr:col>
      <xdr:colOff>236880</xdr:colOff>
      <xdr:row>30</xdr:row>
      <xdr:rowOff>166320</xdr:rowOff>
    </xdr:to>
    <xdr:pic>
      <xdr:nvPicPr>
        <xdr:cNvPr id="53" name="Graphic 160" descr=""/>
        <xdr:cNvPicPr/>
      </xdr:nvPicPr>
      <xdr:blipFill>
        <a:blip r:embed="rId54"/>
        <a:stretch/>
      </xdr:blipFill>
      <xdr:spPr>
        <a:xfrm>
          <a:off x="4332960" y="5786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31</xdr:row>
      <xdr:rowOff>21600</xdr:rowOff>
    </xdr:from>
    <xdr:to>
      <xdr:col>4</xdr:col>
      <xdr:colOff>1490760</xdr:colOff>
      <xdr:row>31</xdr:row>
      <xdr:rowOff>173520</xdr:rowOff>
    </xdr:to>
    <xdr:pic>
      <xdr:nvPicPr>
        <xdr:cNvPr id="54" name="Graphic 161" descr=""/>
        <xdr:cNvPicPr/>
      </xdr:nvPicPr>
      <xdr:blipFill>
        <a:blip r:embed="rId55"/>
        <a:stretch/>
      </xdr:blipFill>
      <xdr:spPr>
        <a:xfrm>
          <a:off x="3396240" y="5984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32</xdr:row>
      <xdr:rowOff>21600</xdr:rowOff>
    </xdr:from>
    <xdr:to>
      <xdr:col>7</xdr:col>
      <xdr:colOff>243720</xdr:colOff>
      <xdr:row>32</xdr:row>
      <xdr:rowOff>173520</xdr:rowOff>
    </xdr:to>
    <xdr:pic>
      <xdr:nvPicPr>
        <xdr:cNvPr id="55" name="Graphic 162" descr=""/>
        <xdr:cNvPicPr/>
      </xdr:nvPicPr>
      <xdr:blipFill>
        <a:blip r:embed="rId56"/>
        <a:stretch/>
      </xdr:blipFill>
      <xdr:spPr>
        <a:xfrm>
          <a:off x="4339800" y="6174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45000</xdr:colOff>
      <xdr:row>36</xdr:row>
      <xdr:rowOff>21960</xdr:rowOff>
    </xdr:from>
    <xdr:to>
      <xdr:col>7</xdr:col>
      <xdr:colOff>196920</xdr:colOff>
      <xdr:row>36</xdr:row>
      <xdr:rowOff>173880</xdr:rowOff>
    </xdr:to>
    <xdr:pic>
      <xdr:nvPicPr>
        <xdr:cNvPr id="56" name="Graphic 163" descr=""/>
        <xdr:cNvPicPr/>
      </xdr:nvPicPr>
      <xdr:blipFill>
        <a:blip r:embed="rId57"/>
        <a:stretch/>
      </xdr:blipFill>
      <xdr:spPr>
        <a:xfrm>
          <a:off x="4350240" y="693720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1277280</xdr:colOff>
      <xdr:row>34</xdr:row>
      <xdr:rowOff>16920</xdr:rowOff>
    </xdr:from>
    <xdr:to>
      <xdr:col>4</xdr:col>
      <xdr:colOff>1486440</xdr:colOff>
      <xdr:row>34</xdr:row>
      <xdr:rowOff>168840</xdr:rowOff>
    </xdr:to>
    <xdr:pic>
      <xdr:nvPicPr>
        <xdr:cNvPr id="57" name="Graphic 164" descr=""/>
        <xdr:cNvPicPr/>
      </xdr:nvPicPr>
      <xdr:blipFill>
        <a:blip r:embed="rId58"/>
        <a:stretch/>
      </xdr:blipFill>
      <xdr:spPr>
        <a:xfrm>
          <a:off x="3391920" y="6550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37</xdr:row>
      <xdr:rowOff>22320</xdr:rowOff>
    </xdr:from>
    <xdr:to>
      <xdr:col>7</xdr:col>
      <xdr:colOff>243720</xdr:colOff>
      <xdr:row>37</xdr:row>
      <xdr:rowOff>174240</xdr:rowOff>
    </xdr:to>
    <xdr:pic>
      <xdr:nvPicPr>
        <xdr:cNvPr id="58" name="Graphic 165" descr=""/>
        <xdr:cNvPicPr/>
      </xdr:nvPicPr>
      <xdr:blipFill>
        <a:blip r:embed="rId59"/>
        <a:stretch/>
      </xdr:blipFill>
      <xdr:spPr>
        <a:xfrm>
          <a:off x="4339800" y="71280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1272600</xdr:colOff>
      <xdr:row>35</xdr:row>
      <xdr:rowOff>19800</xdr:rowOff>
    </xdr:from>
    <xdr:to>
      <xdr:col>4</xdr:col>
      <xdr:colOff>1481760</xdr:colOff>
      <xdr:row>35</xdr:row>
      <xdr:rowOff>171720</xdr:rowOff>
    </xdr:to>
    <xdr:pic>
      <xdr:nvPicPr>
        <xdr:cNvPr id="59" name="Graphic 166" descr=""/>
        <xdr:cNvPicPr/>
      </xdr:nvPicPr>
      <xdr:blipFill>
        <a:blip r:embed="rId60"/>
        <a:stretch/>
      </xdr:blipFill>
      <xdr:spPr>
        <a:xfrm>
          <a:off x="3387240" y="6744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37</xdr:row>
      <xdr:rowOff>22320</xdr:rowOff>
    </xdr:from>
    <xdr:to>
      <xdr:col>4</xdr:col>
      <xdr:colOff>1490760</xdr:colOff>
      <xdr:row>37</xdr:row>
      <xdr:rowOff>174240</xdr:rowOff>
    </xdr:to>
    <xdr:pic>
      <xdr:nvPicPr>
        <xdr:cNvPr id="60" name="Graphic 167" descr=""/>
        <xdr:cNvPicPr/>
      </xdr:nvPicPr>
      <xdr:blipFill>
        <a:blip r:embed="rId61"/>
        <a:stretch/>
      </xdr:blipFill>
      <xdr:spPr>
        <a:xfrm>
          <a:off x="3396240" y="71280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30960</xdr:colOff>
      <xdr:row>35</xdr:row>
      <xdr:rowOff>16920</xdr:rowOff>
    </xdr:from>
    <xdr:to>
      <xdr:col>7</xdr:col>
      <xdr:colOff>240120</xdr:colOff>
      <xdr:row>35</xdr:row>
      <xdr:rowOff>168840</xdr:rowOff>
    </xdr:to>
    <xdr:pic>
      <xdr:nvPicPr>
        <xdr:cNvPr id="61" name="Graphic 168" descr=""/>
        <xdr:cNvPicPr/>
      </xdr:nvPicPr>
      <xdr:blipFill>
        <a:blip r:embed="rId62"/>
        <a:stretch/>
      </xdr:blipFill>
      <xdr:spPr>
        <a:xfrm>
          <a:off x="4336200" y="6741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1282680</xdr:colOff>
      <xdr:row>36</xdr:row>
      <xdr:rowOff>20160</xdr:rowOff>
    </xdr:from>
    <xdr:to>
      <xdr:col>4</xdr:col>
      <xdr:colOff>1491840</xdr:colOff>
      <xdr:row>36</xdr:row>
      <xdr:rowOff>172080</xdr:rowOff>
    </xdr:to>
    <xdr:pic>
      <xdr:nvPicPr>
        <xdr:cNvPr id="62" name="Graphic 169" descr=""/>
        <xdr:cNvPicPr/>
      </xdr:nvPicPr>
      <xdr:blipFill>
        <a:blip r:embed="rId63"/>
        <a:stretch/>
      </xdr:blipFill>
      <xdr:spPr>
        <a:xfrm>
          <a:off x="3397320" y="6935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34</xdr:row>
      <xdr:rowOff>20880</xdr:rowOff>
    </xdr:from>
    <xdr:to>
      <xdr:col>7</xdr:col>
      <xdr:colOff>243720</xdr:colOff>
      <xdr:row>34</xdr:row>
      <xdr:rowOff>172800</xdr:rowOff>
    </xdr:to>
    <xdr:pic>
      <xdr:nvPicPr>
        <xdr:cNvPr id="63" name="Graphic 170" descr=""/>
        <xdr:cNvPicPr/>
      </xdr:nvPicPr>
      <xdr:blipFill>
        <a:blip r:embed="rId64"/>
        <a:stretch/>
      </xdr:blipFill>
      <xdr:spPr>
        <a:xfrm>
          <a:off x="4339800" y="6554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30240</xdr:colOff>
      <xdr:row>38</xdr:row>
      <xdr:rowOff>31320</xdr:rowOff>
    </xdr:from>
    <xdr:to>
      <xdr:col>7</xdr:col>
      <xdr:colOff>239400</xdr:colOff>
      <xdr:row>38</xdr:row>
      <xdr:rowOff>183240</xdr:rowOff>
    </xdr:to>
    <xdr:pic>
      <xdr:nvPicPr>
        <xdr:cNvPr id="64" name="Graphic 171" descr=""/>
        <xdr:cNvPicPr/>
      </xdr:nvPicPr>
      <xdr:blipFill>
        <a:blip r:embed="rId65"/>
        <a:stretch/>
      </xdr:blipFill>
      <xdr:spPr>
        <a:xfrm>
          <a:off x="4335480" y="7327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39</xdr:row>
      <xdr:rowOff>29160</xdr:rowOff>
    </xdr:from>
    <xdr:to>
      <xdr:col>4</xdr:col>
      <xdr:colOff>1490040</xdr:colOff>
      <xdr:row>39</xdr:row>
      <xdr:rowOff>181080</xdr:rowOff>
    </xdr:to>
    <xdr:pic>
      <xdr:nvPicPr>
        <xdr:cNvPr id="65" name="Graphic 172" descr=""/>
        <xdr:cNvPicPr/>
      </xdr:nvPicPr>
      <xdr:blipFill>
        <a:blip r:embed="rId66"/>
        <a:stretch/>
      </xdr:blipFill>
      <xdr:spPr>
        <a:xfrm>
          <a:off x="3395520" y="7515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23760</xdr:colOff>
      <xdr:row>39</xdr:row>
      <xdr:rowOff>28440</xdr:rowOff>
    </xdr:from>
    <xdr:to>
      <xdr:col>7</xdr:col>
      <xdr:colOff>232920</xdr:colOff>
      <xdr:row>39</xdr:row>
      <xdr:rowOff>180360</xdr:rowOff>
    </xdr:to>
    <xdr:pic>
      <xdr:nvPicPr>
        <xdr:cNvPr id="66" name="Graphic 173" descr=""/>
        <xdr:cNvPicPr/>
      </xdr:nvPicPr>
      <xdr:blipFill>
        <a:blip r:embed="rId67"/>
        <a:stretch/>
      </xdr:blipFill>
      <xdr:spPr>
        <a:xfrm>
          <a:off x="4329000" y="75150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38</xdr:row>
      <xdr:rowOff>31320</xdr:rowOff>
    </xdr:from>
    <xdr:to>
      <xdr:col>4</xdr:col>
      <xdr:colOff>1490040</xdr:colOff>
      <xdr:row>38</xdr:row>
      <xdr:rowOff>183240</xdr:rowOff>
    </xdr:to>
    <xdr:pic>
      <xdr:nvPicPr>
        <xdr:cNvPr id="67" name="Graphic 174" descr=""/>
        <xdr:cNvPicPr/>
      </xdr:nvPicPr>
      <xdr:blipFill>
        <a:blip r:embed="rId68"/>
        <a:stretch/>
      </xdr:blipFill>
      <xdr:spPr>
        <a:xfrm>
          <a:off x="3395520" y="7327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23760</xdr:colOff>
      <xdr:row>40</xdr:row>
      <xdr:rowOff>27360</xdr:rowOff>
    </xdr:from>
    <xdr:to>
      <xdr:col>7</xdr:col>
      <xdr:colOff>232920</xdr:colOff>
      <xdr:row>40</xdr:row>
      <xdr:rowOff>179280</xdr:rowOff>
    </xdr:to>
    <xdr:pic>
      <xdr:nvPicPr>
        <xdr:cNvPr id="68" name="Graphic 175" descr=""/>
        <xdr:cNvPicPr/>
      </xdr:nvPicPr>
      <xdr:blipFill>
        <a:blip r:embed="rId69"/>
        <a:stretch/>
      </xdr:blipFill>
      <xdr:spPr>
        <a:xfrm>
          <a:off x="4329000" y="7704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41</xdr:row>
      <xdr:rowOff>29520</xdr:rowOff>
    </xdr:from>
    <xdr:to>
      <xdr:col>4</xdr:col>
      <xdr:colOff>1489320</xdr:colOff>
      <xdr:row>41</xdr:row>
      <xdr:rowOff>181440</xdr:rowOff>
    </xdr:to>
    <xdr:pic>
      <xdr:nvPicPr>
        <xdr:cNvPr id="69" name="Graphic 176" descr=""/>
        <xdr:cNvPicPr/>
      </xdr:nvPicPr>
      <xdr:blipFill>
        <a:blip r:embed="rId70"/>
        <a:stretch/>
      </xdr:blipFill>
      <xdr:spPr>
        <a:xfrm>
          <a:off x="3394800" y="7897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41</xdr:row>
      <xdr:rowOff>29520</xdr:rowOff>
    </xdr:from>
    <xdr:to>
      <xdr:col>7</xdr:col>
      <xdr:colOff>230040</xdr:colOff>
      <xdr:row>41</xdr:row>
      <xdr:rowOff>181440</xdr:rowOff>
    </xdr:to>
    <xdr:pic>
      <xdr:nvPicPr>
        <xdr:cNvPr id="70" name="Graphic 177" descr=""/>
        <xdr:cNvPicPr/>
      </xdr:nvPicPr>
      <xdr:blipFill>
        <a:blip r:embed="rId71"/>
        <a:stretch/>
      </xdr:blipFill>
      <xdr:spPr>
        <a:xfrm>
          <a:off x="4326120" y="7897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40</xdr:row>
      <xdr:rowOff>27360</xdr:rowOff>
    </xdr:from>
    <xdr:to>
      <xdr:col>4</xdr:col>
      <xdr:colOff>1489320</xdr:colOff>
      <xdr:row>40</xdr:row>
      <xdr:rowOff>179280</xdr:rowOff>
    </xdr:to>
    <xdr:pic>
      <xdr:nvPicPr>
        <xdr:cNvPr id="71" name="Graphic 178" descr=""/>
        <xdr:cNvPicPr/>
      </xdr:nvPicPr>
      <xdr:blipFill>
        <a:blip r:embed="rId72"/>
        <a:stretch/>
      </xdr:blipFill>
      <xdr:spPr>
        <a:xfrm>
          <a:off x="3394800" y="7704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21960</xdr:colOff>
      <xdr:row>44</xdr:row>
      <xdr:rowOff>25920</xdr:rowOff>
    </xdr:from>
    <xdr:to>
      <xdr:col>7</xdr:col>
      <xdr:colOff>231120</xdr:colOff>
      <xdr:row>44</xdr:row>
      <xdr:rowOff>177840</xdr:rowOff>
    </xdr:to>
    <xdr:pic>
      <xdr:nvPicPr>
        <xdr:cNvPr id="72" name="Graphic 179" descr=""/>
        <xdr:cNvPicPr/>
      </xdr:nvPicPr>
      <xdr:blipFill>
        <a:blip r:embed="rId73"/>
        <a:stretch/>
      </xdr:blipFill>
      <xdr:spPr>
        <a:xfrm>
          <a:off x="4327200" y="8465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45</xdr:row>
      <xdr:rowOff>29880</xdr:rowOff>
    </xdr:from>
    <xdr:to>
      <xdr:col>4</xdr:col>
      <xdr:colOff>1489320</xdr:colOff>
      <xdr:row>45</xdr:row>
      <xdr:rowOff>181800</xdr:rowOff>
    </xdr:to>
    <xdr:pic>
      <xdr:nvPicPr>
        <xdr:cNvPr id="73" name="Graphic 180" descr=""/>
        <xdr:cNvPicPr/>
      </xdr:nvPicPr>
      <xdr:blipFill>
        <a:blip r:embed="rId74"/>
        <a:stretch/>
      </xdr:blipFill>
      <xdr:spPr>
        <a:xfrm>
          <a:off x="3394800" y="8659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42</xdr:row>
      <xdr:rowOff>28800</xdr:rowOff>
    </xdr:from>
    <xdr:to>
      <xdr:col>7</xdr:col>
      <xdr:colOff>230040</xdr:colOff>
      <xdr:row>42</xdr:row>
      <xdr:rowOff>180720</xdr:rowOff>
    </xdr:to>
    <xdr:pic>
      <xdr:nvPicPr>
        <xdr:cNvPr id="74" name="Graphic 181" descr=""/>
        <xdr:cNvPicPr/>
      </xdr:nvPicPr>
      <xdr:blipFill>
        <a:blip r:embed="rId75"/>
        <a:stretch/>
      </xdr:blipFill>
      <xdr:spPr>
        <a:xfrm>
          <a:off x="4326120" y="8087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43</xdr:row>
      <xdr:rowOff>31680</xdr:rowOff>
    </xdr:from>
    <xdr:to>
      <xdr:col>4</xdr:col>
      <xdr:colOff>1489320</xdr:colOff>
      <xdr:row>43</xdr:row>
      <xdr:rowOff>183600</xdr:rowOff>
    </xdr:to>
    <xdr:pic>
      <xdr:nvPicPr>
        <xdr:cNvPr id="75" name="Graphic 182" descr=""/>
        <xdr:cNvPicPr/>
      </xdr:nvPicPr>
      <xdr:blipFill>
        <a:blip r:embed="rId76"/>
        <a:stretch/>
      </xdr:blipFill>
      <xdr:spPr>
        <a:xfrm>
          <a:off x="3394800" y="8280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45</xdr:row>
      <xdr:rowOff>29880</xdr:rowOff>
    </xdr:from>
    <xdr:to>
      <xdr:col>7</xdr:col>
      <xdr:colOff>230040</xdr:colOff>
      <xdr:row>45</xdr:row>
      <xdr:rowOff>181800</xdr:rowOff>
    </xdr:to>
    <xdr:pic>
      <xdr:nvPicPr>
        <xdr:cNvPr id="76" name="Graphic 183" descr=""/>
        <xdr:cNvPicPr/>
      </xdr:nvPicPr>
      <xdr:blipFill>
        <a:blip r:embed="rId77"/>
        <a:stretch/>
      </xdr:blipFill>
      <xdr:spPr>
        <a:xfrm>
          <a:off x="4326120" y="8659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1276560</xdr:colOff>
      <xdr:row>44</xdr:row>
      <xdr:rowOff>30960</xdr:rowOff>
    </xdr:from>
    <xdr:to>
      <xdr:col>4</xdr:col>
      <xdr:colOff>1485720</xdr:colOff>
      <xdr:row>44</xdr:row>
      <xdr:rowOff>182880</xdr:rowOff>
    </xdr:to>
    <xdr:pic>
      <xdr:nvPicPr>
        <xdr:cNvPr id="77" name="Graphic 184" descr=""/>
        <xdr:cNvPicPr/>
      </xdr:nvPicPr>
      <xdr:blipFill>
        <a:blip r:embed="rId78"/>
        <a:stretch/>
      </xdr:blipFill>
      <xdr:spPr>
        <a:xfrm>
          <a:off x="3391200" y="8470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21960</xdr:colOff>
      <xdr:row>43</xdr:row>
      <xdr:rowOff>31680</xdr:rowOff>
    </xdr:from>
    <xdr:to>
      <xdr:col>7</xdr:col>
      <xdr:colOff>231120</xdr:colOff>
      <xdr:row>43</xdr:row>
      <xdr:rowOff>183600</xdr:rowOff>
    </xdr:to>
    <xdr:pic>
      <xdr:nvPicPr>
        <xdr:cNvPr id="78" name="Graphic 185" descr=""/>
        <xdr:cNvPicPr/>
      </xdr:nvPicPr>
      <xdr:blipFill>
        <a:blip r:embed="rId79"/>
        <a:stretch/>
      </xdr:blipFill>
      <xdr:spPr>
        <a:xfrm>
          <a:off x="4327200" y="8280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42</xdr:row>
      <xdr:rowOff>31680</xdr:rowOff>
    </xdr:from>
    <xdr:to>
      <xdr:col>4</xdr:col>
      <xdr:colOff>1490040</xdr:colOff>
      <xdr:row>42</xdr:row>
      <xdr:rowOff>183600</xdr:rowOff>
    </xdr:to>
    <xdr:pic>
      <xdr:nvPicPr>
        <xdr:cNvPr id="79" name="Graphic 186" descr=""/>
        <xdr:cNvPicPr/>
      </xdr:nvPicPr>
      <xdr:blipFill>
        <a:blip r:embed="rId80"/>
        <a:stretch/>
      </xdr:blipFill>
      <xdr:spPr>
        <a:xfrm>
          <a:off x="3395520" y="8089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47</xdr:row>
      <xdr:rowOff>19800</xdr:rowOff>
    </xdr:from>
    <xdr:to>
      <xdr:col>7</xdr:col>
      <xdr:colOff>228600</xdr:colOff>
      <xdr:row>47</xdr:row>
      <xdr:rowOff>171720</xdr:rowOff>
    </xdr:to>
    <xdr:pic>
      <xdr:nvPicPr>
        <xdr:cNvPr id="80" name="Graphic 187" descr=""/>
        <xdr:cNvPicPr/>
      </xdr:nvPicPr>
      <xdr:blipFill>
        <a:blip r:embed="rId81"/>
        <a:stretch/>
      </xdr:blipFill>
      <xdr:spPr>
        <a:xfrm>
          <a:off x="4324680" y="9030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46</xdr:row>
      <xdr:rowOff>30240</xdr:rowOff>
    </xdr:from>
    <xdr:to>
      <xdr:col>4</xdr:col>
      <xdr:colOff>1490040</xdr:colOff>
      <xdr:row>46</xdr:row>
      <xdr:rowOff>182160</xdr:rowOff>
    </xdr:to>
    <xdr:pic>
      <xdr:nvPicPr>
        <xdr:cNvPr id="81" name="Graphic 188" descr=""/>
        <xdr:cNvPicPr/>
      </xdr:nvPicPr>
      <xdr:blipFill>
        <a:blip r:embed="rId82"/>
        <a:stretch/>
      </xdr:blipFill>
      <xdr:spPr>
        <a:xfrm>
          <a:off x="3395520" y="8850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49</xdr:row>
      <xdr:rowOff>27360</xdr:rowOff>
    </xdr:from>
    <xdr:to>
      <xdr:col>7</xdr:col>
      <xdr:colOff>228600</xdr:colOff>
      <xdr:row>49</xdr:row>
      <xdr:rowOff>179280</xdr:rowOff>
    </xdr:to>
    <xdr:pic>
      <xdr:nvPicPr>
        <xdr:cNvPr id="82" name="Graphic 189" descr=""/>
        <xdr:cNvPicPr/>
      </xdr:nvPicPr>
      <xdr:blipFill>
        <a:blip r:embed="rId83"/>
        <a:stretch/>
      </xdr:blipFill>
      <xdr:spPr>
        <a:xfrm>
          <a:off x="4324680" y="9419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48</xdr:row>
      <xdr:rowOff>29160</xdr:rowOff>
    </xdr:from>
    <xdr:to>
      <xdr:col>4</xdr:col>
      <xdr:colOff>1489320</xdr:colOff>
      <xdr:row>48</xdr:row>
      <xdr:rowOff>181080</xdr:rowOff>
    </xdr:to>
    <xdr:pic>
      <xdr:nvPicPr>
        <xdr:cNvPr id="83" name="Graphic 190" descr=""/>
        <xdr:cNvPicPr/>
      </xdr:nvPicPr>
      <xdr:blipFill>
        <a:blip r:embed="rId84"/>
        <a:stretch/>
      </xdr:blipFill>
      <xdr:spPr>
        <a:xfrm>
          <a:off x="3394800" y="9230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48</xdr:row>
      <xdr:rowOff>29160</xdr:rowOff>
    </xdr:from>
    <xdr:to>
      <xdr:col>7</xdr:col>
      <xdr:colOff>228600</xdr:colOff>
      <xdr:row>48</xdr:row>
      <xdr:rowOff>181080</xdr:rowOff>
    </xdr:to>
    <xdr:pic>
      <xdr:nvPicPr>
        <xdr:cNvPr id="84" name="Graphic 191" descr=""/>
        <xdr:cNvPicPr/>
      </xdr:nvPicPr>
      <xdr:blipFill>
        <a:blip r:embed="rId85"/>
        <a:stretch/>
      </xdr:blipFill>
      <xdr:spPr>
        <a:xfrm>
          <a:off x="4324680" y="9230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49</xdr:row>
      <xdr:rowOff>27360</xdr:rowOff>
    </xdr:from>
    <xdr:to>
      <xdr:col>4</xdr:col>
      <xdr:colOff>1489320</xdr:colOff>
      <xdr:row>49</xdr:row>
      <xdr:rowOff>179280</xdr:rowOff>
    </xdr:to>
    <xdr:pic>
      <xdr:nvPicPr>
        <xdr:cNvPr id="85" name="Graphic 192" descr=""/>
        <xdr:cNvPicPr/>
      </xdr:nvPicPr>
      <xdr:blipFill>
        <a:blip r:embed="rId86"/>
        <a:stretch/>
      </xdr:blipFill>
      <xdr:spPr>
        <a:xfrm>
          <a:off x="3394800" y="9419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46</xdr:row>
      <xdr:rowOff>30240</xdr:rowOff>
    </xdr:from>
    <xdr:to>
      <xdr:col>7</xdr:col>
      <xdr:colOff>228600</xdr:colOff>
      <xdr:row>46</xdr:row>
      <xdr:rowOff>182160</xdr:rowOff>
    </xdr:to>
    <xdr:pic>
      <xdr:nvPicPr>
        <xdr:cNvPr id="86" name="Graphic 193" descr=""/>
        <xdr:cNvPicPr/>
      </xdr:nvPicPr>
      <xdr:blipFill>
        <a:blip r:embed="rId87"/>
        <a:stretch/>
      </xdr:blipFill>
      <xdr:spPr>
        <a:xfrm>
          <a:off x="4324680" y="8850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47</xdr:row>
      <xdr:rowOff>32040</xdr:rowOff>
    </xdr:from>
    <xdr:to>
      <xdr:col>4</xdr:col>
      <xdr:colOff>1490040</xdr:colOff>
      <xdr:row>47</xdr:row>
      <xdr:rowOff>183960</xdr:rowOff>
    </xdr:to>
    <xdr:pic>
      <xdr:nvPicPr>
        <xdr:cNvPr id="87" name="Graphic 194" descr=""/>
        <xdr:cNvPicPr/>
      </xdr:nvPicPr>
      <xdr:blipFill>
        <a:blip r:embed="rId88"/>
        <a:stretch/>
      </xdr:blipFill>
      <xdr:spPr>
        <a:xfrm>
          <a:off x="3395520" y="90428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41400</xdr:colOff>
      <xdr:row>52</xdr:row>
      <xdr:rowOff>30600</xdr:rowOff>
    </xdr:from>
    <xdr:to>
      <xdr:col>7</xdr:col>
      <xdr:colOff>193320</xdr:colOff>
      <xdr:row>52</xdr:row>
      <xdr:rowOff>182520</xdr:rowOff>
    </xdr:to>
    <xdr:pic>
      <xdr:nvPicPr>
        <xdr:cNvPr id="88" name="Graphic 195" descr=""/>
        <xdr:cNvPicPr/>
      </xdr:nvPicPr>
      <xdr:blipFill>
        <a:blip r:embed="rId89"/>
        <a:stretch/>
      </xdr:blipFill>
      <xdr:spPr>
        <a:xfrm>
          <a:off x="4346640" y="999360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1276560</xdr:colOff>
      <xdr:row>53</xdr:row>
      <xdr:rowOff>30960</xdr:rowOff>
    </xdr:from>
    <xdr:to>
      <xdr:col>4</xdr:col>
      <xdr:colOff>1485720</xdr:colOff>
      <xdr:row>53</xdr:row>
      <xdr:rowOff>182880</xdr:rowOff>
    </xdr:to>
    <xdr:pic>
      <xdr:nvPicPr>
        <xdr:cNvPr id="89" name="Graphic 196" descr=""/>
        <xdr:cNvPicPr/>
      </xdr:nvPicPr>
      <xdr:blipFill>
        <a:blip r:embed="rId90"/>
        <a:stretch/>
      </xdr:blipFill>
      <xdr:spPr>
        <a:xfrm>
          <a:off x="3391200" y="101847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50</xdr:row>
      <xdr:rowOff>36720</xdr:rowOff>
    </xdr:from>
    <xdr:to>
      <xdr:col>7</xdr:col>
      <xdr:colOff>226080</xdr:colOff>
      <xdr:row>50</xdr:row>
      <xdr:rowOff>188640</xdr:rowOff>
    </xdr:to>
    <xdr:pic>
      <xdr:nvPicPr>
        <xdr:cNvPr id="90" name="Graphic 197" descr=""/>
        <xdr:cNvPicPr/>
      </xdr:nvPicPr>
      <xdr:blipFill>
        <a:blip r:embed="rId91"/>
        <a:stretch/>
      </xdr:blipFill>
      <xdr:spPr>
        <a:xfrm>
          <a:off x="4322160" y="96188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51</xdr:row>
      <xdr:rowOff>30600</xdr:rowOff>
    </xdr:from>
    <xdr:to>
      <xdr:col>7</xdr:col>
      <xdr:colOff>226080</xdr:colOff>
      <xdr:row>51</xdr:row>
      <xdr:rowOff>182520</xdr:rowOff>
    </xdr:to>
    <xdr:pic>
      <xdr:nvPicPr>
        <xdr:cNvPr id="91" name="Graphic 198" descr=""/>
        <xdr:cNvPicPr/>
      </xdr:nvPicPr>
      <xdr:blipFill>
        <a:blip r:embed="rId92"/>
        <a:stretch/>
      </xdr:blipFill>
      <xdr:spPr>
        <a:xfrm>
          <a:off x="4322160" y="9803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50</xdr:row>
      <xdr:rowOff>32400</xdr:rowOff>
    </xdr:from>
    <xdr:to>
      <xdr:col>4</xdr:col>
      <xdr:colOff>1490040</xdr:colOff>
      <xdr:row>50</xdr:row>
      <xdr:rowOff>184320</xdr:rowOff>
    </xdr:to>
    <xdr:pic>
      <xdr:nvPicPr>
        <xdr:cNvPr id="92" name="Graphic 199" descr=""/>
        <xdr:cNvPicPr/>
      </xdr:nvPicPr>
      <xdr:blipFill>
        <a:blip r:embed="rId93"/>
        <a:stretch/>
      </xdr:blipFill>
      <xdr:spPr>
        <a:xfrm>
          <a:off x="3395520" y="96145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53</xdr:row>
      <xdr:rowOff>30960</xdr:rowOff>
    </xdr:from>
    <xdr:to>
      <xdr:col>7</xdr:col>
      <xdr:colOff>226080</xdr:colOff>
      <xdr:row>53</xdr:row>
      <xdr:rowOff>182880</xdr:rowOff>
    </xdr:to>
    <xdr:pic>
      <xdr:nvPicPr>
        <xdr:cNvPr id="93" name="Graphic 200" descr=""/>
        <xdr:cNvPicPr/>
      </xdr:nvPicPr>
      <xdr:blipFill>
        <a:blip r:embed="rId94"/>
        <a:stretch/>
      </xdr:blipFill>
      <xdr:spPr>
        <a:xfrm>
          <a:off x="4322160" y="101847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52</xdr:row>
      <xdr:rowOff>30600</xdr:rowOff>
    </xdr:from>
    <xdr:to>
      <xdr:col>4</xdr:col>
      <xdr:colOff>1490040</xdr:colOff>
      <xdr:row>52</xdr:row>
      <xdr:rowOff>182520</xdr:rowOff>
    </xdr:to>
    <xdr:pic>
      <xdr:nvPicPr>
        <xdr:cNvPr id="94" name="Graphic 201" descr=""/>
        <xdr:cNvPicPr/>
      </xdr:nvPicPr>
      <xdr:blipFill>
        <a:blip r:embed="rId95"/>
        <a:stretch/>
      </xdr:blipFill>
      <xdr:spPr>
        <a:xfrm>
          <a:off x="3395520" y="9993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22-fifa-world-cup-schedule.shtml" TargetMode="External"/><Relationship Id="rId2" Type="http://schemas.openxmlformats.org/officeDocument/2006/relationships/hyperlink" Target="http://www.wallchart.io/football/world-cup-2022.html" TargetMode="External"/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drawing" Target="../drawings/drawing1.xml"/><Relationship Id="rId5" Type="http://schemas.openxmlformats.org/officeDocument/2006/relationships/image" Target="../media/image66.jpe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4.00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4.25" hidden="false" customHeight="false" outlineLevel="0" collapsed="false">
      <c r="A2" s="0" t="s">
        <v>42</v>
      </c>
      <c r="B2" s="0" t="s">
        <v>43</v>
      </c>
      <c r="C2" s="1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2" t="s">
        <v>49</v>
      </c>
      <c r="I2" s="0" t="s">
        <v>50</v>
      </c>
      <c r="J2" s="0" t="s">
        <v>51</v>
      </c>
      <c r="K2" s="0" t="s">
        <v>52</v>
      </c>
      <c r="L2" s="0" t="s">
        <v>53</v>
      </c>
      <c r="M2" s="0" t="s">
        <v>54</v>
      </c>
      <c r="N2" s="0" t="s">
        <v>55</v>
      </c>
      <c r="O2" s="0" t="s">
        <v>56</v>
      </c>
      <c r="P2" s="0" t="s">
        <v>57</v>
      </c>
      <c r="Q2" s="0" t="s">
        <v>58</v>
      </c>
      <c r="R2" s="0" t="s">
        <v>59</v>
      </c>
      <c r="S2" s="0" t="s">
        <v>60</v>
      </c>
      <c r="T2" s="0" t="s">
        <v>61</v>
      </c>
      <c r="U2" s="0" t="s">
        <v>62</v>
      </c>
      <c r="V2" s="0" t="s">
        <v>63</v>
      </c>
      <c r="W2" s="0" t="s">
        <v>64</v>
      </c>
      <c r="X2" s="0" t="s">
        <v>65</v>
      </c>
      <c r="Y2" s="0" t="s">
        <v>66</v>
      </c>
      <c r="Z2" s="0" t="s">
        <v>67</v>
      </c>
      <c r="AA2" s="0" t="s">
        <v>68</v>
      </c>
      <c r="AB2" s="0" t="s">
        <v>69</v>
      </c>
      <c r="AC2" s="1" t="s">
        <v>70</v>
      </c>
      <c r="AD2" s="0" t="s">
        <v>71</v>
      </c>
      <c r="AE2" s="0" t="s">
        <v>72</v>
      </c>
      <c r="AF2" s="0" t="s">
        <v>73</v>
      </c>
      <c r="AG2" s="0" t="s">
        <v>74</v>
      </c>
      <c r="AH2" s="0" t="s">
        <v>75</v>
      </c>
      <c r="AI2" s="0" t="s">
        <v>76</v>
      </c>
      <c r="AJ2" s="0" t="s">
        <v>77</v>
      </c>
      <c r="AK2" s="0" t="s">
        <v>78</v>
      </c>
      <c r="AL2" s="1" t="s">
        <v>79</v>
      </c>
      <c r="AM2" s="0" t="s">
        <v>80</v>
      </c>
      <c r="AN2" s="0" t="s">
        <v>81</v>
      </c>
      <c r="AO2" s="3" t="s">
        <v>82</v>
      </c>
      <c r="AP2" s="1" t="s">
        <v>83</v>
      </c>
    </row>
    <row r="3" customFormat="false" ht="14.25" hidden="false" customHeight="false" outlineLevel="0" collapsed="false">
      <c r="A3" s="0" t="s">
        <v>84</v>
      </c>
      <c r="B3" s="0" t="s">
        <v>85</v>
      </c>
      <c r="C3" s="1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2" t="s">
        <v>91</v>
      </c>
      <c r="I3" s="2" t="s">
        <v>92</v>
      </c>
      <c r="J3" s="0" t="s">
        <v>93</v>
      </c>
      <c r="K3" s="0" t="s">
        <v>94</v>
      </c>
      <c r="L3" s="0" t="s">
        <v>95</v>
      </c>
      <c r="M3" s="0" t="s">
        <v>96</v>
      </c>
      <c r="N3" s="0" t="s">
        <v>97</v>
      </c>
      <c r="O3" s="0" t="s">
        <v>98</v>
      </c>
      <c r="P3" s="0" t="s">
        <v>99</v>
      </c>
      <c r="Q3" s="0" t="s">
        <v>100</v>
      </c>
      <c r="R3" s="0" t="s">
        <v>101</v>
      </c>
      <c r="S3" s="1" t="s">
        <v>102</v>
      </c>
      <c r="T3" s="0" t="s">
        <v>103</v>
      </c>
      <c r="U3" s="0" t="s">
        <v>104</v>
      </c>
      <c r="V3" s="0" t="s">
        <v>105</v>
      </c>
      <c r="W3" s="0" t="s">
        <v>106</v>
      </c>
      <c r="X3" s="2" t="s">
        <v>107</v>
      </c>
      <c r="Y3" s="0" t="s">
        <v>108</v>
      </c>
      <c r="Z3" s="0" t="s">
        <v>109</v>
      </c>
      <c r="AA3" s="0" t="s">
        <v>110</v>
      </c>
      <c r="AB3" s="0" t="s">
        <v>111</v>
      </c>
      <c r="AC3" s="1" t="s">
        <v>112</v>
      </c>
      <c r="AD3" s="0" t="s">
        <v>113</v>
      </c>
      <c r="AE3" s="0" t="s">
        <v>114</v>
      </c>
      <c r="AF3" s="0" t="s">
        <v>115</v>
      </c>
      <c r="AG3" s="0" t="s">
        <v>116</v>
      </c>
      <c r="AH3" s="0" t="s">
        <v>117</v>
      </c>
      <c r="AI3" s="0" t="s">
        <v>118</v>
      </c>
      <c r="AJ3" s="0" t="s">
        <v>114</v>
      </c>
      <c r="AK3" s="0" t="s">
        <v>119</v>
      </c>
      <c r="AL3" s="1" t="s">
        <v>120</v>
      </c>
      <c r="AM3" s="0" t="s">
        <v>121</v>
      </c>
      <c r="AN3" s="0" t="s">
        <v>122</v>
      </c>
      <c r="AO3" s="0" t="s">
        <v>123</v>
      </c>
      <c r="AP3" s="1" t="s">
        <v>124</v>
      </c>
    </row>
    <row r="4" customFormat="false" ht="14.25" hidden="false" customHeight="false" outlineLevel="0" collapsed="false">
      <c r="A4" s="0" t="s">
        <v>125</v>
      </c>
      <c r="B4" s="0" t="s">
        <v>126</v>
      </c>
      <c r="C4" s="1" t="s">
        <v>127</v>
      </c>
      <c r="D4" s="0" t="s">
        <v>128</v>
      </c>
      <c r="E4" s="0" t="s">
        <v>129</v>
      </c>
      <c r="F4" s="0" t="s">
        <v>130</v>
      </c>
      <c r="G4" s="0" t="s">
        <v>131</v>
      </c>
      <c r="H4" s="0" t="s">
        <v>132</v>
      </c>
      <c r="I4" s="2" t="s">
        <v>133</v>
      </c>
      <c r="J4" s="0" t="s">
        <v>134</v>
      </c>
      <c r="K4" s="0" t="s">
        <v>135</v>
      </c>
      <c r="L4" s="0" t="s">
        <v>136</v>
      </c>
      <c r="M4" s="0" t="s">
        <v>137</v>
      </c>
      <c r="N4" s="0" t="s">
        <v>138</v>
      </c>
      <c r="O4" s="0" t="s">
        <v>139</v>
      </c>
      <c r="P4" s="0" t="s">
        <v>140</v>
      </c>
      <c r="Q4" s="0" t="s">
        <v>141</v>
      </c>
      <c r="R4" s="0" t="s">
        <v>142</v>
      </c>
      <c r="S4" s="1" t="s">
        <v>143</v>
      </c>
      <c r="T4" s="0" t="s">
        <v>144</v>
      </c>
      <c r="U4" s="0" t="s">
        <v>145</v>
      </c>
      <c r="V4" s="0" t="s">
        <v>146</v>
      </c>
      <c r="W4" s="0" t="s">
        <v>147</v>
      </c>
      <c r="X4" s="0" t="s">
        <v>148</v>
      </c>
      <c r="Y4" s="0" t="s">
        <v>149</v>
      </c>
      <c r="Z4" s="0" t="s">
        <v>150</v>
      </c>
      <c r="AA4" s="0" t="s">
        <v>151</v>
      </c>
      <c r="AB4" s="0" t="s">
        <v>152</v>
      </c>
      <c r="AC4" s="1" t="s">
        <v>153</v>
      </c>
      <c r="AD4" s="0" t="s">
        <v>154</v>
      </c>
      <c r="AE4" s="0" t="s">
        <v>155</v>
      </c>
      <c r="AF4" s="0" t="s">
        <v>156</v>
      </c>
      <c r="AG4" s="0" t="s">
        <v>157</v>
      </c>
      <c r="AH4" s="0" t="s">
        <v>158</v>
      </c>
      <c r="AI4" s="0" t="s">
        <v>159</v>
      </c>
      <c r="AJ4" s="0" t="s">
        <v>160</v>
      </c>
      <c r="AK4" s="0" t="s">
        <v>161</v>
      </c>
      <c r="AL4" s="1" t="s">
        <v>162</v>
      </c>
      <c r="AM4" s="0" t="s">
        <v>163</v>
      </c>
      <c r="AN4" s="0" t="s">
        <v>164</v>
      </c>
      <c r="AO4" s="0" t="s">
        <v>165</v>
      </c>
      <c r="AP4" s="1" t="s">
        <v>166</v>
      </c>
    </row>
    <row r="5" customFormat="false" ht="14.25" hidden="false" customHeight="false" outlineLevel="0" collapsed="false">
      <c r="A5" s="0" t="s">
        <v>167</v>
      </c>
      <c r="B5" s="0" t="s">
        <v>168</v>
      </c>
      <c r="C5" s="1" t="s">
        <v>169</v>
      </c>
      <c r="D5" s="0" t="s">
        <v>170</v>
      </c>
      <c r="E5" s="0" t="s">
        <v>171</v>
      </c>
      <c r="F5" s="0" t="s">
        <v>172</v>
      </c>
      <c r="G5" s="0" t="s">
        <v>173</v>
      </c>
      <c r="H5" s="0" t="s">
        <v>174</v>
      </c>
      <c r="I5" s="2" t="s">
        <v>175</v>
      </c>
      <c r="J5" s="0" t="s">
        <v>176</v>
      </c>
      <c r="K5" s="0" t="s">
        <v>177</v>
      </c>
      <c r="L5" s="0" t="s">
        <v>178</v>
      </c>
      <c r="M5" s="0" t="s">
        <v>179</v>
      </c>
      <c r="N5" s="0" t="s">
        <v>180</v>
      </c>
      <c r="O5" s="0" t="s">
        <v>181</v>
      </c>
      <c r="P5" s="0" t="s">
        <v>182</v>
      </c>
      <c r="Q5" s="0" t="s">
        <v>183</v>
      </c>
      <c r="R5" s="0" t="s">
        <v>184</v>
      </c>
      <c r="S5" s="1" t="s">
        <v>185</v>
      </c>
      <c r="T5" s="0" t="s">
        <v>186</v>
      </c>
      <c r="U5" s="0" t="s">
        <v>187</v>
      </c>
      <c r="V5" s="0" t="s">
        <v>188</v>
      </c>
      <c r="W5" s="0" t="s">
        <v>189</v>
      </c>
      <c r="X5" s="0" t="s">
        <v>190</v>
      </c>
      <c r="Y5" s="0" t="s">
        <v>191</v>
      </c>
      <c r="Z5" s="0" t="s">
        <v>192</v>
      </c>
      <c r="AA5" s="0" t="s">
        <v>193</v>
      </c>
      <c r="AB5" s="0" t="s">
        <v>178</v>
      </c>
      <c r="AC5" s="1" t="s">
        <v>194</v>
      </c>
      <c r="AD5" s="0" t="s">
        <v>195</v>
      </c>
      <c r="AE5" s="0" t="s">
        <v>196</v>
      </c>
      <c r="AF5" s="0" t="s">
        <v>197</v>
      </c>
      <c r="AG5" s="0" t="s">
        <v>176</v>
      </c>
      <c r="AH5" s="0" t="s">
        <v>198</v>
      </c>
      <c r="AI5" s="0" t="s">
        <v>199</v>
      </c>
      <c r="AJ5" s="0" t="s">
        <v>200</v>
      </c>
      <c r="AK5" s="0" t="s">
        <v>201</v>
      </c>
      <c r="AL5" s="1" t="s">
        <v>202</v>
      </c>
      <c r="AM5" s="0" t="s">
        <v>203</v>
      </c>
      <c r="AN5" s="0" t="s">
        <v>204</v>
      </c>
      <c r="AO5" s="0" t="s">
        <v>205</v>
      </c>
      <c r="AP5" s="1" t="s">
        <v>206</v>
      </c>
    </row>
    <row r="6" customFormat="false" ht="14.25" hidden="false" customHeight="false" outlineLevel="0" collapsed="false">
      <c r="A6" s="0" t="s">
        <v>207</v>
      </c>
      <c r="B6" s="0" t="s">
        <v>208</v>
      </c>
      <c r="C6" s="1" t="s">
        <v>209</v>
      </c>
      <c r="D6" s="0" t="s">
        <v>210</v>
      </c>
      <c r="E6" s="0" t="s">
        <v>211</v>
      </c>
      <c r="F6" s="0" t="s">
        <v>212</v>
      </c>
      <c r="G6" s="0" t="s">
        <v>213</v>
      </c>
      <c r="H6" s="2" t="s">
        <v>214</v>
      </c>
      <c r="I6" s="2" t="s">
        <v>215</v>
      </c>
      <c r="J6" s="0" t="s">
        <v>216</v>
      </c>
      <c r="K6" s="0" t="s">
        <v>217</v>
      </c>
      <c r="L6" s="0" t="s">
        <v>218</v>
      </c>
      <c r="M6" s="0" t="s">
        <v>219</v>
      </c>
      <c r="N6" s="0" t="s">
        <v>220</v>
      </c>
      <c r="O6" s="0" t="s">
        <v>221</v>
      </c>
      <c r="P6" s="0" t="s">
        <v>222</v>
      </c>
      <c r="Q6" s="0" t="s">
        <v>223</v>
      </c>
      <c r="R6" s="0" t="s">
        <v>224</v>
      </c>
      <c r="S6" s="1" t="s">
        <v>225</v>
      </c>
      <c r="T6" s="0" t="s">
        <v>226</v>
      </c>
      <c r="U6" s="0" t="s">
        <v>227</v>
      </c>
      <c r="V6" s="0" t="s">
        <v>228</v>
      </c>
      <c r="W6" s="0" t="s">
        <v>229</v>
      </c>
      <c r="X6" s="2" t="s">
        <v>230</v>
      </c>
      <c r="Y6" s="0" t="s">
        <v>231</v>
      </c>
      <c r="Z6" s="0" t="s">
        <v>232</v>
      </c>
      <c r="AA6" s="0" t="s">
        <v>233</v>
      </c>
      <c r="AB6" s="0" t="s">
        <v>218</v>
      </c>
      <c r="AC6" s="1" t="s">
        <v>234</v>
      </c>
      <c r="AD6" s="0" t="s">
        <v>235</v>
      </c>
      <c r="AE6" s="0" t="s">
        <v>236</v>
      </c>
      <c r="AF6" s="0" t="s">
        <v>218</v>
      </c>
      <c r="AG6" s="0" t="s">
        <v>216</v>
      </c>
      <c r="AH6" s="0" t="s">
        <v>217</v>
      </c>
      <c r="AI6" s="0" t="s">
        <v>237</v>
      </c>
      <c r="AJ6" s="0" t="s">
        <v>238</v>
      </c>
      <c r="AK6" s="0" t="s">
        <v>239</v>
      </c>
      <c r="AL6" s="1" t="s">
        <v>240</v>
      </c>
      <c r="AM6" s="0" t="s">
        <v>241</v>
      </c>
      <c r="AN6" s="0" t="s">
        <v>242</v>
      </c>
      <c r="AO6" s="0" t="s">
        <v>243</v>
      </c>
      <c r="AP6" s="1" t="s">
        <v>244</v>
      </c>
    </row>
    <row r="7" customFormat="false" ht="14.25" hidden="false" customHeight="false" outlineLevel="0" collapsed="false">
      <c r="A7" s="0" t="s">
        <v>245</v>
      </c>
      <c r="B7" s="0" t="s">
        <v>246</v>
      </c>
      <c r="C7" s="1" t="s">
        <v>247</v>
      </c>
      <c r="D7" s="0" t="s">
        <v>248</v>
      </c>
      <c r="E7" s="0" t="s">
        <v>249</v>
      </c>
      <c r="F7" s="0" t="s">
        <v>250</v>
      </c>
      <c r="G7" s="0" t="s">
        <v>251</v>
      </c>
      <c r="H7" s="2" t="s">
        <v>252</v>
      </c>
      <c r="I7" s="2" t="s">
        <v>253</v>
      </c>
      <c r="J7" s="0" t="s">
        <v>254</v>
      </c>
      <c r="K7" s="0" t="s">
        <v>255</v>
      </c>
      <c r="L7" s="0" t="s">
        <v>256</v>
      </c>
      <c r="M7" s="0" t="s">
        <v>257</v>
      </c>
      <c r="N7" s="0" t="s">
        <v>258</v>
      </c>
      <c r="O7" s="0" t="s">
        <v>259</v>
      </c>
      <c r="P7" s="0" t="s">
        <v>260</v>
      </c>
      <c r="Q7" s="0" t="s">
        <v>261</v>
      </c>
      <c r="R7" s="0" t="s">
        <v>262</v>
      </c>
      <c r="S7" s="1" t="s">
        <v>263</v>
      </c>
      <c r="T7" s="0" t="s">
        <v>264</v>
      </c>
      <c r="U7" s="0" t="s">
        <v>265</v>
      </c>
      <c r="V7" s="0" t="s">
        <v>266</v>
      </c>
      <c r="W7" s="0" t="s">
        <v>267</v>
      </c>
      <c r="X7" s="0" t="s">
        <v>268</v>
      </c>
      <c r="Y7" s="0" t="s">
        <v>269</v>
      </c>
      <c r="Z7" s="0" t="s">
        <v>270</v>
      </c>
      <c r="AA7" s="0" t="s">
        <v>271</v>
      </c>
      <c r="AB7" s="0" t="s">
        <v>272</v>
      </c>
      <c r="AC7" s="1" t="s">
        <v>273</v>
      </c>
      <c r="AD7" s="0" t="s">
        <v>274</v>
      </c>
      <c r="AE7" s="0" t="s">
        <v>275</v>
      </c>
      <c r="AF7" s="0" t="s">
        <v>276</v>
      </c>
      <c r="AG7" s="0" t="s">
        <v>254</v>
      </c>
      <c r="AH7" s="0" t="s">
        <v>277</v>
      </c>
      <c r="AI7" s="0" t="s">
        <v>278</v>
      </c>
      <c r="AJ7" s="0" t="s">
        <v>279</v>
      </c>
      <c r="AK7" s="0" t="s">
        <v>280</v>
      </c>
      <c r="AL7" s="1" t="s">
        <v>281</v>
      </c>
      <c r="AM7" s="0" t="s">
        <v>282</v>
      </c>
      <c r="AN7" s="0" t="s">
        <v>283</v>
      </c>
      <c r="AO7" s="0" t="s">
        <v>284</v>
      </c>
      <c r="AP7" s="1" t="s">
        <v>285</v>
      </c>
    </row>
    <row r="8" customFormat="false" ht="14.25" hidden="false" customHeight="false" outlineLevel="0" collapsed="false">
      <c r="A8" s="0" t="s">
        <v>286</v>
      </c>
      <c r="B8" s="0" t="s">
        <v>287</v>
      </c>
      <c r="C8" s="1" t="s">
        <v>288</v>
      </c>
      <c r="D8" s="0" t="s">
        <v>289</v>
      </c>
      <c r="E8" s="0" t="s">
        <v>286</v>
      </c>
      <c r="F8" s="0" t="s">
        <v>290</v>
      </c>
      <c r="G8" s="0" t="s">
        <v>286</v>
      </c>
      <c r="H8" s="2" t="s">
        <v>291</v>
      </c>
      <c r="I8" s="2" t="s">
        <v>292</v>
      </c>
      <c r="J8" s="0" t="s">
        <v>293</v>
      </c>
      <c r="K8" s="0" t="s">
        <v>294</v>
      </c>
      <c r="L8" s="0" t="s">
        <v>293</v>
      </c>
      <c r="M8" s="0" t="s">
        <v>293</v>
      </c>
      <c r="N8" s="0" t="s">
        <v>295</v>
      </c>
      <c r="O8" s="0" t="s">
        <v>293</v>
      </c>
      <c r="P8" s="0" t="s">
        <v>296</v>
      </c>
      <c r="Q8" s="0" t="s">
        <v>293</v>
      </c>
      <c r="R8" s="0" t="s">
        <v>297</v>
      </c>
      <c r="S8" s="1" t="s">
        <v>298</v>
      </c>
      <c r="T8" s="0" t="s">
        <v>299</v>
      </c>
      <c r="U8" s="0" t="s">
        <v>286</v>
      </c>
      <c r="V8" s="0" t="s">
        <v>300</v>
      </c>
      <c r="W8" s="0" t="s">
        <v>293</v>
      </c>
      <c r="X8" s="2" t="s">
        <v>301</v>
      </c>
      <c r="Y8" s="0" t="s">
        <v>302</v>
      </c>
      <c r="Z8" s="0" t="s">
        <v>303</v>
      </c>
      <c r="AA8" s="0" t="s">
        <v>304</v>
      </c>
      <c r="AB8" s="0" t="s">
        <v>293</v>
      </c>
      <c r="AC8" s="1" t="s">
        <v>305</v>
      </c>
      <c r="AD8" s="0" t="s">
        <v>306</v>
      </c>
      <c r="AE8" s="0" t="s">
        <v>286</v>
      </c>
      <c r="AF8" s="0" t="s">
        <v>307</v>
      </c>
      <c r="AG8" s="0" t="s">
        <v>293</v>
      </c>
      <c r="AH8" s="0" t="s">
        <v>294</v>
      </c>
      <c r="AI8" s="0" t="s">
        <v>293</v>
      </c>
      <c r="AJ8" s="0" t="s">
        <v>286</v>
      </c>
      <c r="AK8" s="0" t="s">
        <v>286</v>
      </c>
      <c r="AL8" s="1" t="s">
        <v>308</v>
      </c>
      <c r="AM8" s="0" t="s">
        <v>286</v>
      </c>
      <c r="AN8" s="0" t="s">
        <v>309</v>
      </c>
      <c r="AO8" s="0" t="s">
        <v>310</v>
      </c>
      <c r="AP8" s="1" t="s">
        <v>311</v>
      </c>
    </row>
    <row r="9" customFormat="false" ht="14.25" hidden="false" customHeight="false" outlineLevel="0" collapsed="false">
      <c r="A9" s="0" t="s">
        <v>312</v>
      </c>
      <c r="B9" s="0" t="s">
        <v>313</v>
      </c>
      <c r="C9" s="1" t="s">
        <v>314</v>
      </c>
      <c r="D9" s="0" t="s">
        <v>315</v>
      </c>
      <c r="E9" s="0" t="s">
        <v>316</v>
      </c>
      <c r="F9" s="0" t="s">
        <v>317</v>
      </c>
      <c r="G9" s="0" t="s">
        <v>318</v>
      </c>
      <c r="H9" s="2" t="s">
        <v>319</v>
      </c>
      <c r="I9" s="2" t="s">
        <v>320</v>
      </c>
      <c r="J9" s="0" t="s">
        <v>321</v>
      </c>
      <c r="K9" s="0" t="s">
        <v>322</v>
      </c>
      <c r="L9" s="0" t="s">
        <v>323</v>
      </c>
      <c r="M9" s="0" t="s">
        <v>324</v>
      </c>
      <c r="N9" s="0" t="s">
        <v>325</v>
      </c>
      <c r="O9" s="0" t="s">
        <v>326</v>
      </c>
      <c r="P9" s="0" t="s">
        <v>327</v>
      </c>
      <c r="Q9" s="0" t="s">
        <v>323</v>
      </c>
      <c r="R9" s="0" t="s">
        <v>328</v>
      </c>
      <c r="S9" s="1" t="s">
        <v>329</v>
      </c>
      <c r="T9" s="0" t="s">
        <v>330</v>
      </c>
      <c r="U9" s="0" t="s">
        <v>331</v>
      </c>
      <c r="V9" s="0" t="s">
        <v>332</v>
      </c>
      <c r="W9" s="0" t="s">
        <v>333</v>
      </c>
      <c r="X9" s="2" t="s">
        <v>334</v>
      </c>
      <c r="Y9" s="0" t="s">
        <v>335</v>
      </c>
      <c r="Z9" s="0" t="s">
        <v>317</v>
      </c>
      <c r="AA9" s="0" t="s">
        <v>336</v>
      </c>
      <c r="AB9" s="0" t="s">
        <v>323</v>
      </c>
      <c r="AC9" s="1" t="s">
        <v>337</v>
      </c>
      <c r="AD9" s="0" t="s">
        <v>321</v>
      </c>
      <c r="AE9" s="0" t="s">
        <v>338</v>
      </c>
      <c r="AF9" s="0" t="s">
        <v>321</v>
      </c>
      <c r="AG9" s="0" t="s">
        <v>321</v>
      </c>
      <c r="AH9" s="0" t="s">
        <v>322</v>
      </c>
      <c r="AI9" s="0" t="s">
        <v>322</v>
      </c>
      <c r="AJ9" s="0" t="s">
        <v>338</v>
      </c>
      <c r="AK9" s="0" t="s">
        <v>336</v>
      </c>
      <c r="AL9" s="1" t="s">
        <v>339</v>
      </c>
      <c r="AM9" s="0" t="s">
        <v>318</v>
      </c>
      <c r="AN9" s="0" t="s">
        <v>340</v>
      </c>
      <c r="AO9" s="0" t="s">
        <v>317</v>
      </c>
      <c r="AP9" s="1" t="s">
        <v>124</v>
      </c>
    </row>
    <row r="10" customFormat="false" ht="14.25" hidden="false" customHeight="false" outlineLevel="0" collapsed="false">
      <c r="A10" s="0" t="s">
        <v>341</v>
      </c>
      <c r="B10" s="0" t="s">
        <v>342</v>
      </c>
      <c r="C10" s="1" t="s">
        <v>343</v>
      </c>
      <c r="D10" s="0" t="s">
        <v>344</v>
      </c>
      <c r="E10" s="0" t="s">
        <v>345</v>
      </c>
      <c r="F10" s="0" t="s">
        <v>346</v>
      </c>
      <c r="G10" s="0" t="s">
        <v>347</v>
      </c>
      <c r="H10" s="2" t="s">
        <v>348</v>
      </c>
      <c r="I10" s="2" t="s">
        <v>349</v>
      </c>
      <c r="J10" s="0" t="s">
        <v>341</v>
      </c>
      <c r="K10" s="0" t="s">
        <v>350</v>
      </c>
      <c r="L10" s="0" t="s">
        <v>351</v>
      </c>
      <c r="M10" s="0" t="s">
        <v>352</v>
      </c>
      <c r="N10" s="0" t="s">
        <v>351</v>
      </c>
      <c r="O10" s="0" t="s">
        <v>347</v>
      </c>
      <c r="P10" s="0" t="s">
        <v>353</v>
      </c>
      <c r="Q10" s="0" t="s">
        <v>351</v>
      </c>
      <c r="R10" s="0" t="s">
        <v>354</v>
      </c>
      <c r="S10" s="1" t="s">
        <v>355</v>
      </c>
      <c r="T10" s="0" t="s">
        <v>356</v>
      </c>
      <c r="U10" s="0" t="s">
        <v>357</v>
      </c>
      <c r="V10" s="0" t="s">
        <v>342</v>
      </c>
      <c r="W10" s="0" t="s">
        <v>358</v>
      </c>
      <c r="X10" s="2" t="s">
        <v>359</v>
      </c>
      <c r="Y10" s="0" t="s">
        <v>360</v>
      </c>
      <c r="Z10" s="0" t="s">
        <v>361</v>
      </c>
      <c r="AA10" s="0" t="s">
        <v>342</v>
      </c>
      <c r="AB10" s="0" t="s">
        <v>362</v>
      </c>
      <c r="AC10" s="1" t="s">
        <v>363</v>
      </c>
      <c r="AD10" s="0" t="s">
        <v>356</v>
      </c>
      <c r="AE10" s="0" t="s">
        <v>347</v>
      </c>
      <c r="AF10" s="0" t="s">
        <v>347</v>
      </c>
      <c r="AG10" s="0" t="s">
        <v>364</v>
      </c>
      <c r="AH10" s="0" t="s">
        <v>350</v>
      </c>
      <c r="AI10" s="0" t="s">
        <v>341</v>
      </c>
      <c r="AJ10" s="0" t="s">
        <v>347</v>
      </c>
      <c r="AK10" s="0" t="s">
        <v>365</v>
      </c>
      <c r="AL10" s="1" t="s">
        <v>366</v>
      </c>
      <c r="AM10" s="0" t="s">
        <v>345</v>
      </c>
      <c r="AN10" s="0" t="s">
        <v>367</v>
      </c>
      <c r="AO10" s="0" t="s">
        <v>368</v>
      </c>
      <c r="AP10" s="1" t="s">
        <v>369</v>
      </c>
    </row>
    <row r="11" customFormat="false" ht="14.25" hidden="false" customHeight="false" outlineLevel="0" collapsed="false">
      <c r="A11" s="0" t="s">
        <v>370</v>
      </c>
      <c r="B11" s="0" t="s">
        <v>371</v>
      </c>
      <c r="C11" s="1" t="s">
        <v>372</v>
      </c>
      <c r="D11" s="0" t="s">
        <v>373</v>
      </c>
      <c r="E11" s="0" t="s">
        <v>374</v>
      </c>
      <c r="F11" s="0" t="s">
        <v>375</v>
      </c>
      <c r="G11" s="0" t="s">
        <v>358</v>
      </c>
      <c r="H11" s="2" t="s">
        <v>376</v>
      </c>
      <c r="I11" s="2" t="s">
        <v>377</v>
      </c>
      <c r="J11" s="0" t="s">
        <v>370</v>
      </c>
      <c r="K11" s="0" t="s">
        <v>378</v>
      </c>
      <c r="L11" s="0" t="s">
        <v>378</v>
      </c>
      <c r="M11" s="0" t="s">
        <v>370</v>
      </c>
      <c r="N11" s="0" t="s">
        <v>378</v>
      </c>
      <c r="O11" s="0" t="s">
        <v>378</v>
      </c>
      <c r="P11" s="0" t="s">
        <v>379</v>
      </c>
      <c r="Q11" s="0" t="s">
        <v>362</v>
      </c>
      <c r="R11" s="0" t="s">
        <v>380</v>
      </c>
      <c r="S11" s="1" t="s">
        <v>381</v>
      </c>
      <c r="T11" s="0" t="s">
        <v>382</v>
      </c>
      <c r="U11" s="0" t="s">
        <v>383</v>
      </c>
      <c r="V11" s="0" t="s">
        <v>384</v>
      </c>
      <c r="W11" s="0" t="s">
        <v>378</v>
      </c>
      <c r="X11" s="2" t="s">
        <v>385</v>
      </c>
      <c r="Y11" s="0" t="s">
        <v>342</v>
      </c>
      <c r="Z11" s="0" t="s">
        <v>375</v>
      </c>
      <c r="AA11" s="0" t="s">
        <v>386</v>
      </c>
      <c r="AB11" s="0" t="s">
        <v>378</v>
      </c>
      <c r="AC11" s="1" t="s">
        <v>387</v>
      </c>
      <c r="AD11" s="0" t="s">
        <v>350</v>
      </c>
      <c r="AE11" s="0" t="s">
        <v>378</v>
      </c>
      <c r="AF11" s="0" t="s">
        <v>378</v>
      </c>
      <c r="AG11" s="0" t="s">
        <v>388</v>
      </c>
      <c r="AH11" s="0" t="s">
        <v>378</v>
      </c>
      <c r="AI11" s="0" t="s">
        <v>370</v>
      </c>
      <c r="AJ11" s="0" t="s">
        <v>358</v>
      </c>
      <c r="AK11" s="0" t="s">
        <v>378</v>
      </c>
      <c r="AL11" s="1" t="s">
        <v>389</v>
      </c>
      <c r="AM11" s="0" t="s">
        <v>358</v>
      </c>
      <c r="AN11" s="0" t="s">
        <v>390</v>
      </c>
      <c r="AO11" s="0" t="s">
        <v>391</v>
      </c>
      <c r="AP11" s="1" t="s">
        <v>392</v>
      </c>
    </row>
    <row r="12" customFormat="false" ht="14.25" hidden="false" customHeight="false" outlineLevel="0" collapsed="false">
      <c r="A12" s="0" t="s">
        <v>393</v>
      </c>
      <c r="B12" s="0" t="s">
        <v>394</v>
      </c>
      <c r="C12" s="1" t="s">
        <v>395</v>
      </c>
      <c r="D12" s="0" t="s">
        <v>396</v>
      </c>
      <c r="E12" s="0" t="s">
        <v>397</v>
      </c>
      <c r="F12" s="0" t="s">
        <v>398</v>
      </c>
      <c r="G12" s="0" t="s">
        <v>399</v>
      </c>
      <c r="H12" s="2" t="s">
        <v>400</v>
      </c>
      <c r="I12" s="2" t="s">
        <v>401</v>
      </c>
      <c r="J12" s="0" t="s">
        <v>393</v>
      </c>
      <c r="K12" s="0" t="s">
        <v>386</v>
      </c>
      <c r="L12" s="0" t="s">
        <v>402</v>
      </c>
      <c r="M12" s="0" t="s">
        <v>358</v>
      </c>
      <c r="N12" s="0" t="s">
        <v>347</v>
      </c>
      <c r="O12" s="0" t="s">
        <v>393</v>
      </c>
      <c r="P12" s="0" t="s">
        <v>403</v>
      </c>
      <c r="Q12" s="0" t="s">
        <v>393</v>
      </c>
      <c r="R12" s="0" t="s">
        <v>404</v>
      </c>
      <c r="S12" s="1" t="s">
        <v>405</v>
      </c>
      <c r="T12" s="0" t="s">
        <v>406</v>
      </c>
      <c r="U12" s="0" t="s">
        <v>407</v>
      </c>
      <c r="V12" s="0" t="s">
        <v>408</v>
      </c>
      <c r="W12" s="0" t="s">
        <v>388</v>
      </c>
      <c r="X12" s="2" t="s">
        <v>409</v>
      </c>
      <c r="Y12" s="0" t="s">
        <v>410</v>
      </c>
      <c r="Z12" s="0" t="s">
        <v>411</v>
      </c>
      <c r="AA12" s="0" t="s">
        <v>412</v>
      </c>
      <c r="AB12" s="0" t="s">
        <v>390</v>
      </c>
      <c r="AC12" s="1" t="s">
        <v>413</v>
      </c>
      <c r="AD12" s="0" t="s">
        <v>386</v>
      </c>
      <c r="AE12" s="0" t="s">
        <v>399</v>
      </c>
      <c r="AF12" s="0" t="s">
        <v>399</v>
      </c>
      <c r="AG12" s="0" t="s">
        <v>414</v>
      </c>
      <c r="AH12" s="0" t="s">
        <v>386</v>
      </c>
      <c r="AI12" s="0" t="s">
        <v>393</v>
      </c>
      <c r="AJ12" s="0" t="s">
        <v>393</v>
      </c>
      <c r="AK12" s="0" t="s">
        <v>345</v>
      </c>
      <c r="AL12" s="1" t="s">
        <v>415</v>
      </c>
      <c r="AM12" s="0" t="s">
        <v>416</v>
      </c>
      <c r="AN12" s="0" t="s">
        <v>397</v>
      </c>
      <c r="AO12" s="0" t="s">
        <v>411</v>
      </c>
      <c r="AP12" s="1" t="s">
        <v>417</v>
      </c>
    </row>
    <row r="13" customFormat="false" ht="14.25" hidden="false" customHeight="false" outlineLevel="0" collapsed="false">
      <c r="A13" s="0" t="s">
        <v>342</v>
      </c>
      <c r="B13" s="0" t="s">
        <v>397</v>
      </c>
      <c r="C13" s="1" t="s">
        <v>418</v>
      </c>
      <c r="D13" s="0" t="s">
        <v>419</v>
      </c>
      <c r="E13" s="0" t="s">
        <v>356</v>
      </c>
      <c r="F13" s="0" t="s">
        <v>420</v>
      </c>
      <c r="G13" s="0" t="s">
        <v>388</v>
      </c>
      <c r="H13" s="2" t="s">
        <v>421</v>
      </c>
      <c r="I13" s="2" t="s">
        <v>422</v>
      </c>
      <c r="J13" s="0" t="s">
        <v>342</v>
      </c>
      <c r="K13" s="0" t="s">
        <v>388</v>
      </c>
      <c r="L13" s="0" t="s">
        <v>390</v>
      </c>
      <c r="M13" s="0" t="s">
        <v>378</v>
      </c>
      <c r="N13" s="0" t="s">
        <v>390</v>
      </c>
      <c r="O13" s="0" t="s">
        <v>406</v>
      </c>
      <c r="P13" s="0" t="s">
        <v>423</v>
      </c>
      <c r="Q13" s="0" t="s">
        <v>424</v>
      </c>
      <c r="R13" s="0" t="s">
        <v>425</v>
      </c>
      <c r="S13" s="1" t="s">
        <v>426</v>
      </c>
      <c r="T13" s="0" t="s">
        <v>378</v>
      </c>
      <c r="U13" s="0" t="s">
        <v>427</v>
      </c>
      <c r="V13" s="0" t="s">
        <v>390</v>
      </c>
      <c r="W13" s="0" t="s">
        <v>362</v>
      </c>
      <c r="X13" s="2" t="s">
        <v>428</v>
      </c>
      <c r="Y13" s="0" t="s">
        <v>388</v>
      </c>
      <c r="Z13" s="0" t="s">
        <v>429</v>
      </c>
      <c r="AA13" s="0" t="s">
        <v>390</v>
      </c>
      <c r="AB13" s="0" t="s">
        <v>384</v>
      </c>
      <c r="AC13" s="1" t="s">
        <v>430</v>
      </c>
      <c r="AD13" s="0" t="s">
        <v>388</v>
      </c>
      <c r="AE13" s="0" t="s">
        <v>406</v>
      </c>
      <c r="AF13" s="0" t="s">
        <v>412</v>
      </c>
      <c r="AG13" s="0" t="s">
        <v>412</v>
      </c>
      <c r="AH13" s="0" t="s">
        <v>388</v>
      </c>
      <c r="AI13" s="0" t="s">
        <v>342</v>
      </c>
      <c r="AJ13" s="0" t="s">
        <v>388</v>
      </c>
      <c r="AK13" s="0" t="s">
        <v>371</v>
      </c>
      <c r="AL13" s="1" t="s">
        <v>431</v>
      </c>
      <c r="AM13" s="0" t="s">
        <v>356</v>
      </c>
      <c r="AN13" s="0" t="s">
        <v>416</v>
      </c>
      <c r="AO13" s="0" t="s">
        <v>375</v>
      </c>
      <c r="AP13" s="1" t="s">
        <v>432</v>
      </c>
    </row>
    <row r="14" customFormat="false" ht="14.25" hidden="false" customHeight="false" outlineLevel="0" collapsed="false">
      <c r="A14" s="0" t="s">
        <v>433</v>
      </c>
      <c r="B14" s="0" t="s">
        <v>434</v>
      </c>
      <c r="C14" s="1" t="s">
        <v>435</v>
      </c>
      <c r="D14" s="0" t="s">
        <v>436</v>
      </c>
      <c r="E14" s="0" t="s">
        <v>437</v>
      </c>
      <c r="F14" s="0" t="s">
        <v>438</v>
      </c>
      <c r="G14" s="0" t="s">
        <v>439</v>
      </c>
      <c r="H14" s="2" t="s">
        <v>440</v>
      </c>
      <c r="I14" s="2" t="s">
        <v>441</v>
      </c>
      <c r="J14" s="0" t="s">
        <v>433</v>
      </c>
      <c r="K14" s="0" t="s">
        <v>442</v>
      </c>
      <c r="L14" s="0" t="s">
        <v>443</v>
      </c>
      <c r="M14" s="0" t="s">
        <v>444</v>
      </c>
      <c r="N14" s="0" t="s">
        <v>443</v>
      </c>
      <c r="O14" s="0" t="s">
        <v>445</v>
      </c>
      <c r="P14" s="0" t="s">
        <v>446</v>
      </c>
      <c r="Q14" s="0" t="s">
        <v>447</v>
      </c>
      <c r="R14" s="0" t="s">
        <v>448</v>
      </c>
      <c r="S14" s="1" t="s">
        <v>449</v>
      </c>
      <c r="T14" s="0" t="s">
        <v>450</v>
      </c>
      <c r="U14" s="0" t="s">
        <v>451</v>
      </c>
      <c r="V14" s="0" t="s">
        <v>452</v>
      </c>
      <c r="W14" s="0" t="s">
        <v>453</v>
      </c>
      <c r="X14" s="2" t="s">
        <v>454</v>
      </c>
      <c r="Y14" s="0" t="s">
        <v>455</v>
      </c>
      <c r="Z14" s="0" t="s">
        <v>456</v>
      </c>
      <c r="AA14" s="0" t="s">
        <v>457</v>
      </c>
      <c r="AB14" s="0" t="s">
        <v>458</v>
      </c>
      <c r="AC14" s="1" t="s">
        <v>459</v>
      </c>
      <c r="AD14" s="0" t="s">
        <v>460</v>
      </c>
      <c r="AE14" s="0" t="s">
        <v>461</v>
      </c>
      <c r="AF14" s="0" t="s">
        <v>462</v>
      </c>
      <c r="AG14" s="0" t="s">
        <v>463</v>
      </c>
      <c r="AH14" s="0" t="s">
        <v>464</v>
      </c>
      <c r="AI14" s="0" t="s">
        <v>433</v>
      </c>
      <c r="AJ14" s="0" t="s">
        <v>439</v>
      </c>
      <c r="AK14" s="0" t="s">
        <v>465</v>
      </c>
      <c r="AL14" s="1" t="s">
        <v>466</v>
      </c>
      <c r="AM14" s="0" t="s">
        <v>467</v>
      </c>
      <c r="AN14" s="0" t="s">
        <v>468</v>
      </c>
      <c r="AO14" s="0" t="s">
        <v>469</v>
      </c>
      <c r="AP14" s="1" t="s">
        <v>470</v>
      </c>
    </row>
    <row r="15" customFormat="false" ht="14.25" hidden="false" customHeight="false" outlineLevel="0" collapsed="false">
      <c r="A15" s="0" t="s">
        <v>471</v>
      </c>
      <c r="B15" s="0" t="s">
        <v>472</v>
      </c>
      <c r="C15" s="1" t="s">
        <v>473</v>
      </c>
      <c r="D15" s="0" t="s">
        <v>474</v>
      </c>
      <c r="E15" s="0" t="s">
        <v>475</v>
      </c>
      <c r="F15" s="0" t="s">
        <v>476</v>
      </c>
      <c r="G15" s="0" t="s">
        <v>477</v>
      </c>
      <c r="H15" s="2" t="s">
        <v>478</v>
      </c>
      <c r="I15" s="2" t="s">
        <v>479</v>
      </c>
      <c r="J15" s="0" t="s">
        <v>471</v>
      </c>
      <c r="K15" s="0" t="s">
        <v>480</v>
      </c>
      <c r="L15" s="0" t="s">
        <v>471</v>
      </c>
      <c r="M15" s="0" t="s">
        <v>471</v>
      </c>
      <c r="N15" s="0" t="s">
        <v>481</v>
      </c>
      <c r="O15" s="0" t="s">
        <v>482</v>
      </c>
      <c r="P15" s="0" t="s">
        <v>483</v>
      </c>
      <c r="Q15" s="0" t="s">
        <v>484</v>
      </c>
      <c r="R15" s="0" t="s">
        <v>485</v>
      </c>
      <c r="S15" s="1" t="s">
        <v>486</v>
      </c>
      <c r="T15" s="0" t="s">
        <v>471</v>
      </c>
      <c r="U15" s="0" t="s">
        <v>487</v>
      </c>
      <c r="V15" s="0" t="s">
        <v>481</v>
      </c>
      <c r="W15" s="0" t="s">
        <v>488</v>
      </c>
      <c r="X15" s="2" t="s">
        <v>489</v>
      </c>
      <c r="Y15" s="0" t="s">
        <v>490</v>
      </c>
      <c r="Z15" s="0" t="s">
        <v>491</v>
      </c>
      <c r="AA15" s="0" t="s">
        <v>388</v>
      </c>
      <c r="AB15" s="0" t="s">
        <v>388</v>
      </c>
      <c r="AC15" s="1" t="s">
        <v>492</v>
      </c>
      <c r="AD15" s="0" t="s">
        <v>493</v>
      </c>
      <c r="AE15" s="0" t="s">
        <v>388</v>
      </c>
      <c r="AF15" s="0" t="s">
        <v>388</v>
      </c>
      <c r="AG15" s="0" t="s">
        <v>494</v>
      </c>
      <c r="AH15" s="0" t="s">
        <v>480</v>
      </c>
      <c r="AI15" s="0" t="s">
        <v>471</v>
      </c>
      <c r="AJ15" s="0" t="s">
        <v>482</v>
      </c>
      <c r="AK15" s="0" t="s">
        <v>388</v>
      </c>
      <c r="AL15" s="1" t="s">
        <v>495</v>
      </c>
      <c r="AM15" s="0" t="s">
        <v>388</v>
      </c>
      <c r="AN15" s="0" t="s">
        <v>496</v>
      </c>
      <c r="AO15" s="0" t="s">
        <v>361</v>
      </c>
      <c r="AP15" s="1" t="s">
        <v>497</v>
      </c>
    </row>
    <row r="18" customFormat="false" ht="14.25" hidden="false" customHeight="false" outlineLevel="0" collapsed="false">
      <c r="A18" s="0" t="s">
        <v>498</v>
      </c>
      <c r="B18" s="0" t="s">
        <v>499</v>
      </c>
      <c r="C18" s="1" t="s">
        <v>500</v>
      </c>
      <c r="D18" s="0" t="s">
        <v>501</v>
      </c>
      <c r="E18" s="0" t="s">
        <v>416</v>
      </c>
      <c r="F18" s="0" t="s">
        <v>502</v>
      </c>
      <c r="G18" s="0" t="s">
        <v>503</v>
      </c>
      <c r="H18" s="2" t="s">
        <v>504</v>
      </c>
      <c r="I18" s="0" t="s">
        <v>498</v>
      </c>
      <c r="J18" s="0" t="s">
        <v>505</v>
      </c>
      <c r="K18" s="0" t="s">
        <v>506</v>
      </c>
      <c r="L18" s="0" t="s">
        <v>507</v>
      </c>
      <c r="M18" s="0" t="s">
        <v>508</v>
      </c>
      <c r="N18" s="0" t="s">
        <v>498</v>
      </c>
      <c r="O18" s="0" t="s">
        <v>498</v>
      </c>
      <c r="P18" s="0" t="s">
        <v>509</v>
      </c>
      <c r="Q18" s="0" t="s">
        <v>498</v>
      </c>
      <c r="R18" s="0" t="s">
        <v>510</v>
      </c>
      <c r="S18" s="1" t="s">
        <v>511</v>
      </c>
      <c r="T18" s="0" t="s">
        <v>512</v>
      </c>
      <c r="U18" s="0" t="s">
        <v>513</v>
      </c>
      <c r="V18" s="0" t="s">
        <v>498</v>
      </c>
      <c r="W18" s="0" t="s">
        <v>514</v>
      </c>
      <c r="X18" s="2" t="s">
        <v>515</v>
      </c>
      <c r="Y18" s="0" t="s">
        <v>516</v>
      </c>
      <c r="Z18" s="0" t="s">
        <v>502</v>
      </c>
      <c r="AA18" s="0" t="s">
        <v>517</v>
      </c>
      <c r="AB18" s="0" t="s">
        <v>507</v>
      </c>
      <c r="AC18" s="1" t="s">
        <v>518</v>
      </c>
      <c r="AD18" s="0" t="s">
        <v>519</v>
      </c>
      <c r="AE18" s="0" t="s">
        <v>514</v>
      </c>
      <c r="AF18" s="0" t="s">
        <v>520</v>
      </c>
      <c r="AG18" s="0" t="s">
        <v>505</v>
      </c>
      <c r="AH18" s="0" t="s">
        <v>506</v>
      </c>
      <c r="AI18" s="0" t="s">
        <v>505</v>
      </c>
      <c r="AJ18" s="0" t="s">
        <v>498</v>
      </c>
      <c r="AK18" s="0" t="s">
        <v>521</v>
      </c>
      <c r="AL18" s="1" t="s">
        <v>522</v>
      </c>
      <c r="AM18" s="0" t="s">
        <v>523</v>
      </c>
      <c r="AN18" s="0" t="s">
        <v>524</v>
      </c>
      <c r="AO18" s="0" t="s">
        <v>525</v>
      </c>
      <c r="AP18" s="1" t="s">
        <v>526</v>
      </c>
    </row>
    <row r="19" customFormat="false" ht="14.25" hidden="false" customHeight="false" outlineLevel="0" collapsed="false">
      <c r="A19" s="0" t="s">
        <v>527</v>
      </c>
      <c r="B19" s="0" t="s">
        <v>528</v>
      </c>
      <c r="C19" s="1" t="s">
        <v>529</v>
      </c>
      <c r="D19" s="0" t="s">
        <v>530</v>
      </c>
      <c r="E19" s="0" t="s">
        <v>531</v>
      </c>
      <c r="F19" s="0" t="s">
        <v>532</v>
      </c>
      <c r="G19" s="0" t="s">
        <v>533</v>
      </c>
      <c r="H19" s="2" t="s">
        <v>534</v>
      </c>
      <c r="I19" s="0" t="s">
        <v>527</v>
      </c>
      <c r="J19" s="0" t="s">
        <v>535</v>
      </c>
      <c r="K19" s="0" t="s">
        <v>536</v>
      </c>
      <c r="L19" s="0" t="s">
        <v>537</v>
      </c>
      <c r="M19" s="0" t="s">
        <v>538</v>
      </c>
      <c r="N19" s="0" t="s">
        <v>539</v>
      </c>
      <c r="O19" s="0" t="s">
        <v>527</v>
      </c>
      <c r="P19" s="0" t="s">
        <v>540</v>
      </c>
      <c r="Q19" s="0" t="s">
        <v>527</v>
      </c>
      <c r="R19" s="0" t="s">
        <v>541</v>
      </c>
      <c r="S19" s="1" t="s">
        <v>542</v>
      </c>
      <c r="T19" s="0" t="s">
        <v>543</v>
      </c>
      <c r="U19" s="0" t="s">
        <v>544</v>
      </c>
      <c r="V19" s="0" t="s">
        <v>539</v>
      </c>
      <c r="W19" s="0" t="s">
        <v>545</v>
      </c>
      <c r="X19" s="2" t="s">
        <v>546</v>
      </c>
      <c r="Y19" s="0" t="s">
        <v>547</v>
      </c>
      <c r="Z19" s="0" t="s">
        <v>532</v>
      </c>
      <c r="AA19" s="0" t="s">
        <v>548</v>
      </c>
      <c r="AB19" s="0" t="s">
        <v>537</v>
      </c>
      <c r="AC19" s="1" t="s">
        <v>549</v>
      </c>
      <c r="AD19" s="0" t="s">
        <v>550</v>
      </c>
      <c r="AE19" s="0" t="s">
        <v>551</v>
      </c>
      <c r="AF19" s="0" t="s">
        <v>545</v>
      </c>
      <c r="AG19" s="0" t="s">
        <v>535</v>
      </c>
      <c r="AH19" s="0" t="s">
        <v>536</v>
      </c>
      <c r="AI19" s="0" t="s">
        <v>535</v>
      </c>
      <c r="AJ19" s="0" t="s">
        <v>527</v>
      </c>
      <c r="AK19" s="0" t="s">
        <v>552</v>
      </c>
      <c r="AL19" s="1" t="s">
        <v>553</v>
      </c>
      <c r="AM19" s="0" t="s">
        <v>554</v>
      </c>
      <c r="AN19" s="0" t="s">
        <v>555</v>
      </c>
      <c r="AO19" s="0" t="s">
        <v>556</v>
      </c>
      <c r="AP19" s="1" t="s">
        <v>557</v>
      </c>
    </row>
    <row r="20" customFormat="false" ht="14.25" hidden="false" customHeight="false" outlineLevel="0" collapsed="false">
      <c r="A20" s="0" t="s">
        <v>558</v>
      </c>
      <c r="B20" s="0" t="s">
        <v>559</v>
      </c>
      <c r="C20" s="1" t="s">
        <v>560</v>
      </c>
      <c r="D20" s="0" t="s">
        <v>561</v>
      </c>
      <c r="E20" s="0" t="s">
        <v>562</v>
      </c>
      <c r="F20" s="0" t="s">
        <v>563</v>
      </c>
      <c r="G20" s="0" t="s">
        <v>564</v>
      </c>
      <c r="H20" s="2" t="s">
        <v>565</v>
      </c>
      <c r="I20" s="0" t="s">
        <v>558</v>
      </c>
      <c r="J20" s="0" t="s">
        <v>566</v>
      </c>
      <c r="K20" s="0" t="s">
        <v>567</v>
      </c>
      <c r="L20" s="0" t="s">
        <v>568</v>
      </c>
      <c r="M20" s="0" t="s">
        <v>569</v>
      </c>
      <c r="N20" s="0" t="s">
        <v>570</v>
      </c>
      <c r="O20" s="0" t="s">
        <v>558</v>
      </c>
      <c r="P20" s="0" t="s">
        <v>571</v>
      </c>
      <c r="Q20" s="0" t="s">
        <v>558</v>
      </c>
      <c r="R20" s="0" t="s">
        <v>572</v>
      </c>
      <c r="S20" s="1" t="s">
        <v>573</v>
      </c>
      <c r="T20" s="0" t="s">
        <v>574</v>
      </c>
      <c r="U20" s="0" t="s">
        <v>575</v>
      </c>
      <c r="V20" s="0" t="s">
        <v>576</v>
      </c>
      <c r="W20" s="0" t="s">
        <v>559</v>
      </c>
      <c r="X20" s="2" t="s">
        <v>577</v>
      </c>
      <c r="Y20" s="0" t="s">
        <v>578</v>
      </c>
      <c r="Z20" s="0" t="s">
        <v>579</v>
      </c>
      <c r="AA20" s="0" t="s">
        <v>580</v>
      </c>
      <c r="AB20" s="0" t="s">
        <v>581</v>
      </c>
      <c r="AC20" s="1" t="s">
        <v>582</v>
      </c>
      <c r="AD20" s="0" t="s">
        <v>583</v>
      </c>
      <c r="AE20" s="0" t="s">
        <v>584</v>
      </c>
      <c r="AF20" s="0" t="s">
        <v>559</v>
      </c>
      <c r="AG20" s="0" t="s">
        <v>566</v>
      </c>
      <c r="AH20" s="0" t="s">
        <v>585</v>
      </c>
      <c r="AI20" s="0" t="s">
        <v>586</v>
      </c>
      <c r="AJ20" s="0" t="s">
        <v>558</v>
      </c>
      <c r="AK20" s="0" t="s">
        <v>587</v>
      </c>
      <c r="AL20" s="1" t="s">
        <v>588</v>
      </c>
      <c r="AM20" s="0" t="s">
        <v>589</v>
      </c>
      <c r="AN20" s="0" t="s">
        <v>590</v>
      </c>
      <c r="AO20" s="0" t="s">
        <v>563</v>
      </c>
      <c r="AP20" s="1" t="s">
        <v>591</v>
      </c>
    </row>
    <row r="21" customFormat="false" ht="14.25" hidden="false" customHeight="false" outlineLevel="0" collapsed="false">
      <c r="A21" s="0" t="s">
        <v>592</v>
      </c>
      <c r="B21" s="0" t="s">
        <v>593</v>
      </c>
      <c r="C21" s="1" t="s">
        <v>594</v>
      </c>
      <c r="D21" s="0" t="s">
        <v>595</v>
      </c>
      <c r="E21" s="0" t="s">
        <v>596</v>
      </c>
      <c r="F21" s="0" t="s">
        <v>597</v>
      </c>
      <c r="G21" s="0" t="s">
        <v>598</v>
      </c>
      <c r="H21" s="2" t="s">
        <v>599</v>
      </c>
      <c r="I21" s="0" t="s">
        <v>592</v>
      </c>
      <c r="J21" s="0" t="s">
        <v>600</v>
      </c>
      <c r="K21" s="0" t="s">
        <v>601</v>
      </c>
      <c r="L21" s="0" t="s">
        <v>602</v>
      </c>
      <c r="M21" s="0" t="s">
        <v>603</v>
      </c>
      <c r="N21" s="0" t="s">
        <v>604</v>
      </c>
      <c r="O21" s="0" t="s">
        <v>592</v>
      </c>
      <c r="P21" s="0" t="s">
        <v>605</v>
      </c>
      <c r="Q21" s="0" t="s">
        <v>592</v>
      </c>
      <c r="R21" s="0" t="s">
        <v>606</v>
      </c>
      <c r="S21" s="1" t="s">
        <v>607</v>
      </c>
      <c r="T21" s="0" t="s">
        <v>608</v>
      </c>
      <c r="U21" s="0" t="s">
        <v>609</v>
      </c>
      <c r="V21" s="0" t="s">
        <v>610</v>
      </c>
      <c r="W21" s="0" t="s">
        <v>611</v>
      </c>
      <c r="X21" s="2" t="s">
        <v>612</v>
      </c>
      <c r="Y21" s="0" t="s">
        <v>613</v>
      </c>
      <c r="Z21" s="0" t="s">
        <v>614</v>
      </c>
      <c r="AA21" s="0" t="s">
        <v>615</v>
      </c>
      <c r="AB21" s="0" t="s">
        <v>602</v>
      </c>
      <c r="AC21" s="1" t="s">
        <v>616</v>
      </c>
      <c r="AD21" s="0" t="s">
        <v>617</v>
      </c>
      <c r="AE21" s="0" t="s">
        <v>618</v>
      </c>
      <c r="AF21" s="0" t="s">
        <v>619</v>
      </c>
      <c r="AG21" s="0" t="s">
        <v>620</v>
      </c>
      <c r="AH21" s="0" t="s">
        <v>601</v>
      </c>
      <c r="AI21" s="0" t="s">
        <v>620</v>
      </c>
      <c r="AJ21" s="0" t="s">
        <v>592</v>
      </c>
      <c r="AK21" s="0" t="s">
        <v>602</v>
      </c>
      <c r="AL21" s="1" t="s">
        <v>621</v>
      </c>
      <c r="AM21" s="0" t="s">
        <v>622</v>
      </c>
      <c r="AN21" s="0" t="s">
        <v>623</v>
      </c>
      <c r="AO21" s="0" t="s">
        <v>624</v>
      </c>
      <c r="AP21" s="1" t="s">
        <v>625</v>
      </c>
    </row>
    <row r="22" customFormat="false" ht="14.25" hidden="false" customHeight="false" outlineLevel="0" collapsed="false">
      <c r="A22" s="0" t="s">
        <v>626</v>
      </c>
      <c r="B22" s="0" t="s">
        <v>627</v>
      </c>
      <c r="C22" s="1" t="s">
        <v>628</v>
      </c>
      <c r="D22" s="0" t="s">
        <v>629</v>
      </c>
      <c r="E22" s="0" t="s">
        <v>630</v>
      </c>
      <c r="F22" s="0" t="s">
        <v>631</v>
      </c>
      <c r="G22" s="0" t="s">
        <v>632</v>
      </c>
      <c r="H22" s="2" t="s">
        <v>633</v>
      </c>
      <c r="I22" s="0" t="s">
        <v>626</v>
      </c>
      <c r="J22" s="0" t="s">
        <v>634</v>
      </c>
      <c r="K22" s="0" t="s">
        <v>635</v>
      </c>
      <c r="L22" s="0" t="s">
        <v>586</v>
      </c>
      <c r="M22" s="0" t="s">
        <v>636</v>
      </c>
      <c r="N22" s="0" t="s">
        <v>637</v>
      </c>
      <c r="O22" s="0" t="s">
        <v>626</v>
      </c>
      <c r="P22" s="0" t="s">
        <v>638</v>
      </c>
      <c r="Q22" s="0" t="s">
        <v>626</v>
      </c>
      <c r="R22" s="0" t="s">
        <v>639</v>
      </c>
      <c r="S22" s="1" t="s">
        <v>640</v>
      </c>
      <c r="T22" s="0" t="s">
        <v>641</v>
      </c>
      <c r="U22" s="0" t="s">
        <v>642</v>
      </c>
      <c r="V22" s="0" t="s">
        <v>643</v>
      </c>
      <c r="W22" s="0" t="s">
        <v>644</v>
      </c>
      <c r="X22" s="2" t="s">
        <v>645</v>
      </c>
      <c r="Y22" s="0" t="s">
        <v>646</v>
      </c>
      <c r="Z22" s="0" t="s">
        <v>647</v>
      </c>
      <c r="AA22" s="0" t="s">
        <v>648</v>
      </c>
      <c r="AB22" s="0" t="s">
        <v>649</v>
      </c>
      <c r="AC22" s="1" t="s">
        <v>650</v>
      </c>
      <c r="AD22" s="0" t="s">
        <v>651</v>
      </c>
      <c r="AE22" s="0" t="s">
        <v>652</v>
      </c>
      <c r="AF22" s="0" t="s">
        <v>653</v>
      </c>
      <c r="AG22" s="0" t="s">
        <v>634</v>
      </c>
      <c r="AH22" s="0" t="s">
        <v>654</v>
      </c>
      <c r="AI22" s="0" t="s">
        <v>634</v>
      </c>
      <c r="AJ22" s="0" t="s">
        <v>626</v>
      </c>
      <c r="AK22" s="0" t="s">
        <v>586</v>
      </c>
      <c r="AL22" s="1" t="s">
        <v>655</v>
      </c>
      <c r="AM22" s="0" t="s">
        <v>656</v>
      </c>
      <c r="AN22" s="0" t="s">
        <v>657</v>
      </c>
      <c r="AO22" s="0" t="s">
        <v>658</v>
      </c>
      <c r="AP22" s="1" t="s">
        <v>659</v>
      </c>
    </row>
    <row r="23" customFormat="false" ht="14.25" hidden="false" customHeight="false" outlineLevel="0" collapsed="false">
      <c r="A23" s="0" t="s">
        <v>660</v>
      </c>
      <c r="B23" s="0" t="s">
        <v>661</v>
      </c>
      <c r="C23" s="1" t="s">
        <v>662</v>
      </c>
      <c r="D23" s="0" t="s">
        <v>663</v>
      </c>
      <c r="E23" s="0" t="s">
        <v>664</v>
      </c>
      <c r="F23" s="0" t="s">
        <v>665</v>
      </c>
      <c r="G23" s="0" t="s">
        <v>666</v>
      </c>
      <c r="H23" s="2" t="s">
        <v>667</v>
      </c>
      <c r="I23" s="0" t="s">
        <v>660</v>
      </c>
      <c r="J23" s="0" t="s">
        <v>668</v>
      </c>
      <c r="K23" s="0" t="s">
        <v>669</v>
      </c>
      <c r="L23" s="0" t="s">
        <v>670</v>
      </c>
      <c r="M23" s="0" t="s">
        <v>671</v>
      </c>
      <c r="N23" s="0" t="s">
        <v>672</v>
      </c>
      <c r="O23" s="0" t="s">
        <v>660</v>
      </c>
      <c r="P23" s="0" t="s">
        <v>673</v>
      </c>
      <c r="Q23" s="0" t="s">
        <v>660</v>
      </c>
      <c r="R23" s="0" t="s">
        <v>674</v>
      </c>
      <c r="S23" s="1" t="s">
        <v>675</v>
      </c>
      <c r="T23" s="0" t="s">
        <v>676</v>
      </c>
      <c r="U23" s="0" t="s">
        <v>677</v>
      </c>
      <c r="V23" s="0" t="s">
        <v>678</v>
      </c>
      <c r="W23" s="0" t="s">
        <v>679</v>
      </c>
      <c r="X23" s="2" t="s">
        <v>680</v>
      </c>
      <c r="Y23" s="0" t="s">
        <v>681</v>
      </c>
      <c r="Z23" s="0" t="s">
        <v>665</v>
      </c>
      <c r="AA23" s="0" t="s">
        <v>682</v>
      </c>
      <c r="AB23" s="0" t="s">
        <v>670</v>
      </c>
      <c r="AC23" s="1" t="s">
        <v>683</v>
      </c>
      <c r="AD23" s="0" t="s">
        <v>684</v>
      </c>
      <c r="AE23" s="0" t="s">
        <v>685</v>
      </c>
      <c r="AF23" s="0" t="s">
        <v>686</v>
      </c>
      <c r="AG23" s="0" t="s">
        <v>668</v>
      </c>
      <c r="AH23" s="0" t="s">
        <v>687</v>
      </c>
      <c r="AI23" s="0" t="s">
        <v>668</v>
      </c>
      <c r="AJ23" s="0" t="s">
        <v>660</v>
      </c>
      <c r="AK23" s="0" t="s">
        <v>670</v>
      </c>
      <c r="AL23" s="1" t="s">
        <v>688</v>
      </c>
      <c r="AM23" s="0" t="s">
        <v>689</v>
      </c>
      <c r="AN23" s="0" t="s">
        <v>690</v>
      </c>
      <c r="AO23" s="0" t="s">
        <v>691</v>
      </c>
      <c r="AP23" s="1" t="s">
        <v>692</v>
      </c>
    </row>
    <row r="24" customFormat="false" ht="14.25" hidden="false" customHeight="false" outlineLevel="0" collapsed="false">
      <c r="A24" s="0" t="s">
        <v>693</v>
      </c>
      <c r="B24" s="0" t="s">
        <v>694</v>
      </c>
      <c r="C24" s="1" t="s">
        <v>695</v>
      </c>
      <c r="D24" s="0" t="s">
        <v>696</v>
      </c>
      <c r="E24" s="0" t="s">
        <v>697</v>
      </c>
      <c r="F24" s="0" t="s">
        <v>698</v>
      </c>
      <c r="G24" s="0" t="s">
        <v>699</v>
      </c>
      <c r="H24" s="2" t="s">
        <v>700</v>
      </c>
      <c r="I24" s="0" t="s">
        <v>693</v>
      </c>
      <c r="J24" s="0" t="s">
        <v>701</v>
      </c>
      <c r="K24" s="0" t="s">
        <v>702</v>
      </c>
      <c r="L24" s="0" t="s">
        <v>703</v>
      </c>
      <c r="M24" s="0" t="s">
        <v>704</v>
      </c>
      <c r="N24" s="0" t="s">
        <v>705</v>
      </c>
      <c r="O24" s="0" t="s">
        <v>693</v>
      </c>
      <c r="P24" s="0" t="s">
        <v>706</v>
      </c>
      <c r="Q24" s="0" t="s">
        <v>693</v>
      </c>
      <c r="R24" s="0" t="s">
        <v>707</v>
      </c>
      <c r="S24" s="1" t="s">
        <v>708</v>
      </c>
      <c r="T24" s="0" t="s">
        <v>709</v>
      </c>
      <c r="U24" s="0" t="s">
        <v>710</v>
      </c>
      <c r="V24" s="0" t="s">
        <v>711</v>
      </c>
      <c r="W24" s="0" t="s">
        <v>710</v>
      </c>
      <c r="X24" s="2" t="s">
        <v>712</v>
      </c>
      <c r="Y24" s="0" t="s">
        <v>713</v>
      </c>
      <c r="Z24" s="0" t="s">
        <v>714</v>
      </c>
      <c r="AA24" s="0" t="s">
        <v>715</v>
      </c>
      <c r="AB24" s="0" t="s">
        <v>703</v>
      </c>
      <c r="AC24" s="1" t="s">
        <v>716</v>
      </c>
      <c r="AD24" s="0" t="s">
        <v>702</v>
      </c>
      <c r="AE24" s="0" t="s">
        <v>710</v>
      </c>
      <c r="AF24" s="0" t="s">
        <v>717</v>
      </c>
      <c r="AG24" s="0" t="s">
        <v>701</v>
      </c>
      <c r="AH24" s="0" t="s">
        <v>702</v>
      </c>
      <c r="AI24" s="0" t="s">
        <v>718</v>
      </c>
      <c r="AJ24" s="0" t="s">
        <v>693</v>
      </c>
      <c r="AK24" s="0" t="s">
        <v>719</v>
      </c>
      <c r="AL24" s="1" t="s">
        <v>720</v>
      </c>
      <c r="AM24" s="0" t="s">
        <v>721</v>
      </c>
      <c r="AN24" s="0" t="s">
        <v>722</v>
      </c>
      <c r="AO24" s="0" t="s">
        <v>723</v>
      </c>
      <c r="AP24" s="1" t="s">
        <v>724</v>
      </c>
    </row>
    <row r="25" customFormat="false" ht="14.25" hidden="false" customHeight="false" outlineLevel="0" collapsed="false">
      <c r="A25" s="0" t="s">
        <v>725</v>
      </c>
      <c r="B25" s="0" t="s">
        <v>725</v>
      </c>
      <c r="C25" s="1" t="s">
        <v>726</v>
      </c>
      <c r="D25" s="0" t="s">
        <v>727</v>
      </c>
      <c r="E25" s="0" t="s">
        <v>728</v>
      </c>
      <c r="F25" s="0" t="s">
        <v>729</v>
      </c>
      <c r="G25" s="0" t="s">
        <v>730</v>
      </c>
      <c r="H25" s="2" t="s">
        <v>731</v>
      </c>
      <c r="I25" s="0" t="s">
        <v>725</v>
      </c>
      <c r="J25" s="0" t="s">
        <v>732</v>
      </c>
      <c r="K25" s="0" t="s">
        <v>725</v>
      </c>
      <c r="L25" s="0" t="s">
        <v>725</v>
      </c>
      <c r="M25" s="0" t="s">
        <v>725</v>
      </c>
      <c r="N25" s="0" t="s">
        <v>725</v>
      </c>
      <c r="O25" s="0" t="s">
        <v>733</v>
      </c>
      <c r="P25" s="0" t="s">
        <v>734</v>
      </c>
      <c r="Q25" s="0" t="s">
        <v>725</v>
      </c>
      <c r="R25" s="0" t="s">
        <v>735</v>
      </c>
      <c r="S25" s="1" t="s">
        <v>736</v>
      </c>
      <c r="T25" s="0" t="s">
        <v>725</v>
      </c>
      <c r="U25" s="0" t="s">
        <v>725</v>
      </c>
      <c r="V25" s="0" t="s">
        <v>725</v>
      </c>
      <c r="W25" s="0" t="s">
        <v>730</v>
      </c>
      <c r="X25" s="0" t="s">
        <v>737</v>
      </c>
      <c r="Y25" s="0" t="s">
        <v>738</v>
      </c>
      <c r="Z25" s="0" t="s">
        <v>739</v>
      </c>
      <c r="AA25" s="0" t="s">
        <v>725</v>
      </c>
      <c r="AB25" s="0" t="s">
        <v>725</v>
      </c>
      <c r="AC25" s="1" t="s">
        <v>740</v>
      </c>
      <c r="AD25" s="0" t="s">
        <v>741</v>
      </c>
      <c r="AE25" s="0" t="s">
        <v>725</v>
      </c>
      <c r="AF25" s="0" t="s">
        <v>742</v>
      </c>
      <c r="AG25" s="0" t="s">
        <v>725</v>
      </c>
      <c r="AH25" s="0" t="s">
        <v>725</v>
      </c>
      <c r="AI25" s="0" t="s">
        <v>725</v>
      </c>
      <c r="AJ25" s="0" t="s">
        <v>743</v>
      </c>
      <c r="AK25" s="0" t="s">
        <v>744</v>
      </c>
      <c r="AL25" s="1" t="s">
        <v>745</v>
      </c>
      <c r="AM25" s="0" t="s">
        <v>746</v>
      </c>
      <c r="AN25" s="0" t="s">
        <v>747</v>
      </c>
      <c r="AO25" s="0" t="s">
        <v>748</v>
      </c>
      <c r="AP25" s="1" t="s">
        <v>749</v>
      </c>
    </row>
    <row r="26" customFormat="false" ht="14.25" hidden="false" customHeight="false" outlineLevel="0" collapsed="false">
      <c r="A26" s="0" t="s">
        <v>750</v>
      </c>
      <c r="B26" s="0" t="s">
        <v>751</v>
      </c>
      <c r="C26" s="1" t="s">
        <v>752</v>
      </c>
      <c r="D26" s="0" t="s">
        <v>753</v>
      </c>
      <c r="E26" s="0" t="s">
        <v>754</v>
      </c>
      <c r="F26" s="0" t="s">
        <v>755</v>
      </c>
      <c r="G26" s="0" t="s">
        <v>750</v>
      </c>
      <c r="H26" s="2" t="s">
        <v>756</v>
      </c>
      <c r="I26" s="0" t="s">
        <v>750</v>
      </c>
      <c r="J26" s="0" t="s">
        <v>757</v>
      </c>
      <c r="K26" s="0" t="s">
        <v>750</v>
      </c>
      <c r="L26" s="0" t="s">
        <v>750</v>
      </c>
      <c r="M26" s="0" t="s">
        <v>750</v>
      </c>
      <c r="N26" s="0" t="s">
        <v>750</v>
      </c>
      <c r="O26" s="0" t="s">
        <v>758</v>
      </c>
      <c r="P26" s="0" t="s">
        <v>759</v>
      </c>
      <c r="Q26" s="0" t="s">
        <v>750</v>
      </c>
      <c r="R26" s="0" t="s">
        <v>760</v>
      </c>
      <c r="S26" s="1" t="s">
        <v>761</v>
      </c>
      <c r="T26" s="0" t="s">
        <v>750</v>
      </c>
      <c r="U26" s="0" t="s">
        <v>762</v>
      </c>
      <c r="V26" s="0" t="s">
        <v>750</v>
      </c>
      <c r="W26" s="0" t="s">
        <v>750</v>
      </c>
      <c r="X26" s="0" t="s">
        <v>763</v>
      </c>
      <c r="Y26" s="0" t="s">
        <v>512</v>
      </c>
      <c r="Z26" s="0" t="s">
        <v>764</v>
      </c>
      <c r="AA26" s="0" t="s">
        <v>765</v>
      </c>
      <c r="AB26" s="0" t="s">
        <v>750</v>
      </c>
      <c r="AC26" s="1" t="s">
        <v>766</v>
      </c>
      <c r="AD26" s="0" t="s">
        <v>767</v>
      </c>
      <c r="AE26" s="0" t="s">
        <v>754</v>
      </c>
      <c r="AF26" s="0" t="s">
        <v>750</v>
      </c>
      <c r="AG26" s="0" t="s">
        <v>750</v>
      </c>
      <c r="AH26" s="0" t="s">
        <v>750</v>
      </c>
      <c r="AI26" s="0" t="s">
        <v>750</v>
      </c>
      <c r="AJ26" s="0" t="s">
        <v>750</v>
      </c>
      <c r="AK26" s="0" t="s">
        <v>750</v>
      </c>
      <c r="AL26" s="1" t="s">
        <v>768</v>
      </c>
      <c r="AM26" s="0" t="s">
        <v>769</v>
      </c>
      <c r="AN26" s="0" t="s">
        <v>770</v>
      </c>
      <c r="AO26" s="0" t="s">
        <v>771</v>
      </c>
      <c r="AP26" s="1" t="s">
        <v>772</v>
      </c>
    </row>
    <row r="27" customFormat="false" ht="14.25" hidden="false" customHeight="false" outlineLevel="0" collapsed="false">
      <c r="A27" s="0" t="s">
        <v>559</v>
      </c>
      <c r="B27" s="0" t="s">
        <v>559</v>
      </c>
      <c r="C27" s="1" t="s">
        <v>773</v>
      </c>
      <c r="D27" s="0" t="s">
        <v>774</v>
      </c>
      <c r="E27" s="0" t="s">
        <v>559</v>
      </c>
      <c r="F27" s="0" t="s">
        <v>775</v>
      </c>
      <c r="G27" s="0" t="s">
        <v>559</v>
      </c>
      <c r="H27" s="2" t="s">
        <v>776</v>
      </c>
      <c r="I27" s="0" t="s">
        <v>559</v>
      </c>
      <c r="J27" s="0" t="s">
        <v>777</v>
      </c>
      <c r="K27" s="0" t="s">
        <v>559</v>
      </c>
      <c r="L27" s="0" t="s">
        <v>559</v>
      </c>
      <c r="M27" s="0" t="s">
        <v>778</v>
      </c>
      <c r="N27" s="0" t="s">
        <v>559</v>
      </c>
      <c r="O27" s="0" t="s">
        <v>779</v>
      </c>
      <c r="P27" s="0" t="s">
        <v>780</v>
      </c>
      <c r="Q27" s="0" t="s">
        <v>781</v>
      </c>
      <c r="R27" s="0" t="s">
        <v>782</v>
      </c>
      <c r="S27" s="1" t="s">
        <v>783</v>
      </c>
      <c r="T27" s="0" t="s">
        <v>784</v>
      </c>
      <c r="U27" s="0" t="s">
        <v>559</v>
      </c>
      <c r="V27" s="0" t="s">
        <v>559</v>
      </c>
      <c r="W27" s="0" t="s">
        <v>559</v>
      </c>
      <c r="X27" s="0" t="s">
        <v>785</v>
      </c>
      <c r="Y27" s="0" t="s">
        <v>786</v>
      </c>
      <c r="Z27" s="0" t="s">
        <v>787</v>
      </c>
      <c r="AA27" s="0" t="s">
        <v>559</v>
      </c>
      <c r="AB27" s="0" t="s">
        <v>559</v>
      </c>
      <c r="AC27" s="1" t="s">
        <v>788</v>
      </c>
      <c r="AD27" s="0" t="s">
        <v>559</v>
      </c>
      <c r="AE27" s="0" t="s">
        <v>559</v>
      </c>
      <c r="AF27" s="0" t="s">
        <v>559</v>
      </c>
      <c r="AG27" s="0" t="s">
        <v>559</v>
      </c>
      <c r="AH27" s="0" t="s">
        <v>559</v>
      </c>
      <c r="AI27" s="0" t="s">
        <v>559</v>
      </c>
      <c r="AJ27" s="0" t="s">
        <v>559</v>
      </c>
      <c r="AK27" s="0" t="s">
        <v>789</v>
      </c>
      <c r="AL27" s="1" t="s">
        <v>790</v>
      </c>
      <c r="AM27" s="0" t="s">
        <v>559</v>
      </c>
      <c r="AN27" s="0" t="s">
        <v>791</v>
      </c>
      <c r="AO27" s="0" t="s">
        <v>792</v>
      </c>
      <c r="AP27" s="1" t="s">
        <v>793</v>
      </c>
    </row>
    <row r="28" customFormat="false" ht="14.25" hidden="false" customHeight="false" outlineLevel="0" collapsed="false">
      <c r="A28" s="0" t="s">
        <v>794</v>
      </c>
      <c r="B28" s="0" t="s">
        <v>795</v>
      </c>
      <c r="C28" s="1" t="s">
        <v>796</v>
      </c>
      <c r="D28" s="0" t="s">
        <v>797</v>
      </c>
      <c r="E28" s="0" t="s">
        <v>794</v>
      </c>
      <c r="F28" s="0" t="s">
        <v>798</v>
      </c>
      <c r="G28" s="0" t="s">
        <v>799</v>
      </c>
      <c r="H28" s="2" t="s">
        <v>800</v>
      </c>
      <c r="I28" s="0" t="s">
        <v>794</v>
      </c>
      <c r="J28" s="0" t="s">
        <v>801</v>
      </c>
      <c r="K28" s="0" t="s">
        <v>794</v>
      </c>
      <c r="L28" s="0" t="s">
        <v>794</v>
      </c>
      <c r="M28" s="0" t="s">
        <v>794</v>
      </c>
      <c r="N28" s="0" t="s">
        <v>794</v>
      </c>
      <c r="O28" s="0" t="s">
        <v>802</v>
      </c>
      <c r="P28" s="0" t="s">
        <v>803</v>
      </c>
      <c r="Q28" s="0" t="s">
        <v>794</v>
      </c>
      <c r="R28" s="0" t="s">
        <v>804</v>
      </c>
      <c r="S28" s="1" t="s">
        <v>805</v>
      </c>
      <c r="T28" s="0" t="s">
        <v>806</v>
      </c>
      <c r="U28" s="0" t="s">
        <v>794</v>
      </c>
      <c r="V28" s="0" t="s">
        <v>794</v>
      </c>
      <c r="W28" s="0" t="s">
        <v>794</v>
      </c>
      <c r="X28" s="0" t="s">
        <v>807</v>
      </c>
      <c r="Y28" s="0" t="s">
        <v>808</v>
      </c>
      <c r="Z28" s="0" t="s">
        <v>809</v>
      </c>
      <c r="AA28" s="0" t="s">
        <v>794</v>
      </c>
      <c r="AB28" s="0" t="s">
        <v>794</v>
      </c>
      <c r="AC28" s="1" t="s">
        <v>810</v>
      </c>
      <c r="AD28" s="0" t="s">
        <v>811</v>
      </c>
      <c r="AE28" s="0" t="s">
        <v>799</v>
      </c>
      <c r="AF28" s="0" t="s">
        <v>794</v>
      </c>
      <c r="AG28" s="0" t="s">
        <v>794</v>
      </c>
      <c r="AH28" s="0" t="s">
        <v>794</v>
      </c>
      <c r="AI28" s="0" t="s">
        <v>794</v>
      </c>
      <c r="AJ28" s="0" t="s">
        <v>799</v>
      </c>
      <c r="AK28" s="0" t="s">
        <v>812</v>
      </c>
      <c r="AL28" s="1" t="s">
        <v>813</v>
      </c>
      <c r="AM28" s="0" t="s">
        <v>814</v>
      </c>
      <c r="AN28" s="0" t="s">
        <v>815</v>
      </c>
      <c r="AO28" s="0" t="s">
        <v>816</v>
      </c>
      <c r="AP28" s="1" t="s">
        <v>817</v>
      </c>
    </row>
    <row r="29" customFormat="false" ht="14.25" hidden="false" customHeight="false" outlineLevel="0" collapsed="false">
      <c r="A29" s="0" t="s">
        <v>818</v>
      </c>
      <c r="B29" s="0" t="s">
        <v>819</v>
      </c>
      <c r="C29" s="1" t="s">
        <v>820</v>
      </c>
      <c r="D29" s="0" t="s">
        <v>821</v>
      </c>
      <c r="E29" s="0" t="s">
        <v>818</v>
      </c>
      <c r="F29" s="0" t="s">
        <v>822</v>
      </c>
      <c r="G29" s="0" t="s">
        <v>823</v>
      </c>
      <c r="H29" s="2" t="s">
        <v>824</v>
      </c>
      <c r="I29" s="0" t="s">
        <v>818</v>
      </c>
      <c r="J29" s="0" t="s">
        <v>825</v>
      </c>
      <c r="K29" s="0" t="s">
        <v>818</v>
      </c>
      <c r="L29" s="0" t="s">
        <v>819</v>
      </c>
      <c r="M29" s="0" t="s">
        <v>826</v>
      </c>
      <c r="N29" s="0" t="s">
        <v>823</v>
      </c>
      <c r="O29" s="0" t="s">
        <v>823</v>
      </c>
      <c r="P29" s="0" t="s">
        <v>827</v>
      </c>
      <c r="Q29" s="0" t="s">
        <v>823</v>
      </c>
      <c r="R29" s="0" t="s">
        <v>828</v>
      </c>
      <c r="S29" s="1" t="s">
        <v>829</v>
      </c>
      <c r="T29" s="0" t="s">
        <v>830</v>
      </c>
      <c r="U29" s="0" t="s">
        <v>826</v>
      </c>
      <c r="V29" s="0" t="s">
        <v>831</v>
      </c>
      <c r="W29" s="0" t="s">
        <v>832</v>
      </c>
      <c r="X29" s="0" t="s">
        <v>833</v>
      </c>
      <c r="Y29" s="0" t="s">
        <v>834</v>
      </c>
      <c r="Z29" s="0" t="s">
        <v>835</v>
      </c>
      <c r="AA29" s="0" t="s">
        <v>836</v>
      </c>
      <c r="AB29" s="0" t="s">
        <v>823</v>
      </c>
      <c r="AC29" s="1" t="s">
        <v>837</v>
      </c>
      <c r="AD29" s="0" t="s">
        <v>819</v>
      </c>
      <c r="AE29" s="0" t="s">
        <v>823</v>
      </c>
      <c r="AF29" s="0" t="s">
        <v>823</v>
      </c>
      <c r="AG29" s="0" t="s">
        <v>819</v>
      </c>
      <c r="AH29" s="0" t="s">
        <v>830</v>
      </c>
      <c r="AI29" s="0" t="s">
        <v>819</v>
      </c>
      <c r="AJ29" s="0" t="s">
        <v>818</v>
      </c>
      <c r="AK29" s="0" t="s">
        <v>838</v>
      </c>
      <c r="AL29" s="1" t="s">
        <v>839</v>
      </c>
      <c r="AM29" s="0" t="s">
        <v>818</v>
      </c>
      <c r="AN29" s="0" t="s">
        <v>840</v>
      </c>
      <c r="AO29" s="0" t="s">
        <v>841</v>
      </c>
      <c r="AP29" s="1" t="s">
        <v>842</v>
      </c>
    </row>
    <row r="30" customFormat="false" ht="14.25" hidden="false" customHeight="false" outlineLevel="0" collapsed="false">
      <c r="A30" s="0" t="s">
        <v>843</v>
      </c>
      <c r="B30" s="0" t="s">
        <v>844</v>
      </c>
      <c r="C30" s="1" t="s">
        <v>845</v>
      </c>
      <c r="D30" s="0" t="s">
        <v>846</v>
      </c>
      <c r="E30" s="0" t="s">
        <v>847</v>
      </c>
      <c r="F30" s="0" t="s">
        <v>848</v>
      </c>
      <c r="G30" s="0" t="s">
        <v>843</v>
      </c>
      <c r="H30" s="2" t="s">
        <v>849</v>
      </c>
      <c r="I30" s="0" t="s">
        <v>843</v>
      </c>
      <c r="J30" s="0" t="s">
        <v>850</v>
      </c>
      <c r="K30" s="0" t="s">
        <v>851</v>
      </c>
      <c r="L30" s="0" t="s">
        <v>843</v>
      </c>
      <c r="M30" s="0" t="s">
        <v>843</v>
      </c>
      <c r="N30" s="0" t="s">
        <v>843</v>
      </c>
      <c r="O30" s="0" t="s">
        <v>852</v>
      </c>
      <c r="P30" s="0" t="s">
        <v>853</v>
      </c>
      <c r="Q30" s="0" t="s">
        <v>843</v>
      </c>
      <c r="R30" s="0" t="s">
        <v>854</v>
      </c>
      <c r="S30" s="1" t="s">
        <v>855</v>
      </c>
      <c r="T30" s="0" t="s">
        <v>856</v>
      </c>
      <c r="U30" s="0" t="s">
        <v>843</v>
      </c>
      <c r="V30" s="0" t="s">
        <v>856</v>
      </c>
      <c r="W30" s="0" t="s">
        <v>857</v>
      </c>
      <c r="X30" s="0" t="s">
        <v>858</v>
      </c>
      <c r="Y30" s="0" t="s">
        <v>859</v>
      </c>
      <c r="Z30" s="0" t="s">
        <v>860</v>
      </c>
      <c r="AA30" s="0" t="s">
        <v>861</v>
      </c>
      <c r="AB30" s="0" t="s">
        <v>843</v>
      </c>
      <c r="AC30" s="1" t="s">
        <v>862</v>
      </c>
      <c r="AD30" s="0" t="s">
        <v>863</v>
      </c>
      <c r="AE30" s="0" t="s">
        <v>843</v>
      </c>
      <c r="AF30" s="0" t="s">
        <v>864</v>
      </c>
      <c r="AG30" s="0" t="s">
        <v>843</v>
      </c>
      <c r="AH30" s="0" t="s">
        <v>856</v>
      </c>
      <c r="AI30" s="0" t="s">
        <v>843</v>
      </c>
      <c r="AJ30" s="0" t="s">
        <v>843</v>
      </c>
      <c r="AK30" s="0" t="s">
        <v>865</v>
      </c>
      <c r="AL30" s="1" t="s">
        <v>866</v>
      </c>
      <c r="AM30" s="0" t="s">
        <v>867</v>
      </c>
      <c r="AN30" s="0" t="s">
        <v>868</v>
      </c>
      <c r="AO30" s="0" t="s">
        <v>869</v>
      </c>
      <c r="AP30" s="1" t="s">
        <v>870</v>
      </c>
    </row>
    <row r="31" customFormat="false" ht="14.25" hidden="false" customHeight="false" outlineLevel="0" collapsed="false">
      <c r="A31" s="0" t="s">
        <v>871</v>
      </c>
      <c r="B31" s="0" t="s">
        <v>872</v>
      </c>
      <c r="C31" s="1" t="s">
        <v>873</v>
      </c>
      <c r="D31" s="0" t="s">
        <v>874</v>
      </c>
      <c r="E31" s="0" t="s">
        <v>875</v>
      </c>
      <c r="F31" s="0" t="s">
        <v>876</v>
      </c>
      <c r="G31" s="0" t="s">
        <v>871</v>
      </c>
      <c r="H31" s="2" t="s">
        <v>877</v>
      </c>
      <c r="I31" s="0" t="s">
        <v>871</v>
      </c>
      <c r="J31" s="0" t="s">
        <v>878</v>
      </c>
      <c r="K31" s="0" t="s">
        <v>879</v>
      </c>
      <c r="L31" s="0" t="s">
        <v>871</v>
      </c>
      <c r="M31" s="0" t="s">
        <v>871</v>
      </c>
      <c r="N31" s="0" t="s">
        <v>871</v>
      </c>
      <c r="O31" s="0" t="s">
        <v>880</v>
      </c>
      <c r="P31" s="0" t="s">
        <v>881</v>
      </c>
      <c r="Q31" s="0" t="s">
        <v>871</v>
      </c>
      <c r="R31" s="0" t="s">
        <v>882</v>
      </c>
      <c r="S31" s="1" t="s">
        <v>883</v>
      </c>
      <c r="T31" s="0" t="s">
        <v>884</v>
      </c>
      <c r="U31" s="0" t="s">
        <v>871</v>
      </c>
      <c r="V31" s="0" t="s">
        <v>884</v>
      </c>
      <c r="W31" s="0" t="s">
        <v>885</v>
      </c>
      <c r="X31" s="0" t="s">
        <v>886</v>
      </c>
      <c r="Y31" s="0" t="s">
        <v>887</v>
      </c>
      <c r="Z31" s="0" t="s">
        <v>888</v>
      </c>
      <c r="AA31" s="0" t="s">
        <v>889</v>
      </c>
      <c r="AB31" s="0" t="s">
        <v>871</v>
      </c>
      <c r="AC31" s="1" t="s">
        <v>890</v>
      </c>
      <c r="AD31" s="0" t="s">
        <v>850</v>
      </c>
      <c r="AE31" s="0" t="s">
        <v>871</v>
      </c>
      <c r="AF31" s="0" t="s">
        <v>891</v>
      </c>
      <c r="AG31" s="0" t="s">
        <v>871</v>
      </c>
      <c r="AH31" s="0" t="s">
        <v>884</v>
      </c>
      <c r="AI31" s="0" t="s">
        <v>871</v>
      </c>
      <c r="AJ31" s="0" t="s">
        <v>871</v>
      </c>
      <c r="AK31" s="0" t="s">
        <v>892</v>
      </c>
      <c r="AL31" s="1" t="s">
        <v>893</v>
      </c>
      <c r="AM31" s="0" t="s">
        <v>894</v>
      </c>
      <c r="AN31" s="0" t="s">
        <v>895</v>
      </c>
      <c r="AO31" s="0" t="s">
        <v>896</v>
      </c>
      <c r="AP31" s="1" t="s">
        <v>897</v>
      </c>
    </row>
    <row r="32" customFormat="false" ht="14.25" hidden="false" customHeight="false" outlineLevel="0" collapsed="false">
      <c r="A32" s="0" t="s">
        <v>898</v>
      </c>
      <c r="B32" s="0" t="s">
        <v>899</v>
      </c>
      <c r="C32" s="1" t="s">
        <v>900</v>
      </c>
      <c r="D32" s="0" t="s">
        <v>901</v>
      </c>
      <c r="E32" s="0" t="s">
        <v>902</v>
      </c>
      <c r="F32" s="0" t="s">
        <v>903</v>
      </c>
      <c r="G32" s="0" t="s">
        <v>904</v>
      </c>
      <c r="H32" s="2" t="s">
        <v>905</v>
      </c>
      <c r="I32" s="0" t="s">
        <v>898</v>
      </c>
      <c r="J32" s="0" t="s">
        <v>906</v>
      </c>
      <c r="K32" s="0" t="s">
        <v>898</v>
      </c>
      <c r="L32" s="0" t="s">
        <v>898</v>
      </c>
      <c r="M32" s="0" t="s">
        <v>898</v>
      </c>
      <c r="N32" s="0" t="s">
        <v>898</v>
      </c>
      <c r="O32" s="0" t="s">
        <v>907</v>
      </c>
      <c r="P32" s="0" t="s">
        <v>908</v>
      </c>
      <c r="Q32" s="0" t="s">
        <v>898</v>
      </c>
      <c r="R32" s="0" t="s">
        <v>909</v>
      </c>
      <c r="S32" s="1" t="s">
        <v>910</v>
      </c>
      <c r="T32" s="0" t="s">
        <v>898</v>
      </c>
      <c r="U32" s="0" t="s">
        <v>911</v>
      </c>
      <c r="V32" s="0" t="s">
        <v>912</v>
      </c>
      <c r="W32" s="0" t="s">
        <v>904</v>
      </c>
      <c r="X32" s="0" t="s">
        <v>913</v>
      </c>
      <c r="Y32" s="0" t="s">
        <v>914</v>
      </c>
      <c r="Z32" s="0" t="s">
        <v>915</v>
      </c>
      <c r="AA32" s="0" t="s">
        <v>916</v>
      </c>
      <c r="AB32" s="0" t="s">
        <v>898</v>
      </c>
      <c r="AC32" s="1" t="s">
        <v>917</v>
      </c>
      <c r="AD32" s="0" t="s">
        <v>918</v>
      </c>
      <c r="AE32" s="0" t="s">
        <v>904</v>
      </c>
      <c r="AF32" s="0" t="s">
        <v>898</v>
      </c>
      <c r="AG32" s="0" t="s">
        <v>919</v>
      </c>
      <c r="AH32" s="0" t="s">
        <v>898</v>
      </c>
      <c r="AI32" s="0" t="s">
        <v>919</v>
      </c>
      <c r="AJ32" s="0" t="s">
        <v>904</v>
      </c>
      <c r="AK32" s="0" t="s">
        <v>898</v>
      </c>
      <c r="AL32" s="1" t="s">
        <v>920</v>
      </c>
      <c r="AM32" s="0" t="s">
        <v>921</v>
      </c>
      <c r="AN32" s="0" t="s">
        <v>922</v>
      </c>
      <c r="AO32" s="0" t="s">
        <v>923</v>
      </c>
      <c r="AP32" s="1" t="s">
        <v>924</v>
      </c>
    </row>
    <row r="33" customFormat="false" ht="14.25" hidden="false" customHeight="false" outlineLevel="0" collapsed="false">
      <c r="A33" s="0" t="s">
        <v>925</v>
      </c>
      <c r="B33" s="0" t="s">
        <v>926</v>
      </c>
      <c r="C33" s="1" t="s">
        <v>927</v>
      </c>
      <c r="D33" s="0" t="s">
        <v>928</v>
      </c>
      <c r="E33" s="0" t="s">
        <v>544</v>
      </c>
      <c r="F33" s="0" t="s">
        <v>929</v>
      </c>
      <c r="G33" s="0" t="s">
        <v>930</v>
      </c>
      <c r="H33" s="2" t="s">
        <v>931</v>
      </c>
      <c r="I33" s="0" t="s">
        <v>925</v>
      </c>
      <c r="J33" s="0" t="s">
        <v>932</v>
      </c>
      <c r="K33" s="0" t="s">
        <v>925</v>
      </c>
      <c r="L33" s="0" t="s">
        <v>925</v>
      </c>
      <c r="M33" s="0" t="s">
        <v>925</v>
      </c>
      <c r="N33" s="0" t="s">
        <v>925</v>
      </c>
      <c r="O33" s="0" t="s">
        <v>933</v>
      </c>
      <c r="P33" s="0" t="s">
        <v>934</v>
      </c>
      <c r="Q33" s="0" t="s">
        <v>925</v>
      </c>
      <c r="R33" s="0" t="s">
        <v>935</v>
      </c>
      <c r="S33" s="1" t="s">
        <v>936</v>
      </c>
      <c r="T33" s="0" t="s">
        <v>937</v>
      </c>
      <c r="U33" s="0" t="s">
        <v>925</v>
      </c>
      <c r="V33" s="0" t="s">
        <v>925</v>
      </c>
      <c r="W33" s="0" t="s">
        <v>930</v>
      </c>
      <c r="X33" s="0" t="s">
        <v>938</v>
      </c>
      <c r="Y33" s="0" t="s">
        <v>939</v>
      </c>
      <c r="Z33" s="0" t="s">
        <v>940</v>
      </c>
      <c r="AA33" s="0" t="s">
        <v>930</v>
      </c>
      <c r="AB33" s="0" t="s">
        <v>925</v>
      </c>
      <c r="AC33" s="1" t="s">
        <v>941</v>
      </c>
      <c r="AD33" s="0" t="s">
        <v>942</v>
      </c>
      <c r="AE33" s="0" t="s">
        <v>930</v>
      </c>
      <c r="AF33" s="0" t="s">
        <v>925</v>
      </c>
      <c r="AG33" s="0" t="s">
        <v>925</v>
      </c>
      <c r="AH33" s="0" t="s">
        <v>925</v>
      </c>
      <c r="AI33" s="0" t="s">
        <v>925</v>
      </c>
      <c r="AJ33" s="0" t="s">
        <v>925</v>
      </c>
      <c r="AK33" s="0" t="s">
        <v>943</v>
      </c>
      <c r="AL33" s="1" t="s">
        <v>944</v>
      </c>
      <c r="AM33" s="0" t="s">
        <v>945</v>
      </c>
      <c r="AN33" s="0" t="s">
        <v>946</v>
      </c>
      <c r="AO33" s="0" t="s">
        <v>947</v>
      </c>
      <c r="AP33" s="1" t="s">
        <v>948</v>
      </c>
    </row>
    <row r="34" customFormat="false" ht="14.25" hidden="false" customHeight="false" outlineLevel="0" collapsed="false">
      <c r="A34" s="0" t="s">
        <v>949</v>
      </c>
      <c r="B34" s="0" t="s">
        <v>950</v>
      </c>
      <c r="C34" s="1" t="s">
        <v>951</v>
      </c>
      <c r="D34" s="0" t="s">
        <v>952</v>
      </c>
      <c r="E34" s="0" t="s">
        <v>953</v>
      </c>
      <c r="F34" s="0" t="s">
        <v>954</v>
      </c>
      <c r="G34" s="0" t="s">
        <v>949</v>
      </c>
      <c r="H34" s="2" t="s">
        <v>955</v>
      </c>
      <c r="I34" s="0" t="s">
        <v>949</v>
      </c>
      <c r="J34" s="0" t="s">
        <v>956</v>
      </c>
      <c r="K34" s="0" t="s">
        <v>949</v>
      </c>
      <c r="L34" s="0" t="s">
        <v>953</v>
      </c>
      <c r="M34" s="0" t="s">
        <v>953</v>
      </c>
      <c r="N34" s="0" t="s">
        <v>953</v>
      </c>
      <c r="O34" s="0" t="s">
        <v>949</v>
      </c>
      <c r="P34" s="0" t="s">
        <v>957</v>
      </c>
      <c r="Q34" s="0" t="s">
        <v>953</v>
      </c>
      <c r="R34" s="0" t="s">
        <v>958</v>
      </c>
      <c r="S34" s="1" t="s">
        <v>959</v>
      </c>
      <c r="T34" s="0" t="s">
        <v>953</v>
      </c>
      <c r="U34" s="0" t="s">
        <v>953</v>
      </c>
      <c r="V34" s="0" t="s">
        <v>953</v>
      </c>
      <c r="W34" s="0" t="s">
        <v>960</v>
      </c>
      <c r="X34" s="0" t="s">
        <v>961</v>
      </c>
      <c r="Y34" s="0" t="s">
        <v>962</v>
      </c>
      <c r="Z34" s="0" t="s">
        <v>963</v>
      </c>
      <c r="AA34" s="0" t="s">
        <v>960</v>
      </c>
      <c r="AB34" s="0" t="s">
        <v>953</v>
      </c>
      <c r="AC34" s="1" t="s">
        <v>964</v>
      </c>
      <c r="AD34" s="0" t="s">
        <v>965</v>
      </c>
      <c r="AE34" s="0" t="s">
        <v>966</v>
      </c>
      <c r="AF34" s="0" t="s">
        <v>949</v>
      </c>
      <c r="AG34" s="0" t="s">
        <v>953</v>
      </c>
      <c r="AH34" s="0" t="s">
        <v>953</v>
      </c>
      <c r="AI34" s="0" t="s">
        <v>949</v>
      </c>
      <c r="AJ34" s="0" t="s">
        <v>949</v>
      </c>
      <c r="AK34" s="0" t="s">
        <v>967</v>
      </c>
      <c r="AL34" s="1" t="s">
        <v>968</v>
      </c>
      <c r="AM34" s="0" t="s">
        <v>969</v>
      </c>
      <c r="AN34" s="0" t="s">
        <v>970</v>
      </c>
      <c r="AO34" s="0" t="s">
        <v>971</v>
      </c>
      <c r="AP34" s="1" t="s">
        <v>972</v>
      </c>
    </row>
    <row r="35" customFormat="false" ht="14.25" hidden="false" customHeight="false" outlineLevel="0" collapsed="false">
      <c r="A35" s="0" t="s">
        <v>973</v>
      </c>
      <c r="B35" s="0" t="s">
        <v>974</v>
      </c>
      <c r="C35" s="1" t="s">
        <v>975</v>
      </c>
      <c r="D35" s="0" t="s">
        <v>976</v>
      </c>
      <c r="E35" s="0" t="s">
        <v>977</v>
      </c>
      <c r="F35" s="0" t="s">
        <v>978</v>
      </c>
      <c r="G35" s="0" t="s">
        <v>973</v>
      </c>
      <c r="H35" s="2" t="s">
        <v>979</v>
      </c>
      <c r="I35" s="0" t="s">
        <v>973</v>
      </c>
      <c r="J35" s="0" t="s">
        <v>980</v>
      </c>
      <c r="K35" s="0" t="s">
        <v>973</v>
      </c>
      <c r="L35" s="0" t="s">
        <v>973</v>
      </c>
      <c r="M35" s="0" t="s">
        <v>973</v>
      </c>
      <c r="N35" s="0" t="s">
        <v>973</v>
      </c>
      <c r="O35" s="0" t="s">
        <v>973</v>
      </c>
      <c r="P35" s="0" t="s">
        <v>981</v>
      </c>
      <c r="Q35" s="0" t="s">
        <v>973</v>
      </c>
      <c r="R35" s="0" t="s">
        <v>982</v>
      </c>
      <c r="S35" s="1" t="s">
        <v>983</v>
      </c>
      <c r="T35" s="0" t="s">
        <v>973</v>
      </c>
      <c r="U35" s="0" t="s">
        <v>984</v>
      </c>
      <c r="V35" s="0" t="s">
        <v>985</v>
      </c>
      <c r="W35" s="0" t="s">
        <v>973</v>
      </c>
      <c r="X35" s="0" t="s">
        <v>986</v>
      </c>
      <c r="Y35" s="0" t="s">
        <v>987</v>
      </c>
      <c r="Z35" s="0" t="s">
        <v>988</v>
      </c>
      <c r="AA35" s="0" t="s">
        <v>973</v>
      </c>
      <c r="AB35" s="0" t="s">
        <v>973</v>
      </c>
      <c r="AC35" s="1" t="s">
        <v>989</v>
      </c>
      <c r="AD35" s="0" t="s">
        <v>956</v>
      </c>
      <c r="AE35" s="0" t="s">
        <v>973</v>
      </c>
      <c r="AF35" s="0" t="s">
        <v>990</v>
      </c>
      <c r="AG35" s="0" t="s">
        <v>973</v>
      </c>
      <c r="AH35" s="0" t="s">
        <v>973</v>
      </c>
      <c r="AI35" s="0" t="s">
        <v>973</v>
      </c>
      <c r="AJ35" s="0" t="s">
        <v>973</v>
      </c>
      <c r="AK35" s="0" t="s">
        <v>991</v>
      </c>
      <c r="AL35" s="1" t="s">
        <v>992</v>
      </c>
      <c r="AM35" s="0" t="s">
        <v>993</v>
      </c>
      <c r="AN35" s="0" t="s">
        <v>994</v>
      </c>
      <c r="AO35" s="0" t="s">
        <v>995</v>
      </c>
      <c r="AP35" s="1" t="s">
        <v>996</v>
      </c>
    </row>
    <row r="36" customFormat="false" ht="14.25" hidden="false" customHeight="false" outlineLevel="0" collapsed="false">
      <c r="A36" s="0" t="s">
        <v>997</v>
      </c>
      <c r="B36" s="0" t="s">
        <v>998</v>
      </c>
      <c r="C36" s="1" t="s">
        <v>999</v>
      </c>
      <c r="D36" s="0" t="s">
        <v>1000</v>
      </c>
      <c r="E36" s="0" t="s">
        <v>1001</v>
      </c>
      <c r="F36" s="0" t="s">
        <v>1002</v>
      </c>
      <c r="G36" s="0" t="s">
        <v>1003</v>
      </c>
      <c r="H36" s="2" t="s">
        <v>1004</v>
      </c>
      <c r="I36" s="0" t="s">
        <v>997</v>
      </c>
      <c r="J36" s="0" t="s">
        <v>1005</v>
      </c>
      <c r="K36" s="0" t="s">
        <v>997</v>
      </c>
      <c r="L36" s="0" t="s">
        <v>997</v>
      </c>
      <c r="M36" s="0" t="s">
        <v>997</v>
      </c>
      <c r="N36" s="0" t="s">
        <v>1003</v>
      </c>
      <c r="O36" s="0" t="s">
        <v>1006</v>
      </c>
      <c r="P36" s="0" t="s">
        <v>1007</v>
      </c>
      <c r="Q36" s="0" t="s">
        <v>1008</v>
      </c>
      <c r="R36" s="0" t="s">
        <v>1009</v>
      </c>
      <c r="S36" s="1" t="s">
        <v>1010</v>
      </c>
      <c r="T36" s="0" t="s">
        <v>997</v>
      </c>
      <c r="U36" s="0" t="s">
        <v>1003</v>
      </c>
      <c r="V36" s="0" t="s">
        <v>1003</v>
      </c>
      <c r="W36" s="0" t="s">
        <v>1011</v>
      </c>
      <c r="X36" s="0" t="s">
        <v>1012</v>
      </c>
      <c r="Y36" s="0" t="s">
        <v>1013</v>
      </c>
      <c r="Z36" s="0" t="s">
        <v>1014</v>
      </c>
      <c r="AA36" s="0" t="s">
        <v>1015</v>
      </c>
      <c r="AB36" s="0" t="s">
        <v>1003</v>
      </c>
      <c r="AC36" s="1" t="s">
        <v>1016</v>
      </c>
      <c r="AD36" s="0" t="s">
        <v>1017</v>
      </c>
      <c r="AE36" s="0" t="s">
        <v>1008</v>
      </c>
      <c r="AF36" s="0" t="s">
        <v>997</v>
      </c>
      <c r="AG36" s="0" t="s">
        <v>997</v>
      </c>
      <c r="AH36" s="0" t="s">
        <v>997</v>
      </c>
      <c r="AI36" s="0" t="s">
        <v>997</v>
      </c>
      <c r="AJ36" s="0" t="s">
        <v>1011</v>
      </c>
      <c r="AK36" s="0" t="s">
        <v>1018</v>
      </c>
      <c r="AL36" s="1" t="s">
        <v>1019</v>
      </c>
      <c r="AM36" s="0" t="s">
        <v>1020</v>
      </c>
      <c r="AN36" s="0" t="s">
        <v>1021</v>
      </c>
      <c r="AO36" s="0" t="s">
        <v>1022</v>
      </c>
      <c r="AP36" s="1" t="s">
        <v>1023</v>
      </c>
    </row>
    <row r="37" customFormat="false" ht="14.25" hidden="false" customHeight="false" outlineLevel="0" collapsed="false">
      <c r="A37" s="0" t="s">
        <v>1024</v>
      </c>
      <c r="B37" s="0" t="s">
        <v>1025</v>
      </c>
      <c r="C37" s="1" t="s">
        <v>1026</v>
      </c>
      <c r="D37" s="0" t="s">
        <v>1027</v>
      </c>
      <c r="E37" s="0" t="s">
        <v>1028</v>
      </c>
      <c r="F37" s="0" t="s">
        <v>1029</v>
      </c>
      <c r="G37" s="0" t="s">
        <v>1030</v>
      </c>
      <c r="H37" s="2" t="s">
        <v>1031</v>
      </c>
      <c r="I37" s="2" t="s">
        <v>1032</v>
      </c>
      <c r="J37" s="0" t="s">
        <v>1024</v>
      </c>
      <c r="K37" s="0" t="s">
        <v>1024</v>
      </c>
      <c r="L37" s="0" t="s">
        <v>1033</v>
      </c>
      <c r="M37" s="0" t="s">
        <v>1024</v>
      </c>
      <c r="N37" s="0" t="s">
        <v>1034</v>
      </c>
      <c r="O37" s="0" t="s">
        <v>1035</v>
      </c>
      <c r="P37" s="0" t="s">
        <v>1036</v>
      </c>
      <c r="Q37" s="0" t="s">
        <v>1024</v>
      </c>
      <c r="R37" s="0" t="s">
        <v>1037</v>
      </c>
      <c r="S37" s="1" t="s">
        <v>1038</v>
      </c>
      <c r="T37" s="0" t="s">
        <v>1039</v>
      </c>
      <c r="U37" s="0" t="s">
        <v>1040</v>
      </c>
      <c r="V37" s="0" t="s">
        <v>1034</v>
      </c>
      <c r="W37" s="0" t="s">
        <v>1041</v>
      </c>
      <c r="X37" s="2" t="s">
        <v>1042</v>
      </c>
      <c r="Y37" s="0" t="s">
        <v>1028</v>
      </c>
      <c r="Z37" s="0" t="s">
        <v>1043</v>
      </c>
      <c r="AA37" s="0" t="s">
        <v>1040</v>
      </c>
      <c r="AB37" s="0" t="s">
        <v>1044</v>
      </c>
      <c r="AC37" s="1" t="s">
        <v>1045</v>
      </c>
      <c r="AD37" s="0" t="s">
        <v>1046</v>
      </c>
      <c r="AE37" s="0" t="s">
        <v>1047</v>
      </c>
      <c r="AF37" s="0" t="s">
        <v>1048</v>
      </c>
      <c r="AG37" s="0" t="s">
        <v>1049</v>
      </c>
      <c r="AH37" s="0" t="s">
        <v>1050</v>
      </c>
      <c r="AI37" s="0" t="s">
        <v>1051</v>
      </c>
      <c r="AJ37" s="0" t="s">
        <v>1052</v>
      </c>
      <c r="AK37" s="0" t="s">
        <v>1044</v>
      </c>
      <c r="AL37" s="1" t="s">
        <v>1053</v>
      </c>
      <c r="AM37" s="0" t="s">
        <v>1054</v>
      </c>
      <c r="AN37" s="0" t="s">
        <v>1055</v>
      </c>
      <c r="AO37" s="0" t="s">
        <v>1056</v>
      </c>
      <c r="AP37" s="1" t="s">
        <v>1057</v>
      </c>
    </row>
    <row r="38" customFormat="false" ht="14.25" hidden="false" customHeight="false" outlineLevel="0" collapsed="false">
      <c r="A38" s="0" t="s">
        <v>1058</v>
      </c>
      <c r="B38" s="0" t="s">
        <v>1058</v>
      </c>
      <c r="C38" s="1" t="s">
        <v>1059</v>
      </c>
      <c r="D38" s="0" t="s">
        <v>1060</v>
      </c>
      <c r="E38" s="0" t="s">
        <v>1061</v>
      </c>
      <c r="F38" s="0" t="s">
        <v>1062</v>
      </c>
      <c r="G38" s="0" t="s">
        <v>1058</v>
      </c>
      <c r="H38" s="2" t="s">
        <v>1063</v>
      </c>
      <c r="I38" s="2" t="s">
        <v>1064</v>
      </c>
      <c r="J38" s="0" t="s">
        <v>1058</v>
      </c>
      <c r="K38" s="0" t="s">
        <v>1058</v>
      </c>
      <c r="L38" s="0" t="s">
        <v>1058</v>
      </c>
      <c r="M38" s="0" t="s">
        <v>1058</v>
      </c>
      <c r="N38" s="0" t="s">
        <v>1058</v>
      </c>
      <c r="O38" s="0" t="s">
        <v>1065</v>
      </c>
      <c r="P38" s="0" t="s">
        <v>1066</v>
      </c>
      <c r="Q38" s="0" t="s">
        <v>1058</v>
      </c>
      <c r="R38" s="0" t="s">
        <v>1067</v>
      </c>
      <c r="S38" s="1" t="s">
        <v>1068</v>
      </c>
      <c r="T38" s="0" t="s">
        <v>1069</v>
      </c>
      <c r="U38" s="0" t="s">
        <v>1070</v>
      </c>
      <c r="V38" s="0" t="s">
        <v>1058</v>
      </c>
      <c r="W38" s="0" t="s">
        <v>1058</v>
      </c>
      <c r="X38" s="2" t="s">
        <v>1071</v>
      </c>
      <c r="Y38" s="0" t="s">
        <v>1072</v>
      </c>
      <c r="Z38" s="0" t="s">
        <v>1062</v>
      </c>
      <c r="AA38" s="0" t="s">
        <v>1070</v>
      </c>
      <c r="AB38" s="0" t="s">
        <v>1058</v>
      </c>
      <c r="AC38" s="1" t="s">
        <v>1073</v>
      </c>
      <c r="AD38" s="0" t="s">
        <v>1058</v>
      </c>
      <c r="AE38" s="0" t="s">
        <v>1058</v>
      </c>
      <c r="AF38" s="0" t="s">
        <v>1058</v>
      </c>
      <c r="AG38" s="0" t="s">
        <v>1074</v>
      </c>
      <c r="AH38" s="0" t="s">
        <v>1058</v>
      </c>
      <c r="AI38" s="0" t="s">
        <v>1058</v>
      </c>
      <c r="AJ38" s="0" t="s">
        <v>1058</v>
      </c>
      <c r="AK38" s="0" t="s">
        <v>1058</v>
      </c>
      <c r="AL38" s="1" t="s">
        <v>1075</v>
      </c>
      <c r="AM38" s="0" t="s">
        <v>1058</v>
      </c>
      <c r="AN38" s="0" t="s">
        <v>1058</v>
      </c>
      <c r="AO38" s="0" t="s">
        <v>1062</v>
      </c>
      <c r="AP38" s="1" t="s">
        <v>1076</v>
      </c>
    </row>
    <row r="39" customFormat="false" ht="14.25" hidden="false" customHeight="false" outlineLevel="0" collapsed="false">
      <c r="A39" s="0" t="s">
        <v>1077</v>
      </c>
      <c r="B39" s="0" t="s">
        <v>1078</v>
      </c>
      <c r="C39" s="1" t="s">
        <v>1079</v>
      </c>
      <c r="D39" s="0" t="s">
        <v>1080</v>
      </c>
      <c r="E39" s="0" t="s">
        <v>1077</v>
      </c>
      <c r="F39" s="0" t="s">
        <v>1081</v>
      </c>
      <c r="G39" s="0" t="s">
        <v>1077</v>
      </c>
      <c r="H39" s="2" t="s">
        <v>1082</v>
      </c>
      <c r="I39" s="2" t="s">
        <v>1083</v>
      </c>
      <c r="J39" s="0" t="s">
        <v>1084</v>
      </c>
      <c r="K39" s="0" t="s">
        <v>1084</v>
      </c>
      <c r="L39" s="0" t="s">
        <v>1077</v>
      </c>
      <c r="M39" s="0" t="s">
        <v>1077</v>
      </c>
      <c r="N39" s="0" t="s">
        <v>1077</v>
      </c>
      <c r="O39" s="0" t="s">
        <v>1077</v>
      </c>
      <c r="P39" s="0" t="s">
        <v>1085</v>
      </c>
      <c r="Q39" s="0" t="s">
        <v>1084</v>
      </c>
      <c r="R39" s="0" t="s">
        <v>1086</v>
      </c>
      <c r="S39" s="1" t="s">
        <v>1087</v>
      </c>
      <c r="T39" s="0" t="s">
        <v>1084</v>
      </c>
      <c r="U39" s="0" t="s">
        <v>1077</v>
      </c>
      <c r="V39" s="0" t="s">
        <v>1084</v>
      </c>
      <c r="W39" s="0" t="s">
        <v>1077</v>
      </c>
      <c r="X39" s="2" t="s">
        <v>1088</v>
      </c>
      <c r="Y39" s="0" t="s">
        <v>1089</v>
      </c>
      <c r="Z39" s="0" t="s">
        <v>1081</v>
      </c>
      <c r="AA39" s="0" t="s">
        <v>1077</v>
      </c>
      <c r="AB39" s="0" t="s">
        <v>1077</v>
      </c>
      <c r="AC39" s="1" t="s">
        <v>1090</v>
      </c>
      <c r="AD39" s="0" t="s">
        <v>1084</v>
      </c>
      <c r="AE39" s="0" t="s">
        <v>1091</v>
      </c>
      <c r="AF39" s="0" t="s">
        <v>1077</v>
      </c>
      <c r="AG39" s="0" t="s">
        <v>1081</v>
      </c>
      <c r="AH39" s="0" t="s">
        <v>1084</v>
      </c>
      <c r="AI39" s="0" t="s">
        <v>1084</v>
      </c>
      <c r="AJ39" s="0" t="s">
        <v>1084</v>
      </c>
      <c r="AK39" s="0" t="s">
        <v>1077</v>
      </c>
      <c r="AL39" s="1" t="s">
        <v>1092</v>
      </c>
      <c r="AM39" s="0" t="s">
        <v>1084</v>
      </c>
      <c r="AN39" s="0" t="s">
        <v>1077</v>
      </c>
      <c r="AO39" s="0" t="s">
        <v>1081</v>
      </c>
      <c r="AP39" s="1" t="s">
        <v>1090</v>
      </c>
    </row>
    <row r="40" customFormat="false" ht="14.25" hidden="false" customHeight="false" outlineLevel="0" collapsed="false">
      <c r="A40" s="0" t="s">
        <v>1093</v>
      </c>
      <c r="B40" s="0" t="s">
        <v>1094</v>
      </c>
      <c r="C40" s="1" t="s">
        <v>1095</v>
      </c>
      <c r="D40" s="0" t="s">
        <v>1096</v>
      </c>
      <c r="E40" s="0" t="s">
        <v>1097</v>
      </c>
      <c r="F40" s="0" t="s">
        <v>1098</v>
      </c>
      <c r="G40" s="0" t="s">
        <v>1093</v>
      </c>
      <c r="H40" s="2" t="s">
        <v>1099</v>
      </c>
      <c r="I40" s="2" t="s">
        <v>1100</v>
      </c>
      <c r="J40" s="0" t="s">
        <v>1097</v>
      </c>
      <c r="K40" s="0" t="s">
        <v>1101</v>
      </c>
      <c r="L40" s="0" t="s">
        <v>1093</v>
      </c>
      <c r="M40" s="0" t="s">
        <v>1093</v>
      </c>
      <c r="N40" s="0" t="s">
        <v>1102</v>
      </c>
      <c r="O40" s="0" t="s">
        <v>1102</v>
      </c>
      <c r="P40" s="0" t="s">
        <v>1103</v>
      </c>
      <c r="Q40" s="0" t="s">
        <v>1093</v>
      </c>
      <c r="R40" s="0" t="s">
        <v>1104</v>
      </c>
      <c r="S40" s="1" t="s">
        <v>1105</v>
      </c>
      <c r="T40" s="0" t="s">
        <v>1093</v>
      </c>
      <c r="U40" s="0" t="s">
        <v>1094</v>
      </c>
      <c r="V40" s="0" t="s">
        <v>1097</v>
      </c>
      <c r="W40" s="0" t="s">
        <v>1093</v>
      </c>
      <c r="X40" s="2" t="s">
        <v>1106</v>
      </c>
      <c r="Y40" s="0" t="s">
        <v>1107</v>
      </c>
      <c r="Z40" s="0" t="s">
        <v>1098</v>
      </c>
      <c r="AA40" s="0" t="s">
        <v>1108</v>
      </c>
      <c r="AB40" s="0" t="s">
        <v>1093</v>
      </c>
      <c r="AC40" s="1" t="s">
        <v>1109</v>
      </c>
      <c r="AD40" s="0" t="s">
        <v>1108</v>
      </c>
      <c r="AE40" s="0" t="s">
        <v>1110</v>
      </c>
      <c r="AF40" s="0" t="s">
        <v>1093</v>
      </c>
      <c r="AG40" s="0" t="s">
        <v>1098</v>
      </c>
      <c r="AH40" s="0" t="s">
        <v>1101</v>
      </c>
      <c r="AI40" s="0" t="s">
        <v>1097</v>
      </c>
      <c r="AJ40" s="0" t="s">
        <v>1093</v>
      </c>
      <c r="AK40" s="0" t="s">
        <v>1093</v>
      </c>
      <c r="AL40" s="1" t="s">
        <v>1111</v>
      </c>
      <c r="AM40" s="0" t="s">
        <v>1097</v>
      </c>
      <c r="AN40" s="0" t="s">
        <v>1093</v>
      </c>
      <c r="AO40" s="0" t="s">
        <v>1098</v>
      </c>
      <c r="AP40" s="1" t="s">
        <v>1112</v>
      </c>
    </row>
    <row r="41" customFormat="false" ht="14.25" hidden="false" customHeight="false" outlineLevel="0" collapsed="false">
      <c r="A41" s="0" t="s">
        <v>1113</v>
      </c>
      <c r="B41" s="0" t="s">
        <v>1114</v>
      </c>
      <c r="C41" s="1" t="s">
        <v>1115</v>
      </c>
      <c r="D41" s="0" t="s">
        <v>1116</v>
      </c>
      <c r="E41" s="0" t="s">
        <v>1117</v>
      </c>
      <c r="F41" s="0" t="s">
        <v>1118</v>
      </c>
      <c r="G41" s="0" t="s">
        <v>1119</v>
      </c>
      <c r="H41" s="2" t="s">
        <v>1120</v>
      </c>
      <c r="I41" s="2" t="s">
        <v>1121</v>
      </c>
      <c r="J41" s="0" t="s">
        <v>1122</v>
      </c>
      <c r="K41" s="0" t="s">
        <v>1123</v>
      </c>
      <c r="L41" s="0" t="s">
        <v>1124</v>
      </c>
      <c r="M41" s="0" t="s">
        <v>1125</v>
      </c>
      <c r="N41" s="0" t="s">
        <v>1126</v>
      </c>
      <c r="O41" s="0" t="s">
        <v>1126</v>
      </c>
      <c r="P41" s="0" t="s">
        <v>1127</v>
      </c>
      <c r="Q41" s="0" t="s">
        <v>1128</v>
      </c>
      <c r="R41" s="0" t="s">
        <v>1129</v>
      </c>
      <c r="S41" s="1" t="s">
        <v>1130</v>
      </c>
      <c r="T41" s="0" t="s">
        <v>1131</v>
      </c>
      <c r="U41" s="0" t="s">
        <v>1132</v>
      </c>
      <c r="V41" s="0" t="s">
        <v>1124</v>
      </c>
      <c r="W41" s="0" t="s">
        <v>1133</v>
      </c>
      <c r="X41" s="2" t="s">
        <v>1134</v>
      </c>
      <c r="Y41" s="0" t="s">
        <v>1135</v>
      </c>
      <c r="Z41" s="0" t="s">
        <v>1136</v>
      </c>
      <c r="AA41" s="0" t="s">
        <v>1133</v>
      </c>
      <c r="AB41" s="0" t="s">
        <v>1125</v>
      </c>
      <c r="AC41" s="1" t="s">
        <v>1137</v>
      </c>
      <c r="AD41" s="0" t="s">
        <v>1138</v>
      </c>
      <c r="AE41" s="0" t="s">
        <v>1139</v>
      </c>
      <c r="AF41" s="0" t="s">
        <v>1133</v>
      </c>
      <c r="AG41" s="0" t="s">
        <v>1140</v>
      </c>
      <c r="AH41" s="0" t="s">
        <v>1123</v>
      </c>
      <c r="AI41" s="0" t="s">
        <v>1122</v>
      </c>
      <c r="AJ41" s="0" t="s">
        <v>1141</v>
      </c>
      <c r="AK41" s="0" t="s">
        <v>1142</v>
      </c>
      <c r="AL41" s="1" t="s">
        <v>1143</v>
      </c>
      <c r="AM41" s="0" t="s">
        <v>1144</v>
      </c>
      <c r="AN41" s="0" t="s">
        <v>1145</v>
      </c>
      <c r="AO41" s="0" t="s">
        <v>1146</v>
      </c>
      <c r="AP41" s="1" t="s">
        <v>1147</v>
      </c>
    </row>
    <row r="42" customFormat="false" ht="14.25" hidden="false" customHeight="false" outlineLevel="0" collapsed="false">
      <c r="A42" s="0" t="s">
        <v>1148</v>
      </c>
      <c r="B42" s="0" t="s">
        <v>1149</v>
      </c>
      <c r="C42" s="1" t="s">
        <v>1150</v>
      </c>
      <c r="D42" s="0" t="s">
        <v>1151</v>
      </c>
      <c r="E42" s="0" t="s">
        <v>1152</v>
      </c>
      <c r="F42" s="0" t="s">
        <v>1153</v>
      </c>
      <c r="G42" s="0" t="s">
        <v>1154</v>
      </c>
      <c r="H42" s="2" t="s">
        <v>1155</v>
      </c>
      <c r="I42" s="2" t="s">
        <v>1156</v>
      </c>
      <c r="J42" s="0" t="s">
        <v>1157</v>
      </c>
      <c r="K42" s="0" t="s">
        <v>1158</v>
      </c>
      <c r="L42" s="0" t="s">
        <v>1148</v>
      </c>
      <c r="M42" s="0" t="s">
        <v>1159</v>
      </c>
      <c r="N42" s="0" t="s">
        <v>1148</v>
      </c>
      <c r="O42" s="0" t="s">
        <v>1160</v>
      </c>
      <c r="P42" s="0" t="s">
        <v>1161</v>
      </c>
      <c r="Q42" s="0" t="s">
        <v>1148</v>
      </c>
      <c r="R42" s="0" t="s">
        <v>1162</v>
      </c>
      <c r="S42" s="1" t="s">
        <v>1163</v>
      </c>
      <c r="T42" s="0" t="s">
        <v>1164</v>
      </c>
      <c r="U42" s="0" t="s">
        <v>1165</v>
      </c>
      <c r="V42" s="0" t="s">
        <v>1148</v>
      </c>
      <c r="W42" s="0" t="s">
        <v>1166</v>
      </c>
      <c r="X42" s="2" t="s">
        <v>1167</v>
      </c>
      <c r="Y42" s="0" t="s">
        <v>1168</v>
      </c>
      <c r="Z42" s="0" t="s">
        <v>1169</v>
      </c>
      <c r="AA42" s="0" t="s">
        <v>1170</v>
      </c>
      <c r="AB42" s="0" t="s">
        <v>1148</v>
      </c>
      <c r="AC42" s="1" t="s">
        <v>1171</v>
      </c>
      <c r="AD42" s="0" t="s">
        <v>1164</v>
      </c>
      <c r="AE42" s="0" t="s">
        <v>1172</v>
      </c>
      <c r="AF42" s="0" t="s">
        <v>1164</v>
      </c>
      <c r="AG42" s="0" t="s">
        <v>1173</v>
      </c>
      <c r="AH42" s="0" t="s">
        <v>1174</v>
      </c>
      <c r="AI42" s="0" t="s">
        <v>1168</v>
      </c>
      <c r="AJ42" s="0" t="s">
        <v>1172</v>
      </c>
      <c r="AK42" s="0" t="s">
        <v>1148</v>
      </c>
      <c r="AL42" s="1" t="s">
        <v>1175</v>
      </c>
      <c r="AM42" s="0" t="s">
        <v>1176</v>
      </c>
      <c r="AN42" s="0" t="s">
        <v>1177</v>
      </c>
      <c r="AO42" s="0" t="s">
        <v>1178</v>
      </c>
      <c r="AP42" s="1" t="s">
        <v>1179</v>
      </c>
    </row>
    <row r="43" customFormat="false" ht="14.25" hidden="false" customHeight="false" outlineLevel="0" collapsed="false">
      <c r="A43" s="0" t="s">
        <v>1180</v>
      </c>
      <c r="B43" s="0" t="s">
        <v>1180</v>
      </c>
      <c r="C43" s="1" t="s">
        <v>1181</v>
      </c>
      <c r="D43" s="0" t="s">
        <v>1182</v>
      </c>
      <c r="E43" s="0" t="s">
        <v>1183</v>
      </c>
      <c r="F43" s="0" t="s">
        <v>1184</v>
      </c>
      <c r="G43" s="0" t="s">
        <v>1180</v>
      </c>
      <c r="H43" s="2" t="s">
        <v>1185</v>
      </c>
      <c r="I43" s="2" t="s">
        <v>1185</v>
      </c>
      <c r="J43" s="0" t="s">
        <v>1180</v>
      </c>
      <c r="K43" s="0" t="s">
        <v>1186</v>
      </c>
      <c r="L43" s="0" t="s">
        <v>1180</v>
      </c>
      <c r="M43" s="0" t="s">
        <v>1180</v>
      </c>
      <c r="N43" s="0" t="s">
        <v>1180</v>
      </c>
      <c r="O43" s="0" t="s">
        <v>1180</v>
      </c>
      <c r="P43" s="0" t="s">
        <v>1187</v>
      </c>
      <c r="Q43" s="0" t="s">
        <v>1180</v>
      </c>
      <c r="R43" s="0" t="s">
        <v>1188</v>
      </c>
      <c r="S43" s="1" t="s">
        <v>1189</v>
      </c>
      <c r="T43" s="0" t="s">
        <v>1190</v>
      </c>
      <c r="U43" s="0" t="s">
        <v>1180</v>
      </c>
      <c r="V43" s="0" t="s">
        <v>1191</v>
      </c>
      <c r="W43" s="0" t="s">
        <v>1180</v>
      </c>
      <c r="X43" s="2" t="s">
        <v>1192</v>
      </c>
      <c r="Y43" s="0" t="s">
        <v>1193</v>
      </c>
      <c r="Z43" s="0" t="s">
        <v>1184</v>
      </c>
      <c r="AA43" s="0" t="s">
        <v>1180</v>
      </c>
      <c r="AB43" s="0" t="s">
        <v>1180</v>
      </c>
      <c r="AC43" s="1" t="s">
        <v>1194</v>
      </c>
      <c r="AD43" s="0" t="s">
        <v>1180</v>
      </c>
      <c r="AE43" s="0" t="s">
        <v>1195</v>
      </c>
      <c r="AF43" s="0" t="s">
        <v>1180</v>
      </c>
      <c r="AG43" s="0" t="s">
        <v>1184</v>
      </c>
      <c r="AH43" s="0" t="s">
        <v>1190</v>
      </c>
      <c r="AI43" s="0" t="s">
        <v>1180</v>
      </c>
      <c r="AJ43" s="0" t="s">
        <v>1190</v>
      </c>
      <c r="AK43" s="0" t="s">
        <v>1180</v>
      </c>
      <c r="AL43" s="1" t="s">
        <v>1196</v>
      </c>
      <c r="AM43" s="0" t="s">
        <v>1183</v>
      </c>
      <c r="AN43" s="0" t="s">
        <v>1180</v>
      </c>
      <c r="AO43" s="0" t="s">
        <v>1197</v>
      </c>
      <c r="AP43" s="1" t="s">
        <v>1194</v>
      </c>
    </row>
    <row r="44" customFormat="false" ht="14.25" hidden="false" customHeight="false" outlineLevel="0" collapsed="false">
      <c r="A44" s="0" t="s">
        <v>1198</v>
      </c>
      <c r="B44" s="0" t="s">
        <v>1199</v>
      </c>
      <c r="C44" s="1" t="s">
        <v>1200</v>
      </c>
      <c r="D44" s="0" t="s">
        <v>1201</v>
      </c>
      <c r="E44" s="0" t="s">
        <v>1202</v>
      </c>
      <c r="F44" s="0" t="s">
        <v>1203</v>
      </c>
      <c r="G44" s="0" t="s">
        <v>1204</v>
      </c>
      <c r="H44" s="2" t="s">
        <v>1205</v>
      </c>
      <c r="I44" s="2" t="s">
        <v>1206</v>
      </c>
      <c r="J44" s="0" t="s">
        <v>1207</v>
      </c>
      <c r="K44" s="0" t="s">
        <v>1208</v>
      </c>
      <c r="L44" s="0" t="s">
        <v>1209</v>
      </c>
      <c r="M44" s="0" t="s">
        <v>1210</v>
      </c>
      <c r="N44" s="0" t="s">
        <v>1211</v>
      </c>
      <c r="O44" s="0" t="s">
        <v>1211</v>
      </c>
      <c r="P44" s="0" t="s">
        <v>1212</v>
      </c>
      <c r="Q44" s="0" t="s">
        <v>1213</v>
      </c>
      <c r="R44" s="0" t="s">
        <v>1214</v>
      </c>
      <c r="S44" s="1" t="s">
        <v>1215</v>
      </c>
      <c r="T44" s="0" t="s">
        <v>1216</v>
      </c>
      <c r="U44" s="0" t="s">
        <v>1217</v>
      </c>
      <c r="V44" s="0" t="s">
        <v>1218</v>
      </c>
      <c r="W44" s="0" t="s">
        <v>1219</v>
      </c>
      <c r="X44" s="2" t="s">
        <v>1220</v>
      </c>
      <c r="Y44" s="0" t="s">
        <v>1221</v>
      </c>
      <c r="Z44" s="0" t="s">
        <v>1222</v>
      </c>
      <c r="AA44" s="0" t="s">
        <v>1219</v>
      </c>
      <c r="AB44" s="0" t="s">
        <v>1223</v>
      </c>
      <c r="AC44" s="1" t="s">
        <v>1224</v>
      </c>
      <c r="AD44" s="0" t="s">
        <v>1225</v>
      </c>
      <c r="AE44" s="0" t="s">
        <v>1226</v>
      </c>
      <c r="AF44" s="0" t="s">
        <v>1227</v>
      </c>
      <c r="AG44" s="0" t="s">
        <v>1228</v>
      </c>
      <c r="AH44" s="0" t="s">
        <v>1229</v>
      </c>
      <c r="AI44" s="0" t="s">
        <v>1230</v>
      </c>
      <c r="AJ44" s="0" t="s">
        <v>1226</v>
      </c>
      <c r="AK44" s="0" t="s">
        <v>1231</v>
      </c>
      <c r="AL44" s="1" t="s">
        <v>1232</v>
      </c>
      <c r="AM44" s="0" t="s">
        <v>1233</v>
      </c>
      <c r="AN44" s="0" t="s">
        <v>1234</v>
      </c>
      <c r="AO44" s="0" t="s">
        <v>1235</v>
      </c>
      <c r="AP44" s="1" t="s">
        <v>1236</v>
      </c>
    </row>
    <row r="45" customFormat="false" ht="14.25" hidden="false" customHeight="false" outlineLevel="0" collapsed="false">
      <c r="A45" s="0" t="s">
        <v>1237</v>
      </c>
      <c r="B45" s="0" t="s">
        <v>1238</v>
      </c>
      <c r="C45" s="1" t="s">
        <v>1239</v>
      </c>
      <c r="D45" s="0" t="s">
        <v>1240</v>
      </c>
      <c r="E45" s="0" t="s">
        <v>1241</v>
      </c>
      <c r="F45" s="0" t="s">
        <v>1242</v>
      </c>
      <c r="G45" s="0" t="s">
        <v>1243</v>
      </c>
      <c r="H45" s="2" t="s">
        <v>1244</v>
      </c>
      <c r="I45" s="2" t="s">
        <v>1245</v>
      </c>
      <c r="J45" s="0" t="s">
        <v>1237</v>
      </c>
      <c r="K45" s="0" t="s">
        <v>1237</v>
      </c>
      <c r="L45" s="0" t="s">
        <v>1237</v>
      </c>
      <c r="M45" s="0" t="s">
        <v>1237</v>
      </c>
      <c r="N45" s="0" t="s">
        <v>1246</v>
      </c>
      <c r="O45" s="0" t="s">
        <v>1246</v>
      </c>
      <c r="P45" s="0" t="s">
        <v>1247</v>
      </c>
      <c r="Q45" s="0" t="s">
        <v>1237</v>
      </c>
      <c r="R45" s="0" t="s">
        <v>1248</v>
      </c>
      <c r="S45" s="1" t="s">
        <v>1249</v>
      </c>
      <c r="T45" s="0" t="s">
        <v>1237</v>
      </c>
      <c r="U45" s="0" t="s">
        <v>1237</v>
      </c>
      <c r="V45" s="0" t="s">
        <v>1237</v>
      </c>
      <c r="W45" s="0" t="s">
        <v>1250</v>
      </c>
      <c r="X45" s="2" t="s">
        <v>1251</v>
      </c>
      <c r="Y45" s="0" t="s">
        <v>1252</v>
      </c>
      <c r="Z45" s="0" t="s">
        <v>1253</v>
      </c>
      <c r="AA45" s="0" t="s">
        <v>1237</v>
      </c>
      <c r="AB45" s="0" t="s">
        <v>1237</v>
      </c>
      <c r="AC45" s="1" t="s">
        <v>1254</v>
      </c>
      <c r="AD45" s="0" t="s">
        <v>1255</v>
      </c>
      <c r="AE45" s="0" t="s">
        <v>1256</v>
      </c>
      <c r="AF45" s="0" t="s">
        <v>1257</v>
      </c>
      <c r="AG45" s="0" t="s">
        <v>1258</v>
      </c>
      <c r="AH45" s="0" t="s">
        <v>1237</v>
      </c>
      <c r="AI45" s="0" t="s">
        <v>1237</v>
      </c>
      <c r="AJ45" s="0" t="s">
        <v>1256</v>
      </c>
      <c r="AK45" s="0" t="s">
        <v>1237</v>
      </c>
      <c r="AL45" s="1" t="s">
        <v>1259</v>
      </c>
      <c r="AM45" s="0" t="s">
        <v>1260</v>
      </c>
      <c r="AN45" s="0" t="s">
        <v>1261</v>
      </c>
      <c r="AO45" s="0" t="s">
        <v>1262</v>
      </c>
      <c r="AP45" s="1" t="s">
        <v>1263</v>
      </c>
    </row>
    <row r="46" customFormat="false" ht="14.25" hidden="false" customHeight="false" outlineLevel="0" collapsed="false">
      <c r="A46" s="0" t="s">
        <v>1264</v>
      </c>
      <c r="B46" s="0" t="s">
        <v>1265</v>
      </c>
      <c r="C46" s="1" t="s">
        <v>1266</v>
      </c>
      <c r="D46" s="0" t="s">
        <v>1267</v>
      </c>
      <c r="E46" s="0" t="s">
        <v>1264</v>
      </c>
      <c r="F46" s="0" t="s">
        <v>1268</v>
      </c>
      <c r="G46" s="0" t="s">
        <v>1264</v>
      </c>
      <c r="H46" s="2" t="s">
        <v>1269</v>
      </c>
      <c r="I46" s="2" t="s">
        <v>1269</v>
      </c>
      <c r="J46" s="0" t="s">
        <v>1264</v>
      </c>
      <c r="K46" s="0" t="s">
        <v>1264</v>
      </c>
      <c r="L46" s="0" t="s">
        <v>1264</v>
      </c>
      <c r="M46" s="0" t="s">
        <v>1270</v>
      </c>
      <c r="N46" s="0" t="s">
        <v>1264</v>
      </c>
      <c r="O46" s="0" t="s">
        <v>1271</v>
      </c>
      <c r="P46" s="0" t="s">
        <v>1272</v>
      </c>
      <c r="Q46" s="0" t="s">
        <v>1273</v>
      </c>
      <c r="R46" s="0" t="s">
        <v>1274</v>
      </c>
      <c r="S46" s="1" t="s">
        <v>1275</v>
      </c>
      <c r="T46" s="0" t="s">
        <v>1276</v>
      </c>
      <c r="U46" s="0" t="s">
        <v>1264</v>
      </c>
      <c r="V46" s="0" t="s">
        <v>1264</v>
      </c>
      <c r="W46" s="0" t="s">
        <v>1264</v>
      </c>
      <c r="X46" s="2" t="s">
        <v>1277</v>
      </c>
      <c r="Y46" s="0" t="s">
        <v>1264</v>
      </c>
      <c r="Z46" s="0" t="s">
        <v>1278</v>
      </c>
      <c r="AA46" s="0" t="s">
        <v>1279</v>
      </c>
      <c r="AB46" s="0" t="s">
        <v>1264</v>
      </c>
      <c r="AC46" s="1" t="s">
        <v>1280</v>
      </c>
      <c r="AD46" s="0" t="s">
        <v>1281</v>
      </c>
      <c r="AE46" s="0" t="s">
        <v>1264</v>
      </c>
      <c r="AF46" s="0" t="s">
        <v>1264</v>
      </c>
      <c r="AG46" s="0" t="s">
        <v>1278</v>
      </c>
      <c r="AH46" s="0" t="s">
        <v>1276</v>
      </c>
      <c r="AI46" s="0" t="s">
        <v>1264</v>
      </c>
      <c r="AJ46" s="0" t="s">
        <v>1264</v>
      </c>
      <c r="AK46" s="0" t="s">
        <v>1264</v>
      </c>
      <c r="AL46" s="1" t="s">
        <v>1282</v>
      </c>
      <c r="AM46" s="0" t="s">
        <v>1283</v>
      </c>
      <c r="AN46" s="0" t="s">
        <v>1264</v>
      </c>
      <c r="AO46" s="0" t="s">
        <v>1278</v>
      </c>
      <c r="AP46" s="1" t="s">
        <v>1284</v>
      </c>
    </row>
    <row r="47" customFormat="false" ht="14.25" hidden="false" customHeight="false" outlineLevel="0" collapsed="false">
      <c r="A47" s="0" t="s">
        <v>1285</v>
      </c>
      <c r="B47" s="0" t="s">
        <v>1286</v>
      </c>
      <c r="C47" s="1" t="s">
        <v>1287</v>
      </c>
      <c r="D47" s="0" t="s">
        <v>1288</v>
      </c>
      <c r="E47" s="0" t="s">
        <v>1289</v>
      </c>
      <c r="F47" s="0" t="s">
        <v>1290</v>
      </c>
      <c r="G47" s="0" t="s">
        <v>1291</v>
      </c>
      <c r="H47" s="2" t="s">
        <v>1292</v>
      </c>
      <c r="I47" s="2" t="s">
        <v>1292</v>
      </c>
      <c r="J47" s="0" t="s">
        <v>1293</v>
      </c>
      <c r="K47" s="0" t="s">
        <v>1294</v>
      </c>
      <c r="L47" s="0" t="s">
        <v>1295</v>
      </c>
      <c r="M47" s="0" t="s">
        <v>1296</v>
      </c>
      <c r="N47" s="0" t="s">
        <v>1285</v>
      </c>
      <c r="O47" s="0" t="s">
        <v>1297</v>
      </c>
      <c r="P47" s="0" t="s">
        <v>1298</v>
      </c>
      <c r="Q47" s="0" t="s">
        <v>1295</v>
      </c>
      <c r="R47" s="0" t="s">
        <v>1299</v>
      </c>
      <c r="S47" s="1" t="s">
        <v>1300</v>
      </c>
      <c r="T47" s="0" t="s">
        <v>1301</v>
      </c>
      <c r="U47" s="0" t="s">
        <v>1302</v>
      </c>
      <c r="V47" s="0" t="s">
        <v>1303</v>
      </c>
      <c r="W47" s="0" t="s">
        <v>1304</v>
      </c>
      <c r="X47" s="2" t="s">
        <v>1305</v>
      </c>
      <c r="Y47" s="0" t="s">
        <v>1306</v>
      </c>
      <c r="Z47" s="0" t="s">
        <v>1307</v>
      </c>
      <c r="AA47" s="0" t="s">
        <v>1308</v>
      </c>
      <c r="AB47" s="0" t="s">
        <v>1309</v>
      </c>
      <c r="AC47" s="1" t="s">
        <v>1310</v>
      </c>
      <c r="AD47" s="0" t="s">
        <v>1311</v>
      </c>
      <c r="AE47" s="0" t="s">
        <v>1312</v>
      </c>
      <c r="AF47" s="0" t="s">
        <v>1313</v>
      </c>
      <c r="AG47" s="0" t="s">
        <v>1314</v>
      </c>
      <c r="AH47" s="0" t="s">
        <v>1315</v>
      </c>
      <c r="AI47" s="0" t="s">
        <v>1316</v>
      </c>
      <c r="AJ47" s="0" t="s">
        <v>1304</v>
      </c>
      <c r="AK47" s="0" t="s">
        <v>1317</v>
      </c>
      <c r="AL47" s="1" t="s">
        <v>1318</v>
      </c>
      <c r="AM47" s="0" t="s">
        <v>1319</v>
      </c>
      <c r="AN47" s="0" t="s">
        <v>1320</v>
      </c>
      <c r="AO47" s="0" t="s">
        <v>1321</v>
      </c>
      <c r="AP47" s="1" t="s">
        <v>1322</v>
      </c>
    </row>
    <row r="48" customFormat="false" ht="14.25" hidden="false" customHeight="false" outlineLevel="0" collapsed="false">
      <c r="A48" s="0" t="s">
        <v>1323</v>
      </c>
      <c r="B48" s="0" t="s">
        <v>1324</v>
      </c>
      <c r="C48" s="1" t="s">
        <v>1325</v>
      </c>
      <c r="D48" s="0" t="s">
        <v>1326</v>
      </c>
      <c r="E48" s="0" t="s">
        <v>1327</v>
      </c>
      <c r="F48" s="0" t="s">
        <v>1328</v>
      </c>
      <c r="G48" s="0" t="s">
        <v>1329</v>
      </c>
      <c r="H48" s="2" t="s">
        <v>1330</v>
      </c>
      <c r="I48" s="2" t="s">
        <v>1330</v>
      </c>
      <c r="J48" s="0" t="s">
        <v>1331</v>
      </c>
      <c r="K48" s="0" t="s">
        <v>1332</v>
      </c>
      <c r="L48" s="0" t="s">
        <v>1323</v>
      </c>
      <c r="M48" s="0" t="s">
        <v>1323</v>
      </c>
      <c r="N48" s="0" t="s">
        <v>1331</v>
      </c>
      <c r="O48" s="0" t="s">
        <v>1333</v>
      </c>
      <c r="P48" s="0" t="s">
        <v>1334</v>
      </c>
      <c r="Q48" s="0" t="s">
        <v>1332</v>
      </c>
      <c r="R48" s="0" t="s">
        <v>1335</v>
      </c>
      <c r="S48" s="1" t="s">
        <v>1336</v>
      </c>
      <c r="T48" s="0" t="s">
        <v>1337</v>
      </c>
      <c r="U48" s="0" t="s">
        <v>1331</v>
      </c>
      <c r="V48" s="0" t="s">
        <v>1323</v>
      </c>
      <c r="W48" s="0" t="s">
        <v>1338</v>
      </c>
      <c r="X48" s="2" t="s">
        <v>1339</v>
      </c>
      <c r="Y48" s="0" t="s">
        <v>1327</v>
      </c>
      <c r="Z48" s="0" t="s">
        <v>1328</v>
      </c>
      <c r="AA48" s="0" t="s">
        <v>1340</v>
      </c>
      <c r="AB48" s="0" t="s">
        <v>1323</v>
      </c>
      <c r="AC48" s="1" t="s">
        <v>1341</v>
      </c>
      <c r="AD48" s="0" t="s">
        <v>1342</v>
      </c>
      <c r="AE48" s="0" t="s">
        <v>1343</v>
      </c>
      <c r="AF48" s="0" t="s">
        <v>1344</v>
      </c>
      <c r="AG48" s="0" t="s">
        <v>1328</v>
      </c>
      <c r="AH48" s="0" t="s">
        <v>1332</v>
      </c>
      <c r="AI48" s="0" t="s">
        <v>1345</v>
      </c>
      <c r="AJ48" s="0" t="s">
        <v>1343</v>
      </c>
      <c r="AK48" s="0" t="s">
        <v>1332</v>
      </c>
      <c r="AL48" s="1" t="s">
        <v>1346</v>
      </c>
      <c r="AM48" s="0" t="s">
        <v>1327</v>
      </c>
      <c r="AN48" s="0" t="s">
        <v>1323</v>
      </c>
      <c r="AO48" s="0" t="s">
        <v>1347</v>
      </c>
      <c r="AP48" s="1" t="s">
        <v>1348</v>
      </c>
    </row>
    <row r="49" customFormat="false" ht="14.25" hidden="false" customHeight="false" outlineLevel="0" collapsed="false">
      <c r="A49" s="0" t="s">
        <v>1349</v>
      </c>
      <c r="B49" s="0" t="s">
        <v>1350</v>
      </c>
      <c r="C49" s="1" t="s">
        <v>1351</v>
      </c>
      <c r="D49" s="0" t="s">
        <v>1352</v>
      </c>
      <c r="E49" s="0" t="s">
        <v>1353</v>
      </c>
      <c r="F49" s="0" t="s">
        <v>1354</v>
      </c>
      <c r="G49" s="0" t="s">
        <v>1355</v>
      </c>
      <c r="H49" s="2" t="s">
        <v>1356</v>
      </c>
      <c r="I49" s="2" t="s">
        <v>1357</v>
      </c>
      <c r="J49" s="0" t="s">
        <v>1358</v>
      </c>
      <c r="K49" s="0" t="s">
        <v>1359</v>
      </c>
      <c r="L49" s="0" t="s">
        <v>1360</v>
      </c>
      <c r="M49" s="0" t="s">
        <v>1360</v>
      </c>
      <c r="N49" s="0" t="s">
        <v>1361</v>
      </c>
      <c r="O49" s="0" t="s">
        <v>1362</v>
      </c>
      <c r="P49" s="0" t="s">
        <v>1363</v>
      </c>
      <c r="Q49" s="0" t="s">
        <v>1360</v>
      </c>
      <c r="R49" s="0" t="s">
        <v>1364</v>
      </c>
      <c r="S49" s="1" t="s">
        <v>1365</v>
      </c>
      <c r="T49" s="0" t="s">
        <v>1366</v>
      </c>
      <c r="U49" s="0" t="s">
        <v>1367</v>
      </c>
      <c r="V49" s="0" t="s">
        <v>1349</v>
      </c>
      <c r="W49" s="0" t="s">
        <v>1368</v>
      </c>
      <c r="X49" s="2" t="s">
        <v>1369</v>
      </c>
      <c r="Y49" s="0" t="s">
        <v>1370</v>
      </c>
      <c r="Z49" s="0" t="s">
        <v>1371</v>
      </c>
      <c r="AA49" s="0" t="s">
        <v>1372</v>
      </c>
      <c r="AB49" s="0" t="s">
        <v>1360</v>
      </c>
      <c r="AC49" s="1" t="s">
        <v>1373</v>
      </c>
      <c r="AD49" s="0" t="s">
        <v>1374</v>
      </c>
      <c r="AE49" s="0" t="s">
        <v>1375</v>
      </c>
      <c r="AF49" s="0" t="s">
        <v>1368</v>
      </c>
      <c r="AG49" s="0" t="s">
        <v>1376</v>
      </c>
      <c r="AH49" s="0" t="s">
        <v>1377</v>
      </c>
      <c r="AI49" s="0" t="s">
        <v>1358</v>
      </c>
      <c r="AJ49" s="0" t="s">
        <v>1368</v>
      </c>
      <c r="AK49" s="0" t="s">
        <v>1378</v>
      </c>
      <c r="AL49" s="1" t="s">
        <v>1379</v>
      </c>
      <c r="AM49" s="0" t="s">
        <v>1380</v>
      </c>
      <c r="AN49" s="0" t="s">
        <v>1381</v>
      </c>
      <c r="AO49" s="0" t="s">
        <v>1382</v>
      </c>
      <c r="AP49" s="1" t="s">
        <v>1383</v>
      </c>
    </row>
    <row r="50" customFormat="false" ht="14.25" hidden="false" customHeight="false" outlineLevel="0" collapsed="false">
      <c r="A50" s="0" t="s">
        <v>1384</v>
      </c>
      <c r="B50" s="0" t="s">
        <v>1385</v>
      </c>
      <c r="C50" s="1" t="s">
        <v>1386</v>
      </c>
      <c r="D50" s="0" t="s">
        <v>1387</v>
      </c>
      <c r="E50" s="0" t="s">
        <v>1388</v>
      </c>
      <c r="F50" s="0" t="s">
        <v>1389</v>
      </c>
      <c r="G50" s="0" t="s">
        <v>1390</v>
      </c>
      <c r="H50" s="2" t="s">
        <v>1391</v>
      </c>
      <c r="I50" s="2" t="s">
        <v>1392</v>
      </c>
      <c r="J50" s="0" t="s">
        <v>1393</v>
      </c>
      <c r="K50" s="0" t="s">
        <v>1394</v>
      </c>
      <c r="L50" s="0" t="s">
        <v>1395</v>
      </c>
      <c r="M50" s="0" t="s">
        <v>1396</v>
      </c>
      <c r="N50" s="0" t="s">
        <v>1397</v>
      </c>
      <c r="O50" s="0" t="s">
        <v>1384</v>
      </c>
      <c r="P50" s="0" t="s">
        <v>1398</v>
      </c>
      <c r="Q50" s="0" t="s">
        <v>1399</v>
      </c>
      <c r="R50" s="0" t="s">
        <v>1400</v>
      </c>
      <c r="S50" s="1" t="s">
        <v>1401</v>
      </c>
      <c r="T50" s="0" t="s">
        <v>1402</v>
      </c>
      <c r="U50" s="0" t="s">
        <v>1403</v>
      </c>
      <c r="V50" s="0" t="s">
        <v>1384</v>
      </c>
      <c r="W50" s="0" t="s">
        <v>1404</v>
      </c>
      <c r="X50" s="2" t="s">
        <v>1405</v>
      </c>
      <c r="Y50" s="0" t="s">
        <v>1406</v>
      </c>
      <c r="Z50" s="0" t="s">
        <v>1407</v>
      </c>
      <c r="AA50" s="0" t="s">
        <v>1408</v>
      </c>
      <c r="AB50" s="0" t="s">
        <v>1409</v>
      </c>
      <c r="AC50" s="1" t="s">
        <v>1410</v>
      </c>
      <c r="AD50" s="0" t="s">
        <v>1411</v>
      </c>
      <c r="AE50" s="0" t="s">
        <v>1390</v>
      </c>
      <c r="AF50" s="0" t="s">
        <v>1412</v>
      </c>
      <c r="AG50" s="0" t="s">
        <v>1413</v>
      </c>
      <c r="AH50" s="0" t="s">
        <v>1414</v>
      </c>
      <c r="AI50" s="0" t="s">
        <v>1384</v>
      </c>
      <c r="AJ50" s="0" t="s">
        <v>1404</v>
      </c>
      <c r="AK50" s="0" t="s">
        <v>1409</v>
      </c>
      <c r="AL50" s="1" t="s">
        <v>1415</v>
      </c>
      <c r="AM50" s="0" t="s">
        <v>1388</v>
      </c>
      <c r="AN50" s="0" t="s">
        <v>1416</v>
      </c>
      <c r="AO50" s="0" t="s">
        <v>1417</v>
      </c>
      <c r="AP50" s="1" t="s">
        <v>1418</v>
      </c>
    </row>
    <row r="51" customFormat="false" ht="14.25" hidden="false" customHeight="false" outlineLevel="0" collapsed="false">
      <c r="A51" s="0" t="s">
        <v>1419</v>
      </c>
      <c r="B51" s="0" t="s">
        <v>1420</v>
      </c>
      <c r="C51" s="1" t="s">
        <v>1421</v>
      </c>
      <c r="D51" s="0" t="s">
        <v>1422</v>
      </c>
      <c r="E51" s="0" t="s">
        <v>1423</v>
      </c>
      <c r="F51" s="0" t="s">
        <v>1424</v>
      </c>
      <c r="G51" s="0" t="s">
        <v>1425</v>
      </c>
      <c r="H51" s="2" t="s">
        <v>1426</v>
      </c>
      <c r="I51" s="2" t="s">
        <v>1427</v>
      </c>
      <c r="J51" s="0" t="s">
        <v>1428</v>
      </c>
      <c r="K51" s="0" t="s">
        <v>1429</v>
      </c>
      <c r="L51" s="0" t="s">
        <v>1430</v>
      </c>
      <c r="M51" s="0" t="s">
        <v>1431</v>
      </c>
      <c r="N51" s="0" t="s">
        <v>1419</v>
      </c>
      <c r="O51" s="0" t="s">
        <v>1432</v>
      </c>
      <c r="P51" s="0" t="s">
        <v>1433</v>
      </c>
      <c r="Q51" s="0" t="s">
        <v>1430</v>
      </c>
      <c r="R51" s="0" t="s">
        <v>1434</v>
      </c>
      <c r="S51" s="1" t="s">
        <v>1435</v>
      </c>
      <c r="T51" s="0" t="s">
        <v>1436</v>
      </c>
      <c r="U51" s="0" t="s">
        <v>1419</v>
      </c>
      <c r="V51" s="0" t="s">
        <v>1419</v>
      </c>
      <c r="W51" s="0" t="s">
        <v>1419</v>
      </c>
      <c r="X51" s="2" t="s">
        <v>1437</v>
      </c>
      <c r="Y51" s="0" t="s">
        <v>1428</v>
      </c>
      <c r="Z51" s="0" t="s">
        <v>1438</v>
      </c>
      <c r="AA51" s="0" t="s">
        <v>1439</v>
      </c>
      <c r="AB51" s="0" t="s">
        <v>1419</v>
      </c>
      <c r="AC51" s="1" t="s">
        <v>1440</v>
      </c>
      <c r="AD51" s="0" t="s">
        <v>1419</v>
      </c>
      <c r="AE51" s="0" t="s">
        <v>1441</v>
      </c>
      <c r="AF51" s="0" t="s">
        <v>1419</v>
      </c>
      <c r="AG51" s="0" t="s">
        <v>1442</v>
      </c>
      <c r="AH51" s="0" t="s">
        <v>1441</v>
      </c>
      <c r="AI51" s="0" t="s">
        <v>1443</v>
      </c>
      <c r="AJ51" s="0" t="s">
        <v>1419</v>
      </c>
      <c r="AK51" s="0" t="s">
        <v>1430</v>
      </c>
      <c r="AL51" s="1" t="s">
        <v>1444</v>
      </c>
      <c r="AM51" s="0" t="s">
        <v>1445</v>
      </c>
      <c r="AN51" s="0" t="s">
        <v>1446</v>
      </c>
      <c r="AO51" s="0" t="s">
        <v>1447</v>
      </c>
      <c r="AP51" s="1" t="s">
        <v>1448</v>
      </c>
    </row>
    <row r="52" customFormat="false" ht="14.25" hidden="false" customHeight="false" outlineLevel="0" collapsed="false">
      <c r="A52" s="0" t="s">
        <v>1449</v>
      </c>
      <c r="B52" s="0" t="s">
        <v>1450</v>
      </c>
      <c r="C52" s="1" t="s">
        <v>1451</v>
      </c>
      <c r="D52" s="0" t="s">
        <v>1452</v>
      </c>
      <c r="E52" s="0" t="s">
        <v>1453</v>
      </c>
      <c r="F52" s="0" t="s">
        <v>1454</v>
      </c>
      <c r="G52" s="0" t="s">
        <v>1455</v>
      </c>
      <c r="H52" s="2" t="s">
        <v>1456</v>
      </c>
      <c r="I52" s="2" t="s">
        <v>1457</v>
      </c>
      <c r="J52" s="0" t="s">
        <v>1458</v>
      </c>
      <c r="K52" s="0" t="s">
        <v>1459</v>
      </c>
      <c r="L52" s="0" t="s">
        <v>1460</v>
      </c>
      <c r="M52" s="0" t="s">
        <v>1461</v>
      </c>
      <c r="N52" s="0" t="s">
        <v>1460</v>
      </c>
      <c r="O52" s="0" t="s">
        <v>1462</v>
      </c>
      <c r="P52" s="0" t="s">
        <v>1463</v>
      </c>
      <c r="Q52" s="0" t="s">
        <v>1464</v>
      </c>
      <c r="R52" s="0" t="s">
        <v>1465</v>
      </c>
      <c r="S52" s="1" t="s">
        <v>1466</v>
      </c>
      <c r="T52" s="0" t="s">
        <v>1467</v>
      </c>
      <c r="U52" s="0" t="s">
        <v>1449</v>
      </c>
      <c r="V52" s="0" t="s">
        <v>1449</v>
      </c>
      <c r="W52" s="0" t="s">
        <v>1468</v>
      </c>
      <c r="X52" s="2" t="s">
        <v>1469</v>
      </c>
      <c r="Y52" s="0" t="s">
        <v>1470</v>
      </c>
      <c r="Z52" s="0" t="s">
        <v>1471</v>
      </c>
      <c r="AA52" s="0" t="s">
        <v>1453</v>
      </c>
      <c r="AB52" s="0" t="s">
        <v>1460</v>
      </c>
      <c r="AC52" s="1" t="s">
        <v>1472</v>
      </c>
      <c r="AD52" s="0" t="s">
        <v>1473</v>
      </c>
      <c r="AE52" s="0" t="s">
        <v>1455</v>
      </c>
      <c r="AF52" s="0" t="s">
        <v>1474</v>
      </c>
      <c r="AG52" s="0" t="s">
        <v>1471</v>
      </c>
      <c r="AH52" s="0" t="s">
        <v>1459</v>
      </c>
      <c r="AI52" s="0" t="s">
        <v>1458</v>
      </c>
      <c r="AJ52" s="0" t="s">
        <v>1455</v>
      </c>
      <c r="AK52" s="0" t="s">
        <v>1460</v>
      </c>
      <c r="AL52" s="1" t="s">
        <v>1475</v>
      </c>
      <c r="AM52" s="0" t="s">
        <v>1453</v>
      </c>
      <c r="AN52" s="0" t="s">
        <v>1476</v>
      </c>
      <c r="AO52" s="0" t="s">
        <v>1477</v>
      </c>
      <c r="AP52" s="1" t="s">
        <v>1478</v>
      </c>
    </row>
    <row r="53" customFormat="false" ht="14.25" hidden="false" customHeight="false" outlineLevel="0" collapsed="false">
      <c r="A53" s="0" t="s">
        <v>1479</v>
      </c>
      <c r="B53" s="0" t="s">
        <v>1480</v>
      </c>
      <c r="C53" s="1" t="s">
        <v>1481</v>
      </c>
      <c r="D53" s="0" t="s">
        <v>1482</v>
      </c>
      <c r="E53" s="0" t="s">
        <v>1483</v>
      </c>
      <c r="F53" s="0" t="s">
        <v>1484</v>
      </c>
      <c r="G53" s="0" t="s">
        <v>1485</v>
      </c>
      <c r="H53" s="2" t="s">
        <v>1486</v>
      </c>
      <c r="I53" s="2" t="s">
        <v>1486</v>
      </c>
      <c r="J53" s="0" t="s">
        <v>1483</v>
      </c>
      <c r="K53" s="0" t="s">
        <v>1487</v>
      </c>
      <c r="L53" s="0" t="s">
        <v>1488</v>
      </c>
      <c r="M53" s="0" t="s">
        <v>1489</v>
      </c>
      <c r="N53" s="0" t="s">
        <v>1490</v>
      </c>
      <c r="O53" s="0" t="s">
        <v>1491</v>
      </c>
      <c r="P53" s="0" t="s">
        <v>1492</v>
      </c>
      <c r="Q53" s="0" t="s">
        <v>1488</v>
      </c>
      <c r="R53" s="0" t="s">
        <v>1493</v>
      </c>
      <c r="S53" s="1" t="s">
        <v>1494</v>
      </c>
      <c r="T53" s="0" t="s">
        <v>1495</v>
      </c>
      <c r="U53" s="0" t="s">
        <v>1479</v>
      </c>
      <c r="V53" s="0" t="s">
        <v>1496</v>
      </c>
      <c r="W53" s="0" t="s">
        <v>1479</v>
      </c>
      <c r="X53" s="2" t="s">
        <v>1497</v>
      </c>
      <c r="Y53" s="0" t="s">
        <v>1498</v>
      </c>
      <c r="Z53" s="0" t="s">
        <v>1484</v>
      </c>
      <c r="AA53" s="0" t="s">
        <v>1499</v>
      </c>
      <c r="AB53" s="0" t="s">
        <v>1479</v>
      </c>
      <c r="AC53" s="1" t="s">
        <v>1481</v>
      </c>
      <c r="AD53" s="0" t="s">
        <v>1500</v>
      </c>
      <c r="AE53" s="0" t="s">
        <v>1485</v>
      </c>
      <c r="AF53" s="0" t="s">
        <v>1479</v>
      </c>
      <c r="AG53" s="0" t="s">
        <v>1484</v>
      </c>
      <c r="AH53" s="0" t="s">
        <v>1487</v>
      </c>
      <c r="AI53" s="0" t="s">
        <v>1501</v>
      </c>
      <c r="AJ53" s="0" t="s">
        <v>1502</v>
      </c>
      <c r="AK53" s="0" t="s">
        <v>1503</v>
      </c>
      <c r="AL53" s="1" t="s">
        <v>1504</v>
      </c>
      <c r="AM53" s="0" t="s">
        <v>1505</v>
      </c>
      <c r="AN53" s="0" t="s">
        <v>1479</v>
      </c>
      <c r="AO53" s="0" t="s">
        <v>1506</v>
      </c>
      <c r="AP53" s="1" t="s">
        <v>1507</v>
      </c>
    </row>
    <row r="54" customFormat="false" ht="14.25" hidden="false" customHeight="false" outlineLevel="0" collapsed="false">
      <c r="A54" s="0" t="s">
        <v>1508</v>
      </c>
      <c r="B54" s="0" t="s">
        <v>1509</v>
      </c>
      <c r="C54" s="1" t="s">
        <v>1510</v>
      </c>
      <c r="D54" s="0" t="s">
        <v>1511</v>
      </c>
      <c r="E54" s="0" t="s">
        <v>1512</v>
      </c>
      <c r="F54" s="0" t="s">
        <v>1513</v>
      </c>
      <c r="G54" s="0" t="s">
        <v>1514</v>
      </c>
      <c r="H54" s="2" t="s">
        <v>1515</v>
      </c>
      <c r="I54" s="2" t="s">
        <v>1515</v>
      </c>
      <c r="J54" s="0" t="s">
        <v>1516</v>
      </c>
      <c r="K54" s="0" t="s">
        <v>1517</v>
      </c>
      <c r="L54" s="0" t="s">
        <v>1518</v>
      </c>
      <c r="M54" s="0" t="s">
        <v>1519</v>
      </c>
      <c r="N54" s="0" t="s">
        <v>1518</v>
      </c>
      <c r="O54" s="0" t="s">
        <v>1520</v>
      </c>
      <c r="P54" s="0" t="s">
        <v>1521</v>
      </c>
      <c r="Q54" s="0" t="s">
        <v>1518</v>
      </c>
      <c r="R54" s="0" t="s">
        <v>1522</v>
      </c>
      <c r="S54" s="1" t="s">
        <v>1523</v>
      </c>
      <c r="T54" s="0" t="s">
        <v>1524</v>
      </c>
      <c r="U54" s="0" t="s">
        <v>1525</v>
      </c>
      <c r="V54" s="0" t="s">
        <v>1526</v>
      </c>
      <c r="W54" s="0" t="s">
        <v>1527</v>
      </c>
      <c r="X54" s="2" t="s">
        <v>1528</v>
      </c>
      <c r="Y54" s="0" t="s">
        <v>1529</v>
      </c>
      <c r="Z54" s="0" t="s">
        <v>1530</v>
      </c>
      <c r="AA54" s="0" t="s">
        <v>1531</v>
      </c>
      <c r="AB54" s="0" t="s">
        <v>1532</v>
      </c>
      <c r="AC54" s="1" t="s">
        <v>1533</v>
      </c>
      <c r="AD54" s="0" t="s">
        <v>1534</v>
      </c>
      <c r="AE54" s="0" t="s">
        <v>1535</v>
      </c>
      <c r="AF54" s="0" t="s">
        <v>1532</v>
      </c>
      <c r="AG54" s="0" t="s">
        <v>1530</v>
      </c>
      <c r="AH54" s="0" t="s">
        <v>1536</v>
      </c>
      <c r="AI54" s="0" t="s">
        <v>1537</v>
      </c>
      <c r="AJ54" s="0" t="s">
        <v>1538</v>
      </c>
      <c r="AK54" s="0" t="s">
        <v>1518</v>
      </c>
      <c r="AL54" s="1" t="s">
        <v>1539</v>
      </c>
      <c r="AM54" s="0" t="s">
        <v>1540</v>
      </c>
      <c r="AN54" s="0" t="s">
        <v>1541</v>
      </c>
      <c r="AO54" s="0" t="s">
        <v>1542</v>
      </c>
      <c r="AP54" s="1" t="s">
        <v>1543</v>
      </c>
    </row>
    <row r="55" customFormat="false" ht="14.25" hidden="false" customHeight="false" outlineLevel="0" collapsed="false">
      <c r="A55" s="0" t="s">
        <v>1544</v>
      </c>
      <c r="B55" s="0" t="s">
        <v>1545</v>
      </c>
      <c r="C55" s="1" t="s">
        <v>1546</v>
      </c>
      <c r="D55" s="0" t="s">
        <v>1547</v>
      </c>
      <c r="E55" s="0" t="s">
        <v>1544</v>
      </c>
      <c r="F55" s="0" t="s">
        <v>1544</v>
      </c>
      <c r="G55" s="0" t="s">
        <v>1544</v>
      </c>
      <c r="H55" s="2" t="s">
        <v>1548</v>
      </c>
      <c r="I55" s="2" t="s">
        <v>1549</v>
      </c>
      <c r="J55" s="0" t="s">
        <v>1550</v>
      </c>
      <c r="K55" s="0" t="s">
        <v>1550</v>
      </c>
      <c r="L55" s="0" t="s">
        <v>1544</v>
      </c>
      <c r="M55" s="0" t="s">
        <v>1544</v>
      </c>
      <c r="N55" s="0" t="s">
        <v>1551</v>
      </c>
      <c r="O55" s="0" t="s">
        <v>1544</v>
      </c>
      <c r="P55" s="0" t="s">
        <v>1552</v>
      </c>
      <c r="Q55" s="0" t="s">
        <v>1544</v>
      </c>
      <c r="R55" s="0" t="s">
        <v>1553</v>
      </c>
      <c r="S55" s="1" t="s">
        <v>1554</v>
      </c>
      <c r="T55" s="0" t="s">
        <v>1544</v>
      </c>
      <c r="U55" s="0" t="s">
        <v>1551</v>
      </c>
      <c r="V55" s="0" t="s">
        <v>1544</v>
      </c>
      <c r="W55" s="0" t="s">
        <v>1555</v>
      </c>
      <c r="X55" s="2" t="s">
        <v>1556</v>
      </c>
      <c r="Y55" s="0" t="s">
        <v>1551</v>
      </c>
      <c r="Z55" s="0" t="s">
        <v>1557</v>
      </c>
      <c r="AA55" s="0" t="s">
        <v>1544</v>
      </c>
      <c r="AB55" s="0" t="s">
        <v>1544</v>
      </c>
      <c r="AC55" s="1" t="s">
        <v>1558</v>
      </c>
      <c r="AD55" s="0" t="s">
        <v>1559</v>
      </c>
      <c r="AE55" s="0" t="s">
        <v>1544</v>
      </c>
      <c r="AF55" s="0" t="s">
        <v>1544</v>
      </c>
      <c r="AG55" s="0" t="s">
        <v>1560</v>
      </c>
      <c r="AH55" s="0" t="s">
        <v>1550</v>
      </c>
      <c r="AI55" s="0" t="s">
        <v>1544</v>
      </c>
      <c r="AJ55" s="0" t="s">
        <v>1544</v>
      </c>
      <c r="AK55" s="0" t="s">
        <v>1561</v>
      </c>
      <c r="AL55" s="1" t="s">
        <v>1562</v>
      </c>
      <c r="AM55" s="0" t="s">
        <v>1550</v>
      </c>
      <c r="AN55" s="0" t="s">
        <v>1544</v>
      </c>
      <c r="AO55" s="0" t="s">
        <v>1563</v>
      </c>
      <c r="AP55" s="1" t="s">
        <v>1564</v>
      </c>
    </row>
    <row r="56" customFormat="false" ht="14.25" hidden="false" customHeight="false" outlineLevel="0" collapsed="false">
      <c r="A56" s="0" t="s">
        <v>1565</v>
      </c>
      <c r="B56" s="0" t="s">
        <v>1566</v>
      </c>
      <c r="C56" s="1" t="s">
        <v>1567</v>
      </c>
      <c r="D56" s="0" t="s">
        <v>1568</v>
      </c>
      <c r="E56" s="0" t="s">
        <v>1569</v>
      </c>
      <c r="F56" s="0" t="s">
        <v>1570</v>
      </c>
      <c r="G56" s="0" t="s">
        <v>1571</v>
      </c>
      <c r="H56" s="2" t="s">
        <v>1572</v>
      </c>
      <c r="I56" s="2" t="s">
        <v>1573</v>
      </c>
      <c r="J56" s="0" t="s">
        <v>1574</v>
      </c>
      <c r="K56" s="0" t="s">
        <v>1575</v>
      </c>
      <c r="L56" s="0" t="s">
        <v>1576</v>
      </c>
      <c r="M56" s="0" t="s">
        <v>1577</v>
      </c>
      <c r="N56" s="0" t="s">
        <v>1578</v>
      </c>
      <c r="O56" s="0" t="s">
        <v>1579</v>
      </c>
      <c r="P56" s="0" t="s">
        <v>1580</v>
      </c>
      <c r="Q56" s="0" t="s">
        <v>1581</v>
      </c>
      <c r="R56" s="0" t="s">
        <v>1582</v>
      </c>
      <c r="S56" s="1" t="s">
        <v>1583</v>
      </c>
      <c r="T56" s="0" t="s">
        <v>1584</v>
      </c>
      <c r="U56" s="0" t="s">
        <v>1585</v>
      </c>
      <c r="V56" s="0" t="s">
        <v>1586</v>
      </c>
      <c r="W56" s="0" t="s">
        <v>1587</v>
      </c>
      <c r="X56" s="2" t="s">
        <v>1588</v>
      </c>
      <c r="Y56" s="0" t="s">
        <v>1589</v>
      </c>
      <c r="Z56" s="0" t="s">
        <v>1590</v>
      </c>
      <c r="AA56" s="0" t="s">
        <v>1591</v>
      </c>
      <c r="AB56" s="0" t="s">
        <v>1576</v>
      </c>
      <c r="AC56" s="1" t="s">
        <v>1592</v>
      </c>
      <c r="AD56" s="0" t="s">
        <v>1593</v>
      </c>
      <c r="AE56" s="0" t="s">
        <v>1594</v>
      </c>
      <c r="AF56" s="0" t="s">
        <v>1587</v>
      </c>
      <c r="AG56" s="0" t="s">
        <v>1595</v>
      </c>
      <c r="AH56" s="0" t="s">
        <v>1596</v>
      </c>
      <c r="AI56" s="0" t="s">
        <v>1597</v>
      </c>
      <c r="AJ56" s="0" t="s">
        <v>1598</v>
      </c>
      <c r="AK56" s="0" t="s">
        <v>1576</v>
      </c>
      <c r="AL56" s="1" t="s">
        <v>1599</v>
      </c>
      <c r="AM56" s="0" t="s">
        <v>1600</v>
      </c>
      <c r="AN56" s="0" t="s">
        <v>1601</v>
      </c>
      <c r="AO56" s="0" t="s">
        <v>1602</v>
      </c>
      <c r="AP56" s="1" t="s">
        <v>1603</v>
      </c>
    </row>
    <row r="57" customFormat="false" ht="14.25" hidden="false" customHeight="false" outlineLevel="0" collapsed="false">
      <c r="A57" s="0" t="s">
        <v>1604</v>
      </c>
      <c r="B57" s="0" t="s">
        <v>1605</v>
      </c>
      <c r="C57" s="1" t="s">
        <v>1606</v>
      </c>
      <c r="D57" s="0" t="s">
        <v>1607</v>
      </c>
      <c r="E57" s="0" t="s">
        <v>1608</v>
      </c>
      <c r="F57" s="0" t="s">
        <v>1609</v>
      </c>
      <c r="G57" s="0" t="s">
        <v>1610</v>
      </c>
      <c r="H57" s="2" t="s">
        <v>1611</v>
      </c>
      <c r="I57" s="2" t="s">
        <v>1611</v>
      </c>
      <c r="J57" s="0" t="s">
        <v>1604</v>
      </c>
      <c r="K57" s="0" t="s">
        <v>1612</v>
      </c>
      <c r="L57" s="0" t="s">
        <v>1604</v>
      </c>
      <c r="M57" s="0" t="s">
        <v>1604</v>
      </c>
      <c r="N57" s="0" t="s">
        <v>1604</v>
      </c>
      <c r="O57" s="0" t="s">
        <v>1613</v>
      </c>
      <c r="P57" s="0" t="s">
        <v>1614</v>
      </c>
      <c r="Q57" s="0" t="s">
        <v>1604</v>
      </c>
      <c r="R57" s="0" t="s">
        <v>1615</v>
      </c>
      <c r="S57" s="1" t="s">
        <v>1616</v>
      </c>
      <c r="T57" s="0" t="s">
        <v>1617</v>
      </c>
      <c r="U57" s="0" t="s">
        <v>1618</v>
      </c>
      <c r="V57" s="0" t="s">
        <v>1604</v>
      </c>
      <c r="W57" s="0" t="s">
        <v>1619</v>
      </c>
      <c r="X57" s="2" t="s">
        <v>1620</v>
      </c>
      <c r="Y57" s="0" t="s">
        <v>1621</v>
      </c>
      <c r="Z57" s="0" t="s">
        <v>1622</v>
      </c>
      <c r="AA57" s="0" t="s">
        <v>1623</v>
      </c>
      <c r="AB57" s="0" t="s">
        <v>1604</v>
      </c>
      <c r="AC57" s="1" t="s">
        <v>1624</v>
      </c>
      <c r="AD57" s="0" t="s">
        <v>1605</v>
      </c>
      <c r="AE57" s="0" t="s">
        <v>1625</v>
      </c>
      <c r="AF57" s="0" t="s">
        <v>1605</v>
      </c>
      <c r="AG57" s="0" t="s">
        <v>1604</v>
      </c>
      <c r="AH57" s="0" t="s">
        <v>1612</v>
      </c>
      <c r="AI57" s="0" t="s">
        <v>1626</v>
      </c>
      <c r="AJ57" s="0" t="s">
        <v>1627</v>
      </c>
      <c r="AK57" s="0" t="s">
        <v>1604</v>
      </c>
      <c r="AL57" s="1" t="s">
        <v>1628</v>
      </c>
      <c r="AM57" s="0" t="s">
        <v>1629</v>
      </c>
      <c r="AN57" s="0" t="s">
        <v>1630</v>
      </c>
      <c r="AO57" s="0" t="s">
        <v>1631</v>
      </c>
      <c r="AP57" s="1" t="s">
        <v>1632</v>
      </c>
    </row>
    <row r="58" customFormat="false" ht="14.25" hidden="false" customHeight="false" outlineLevel="0" collapsed="false">
      <c r="A58" s="0" t="s">
        <v>1633</v>
      </c>
      <c r="B58" s="0" t="s">
        <v>1634</v>
      </c>
      <c r="C58" s="1" t="s">
        <v>1635</v>
      </c>
      <c r="D58" s="0" t="s">
        <v>1636</v>
      </c>
      <c r="E58" s="0" t="s">
        <v>1637</v>
      </c>
      <c r="F58" s="0" t="s">
        <v>1638</v>
      </c>
      <c r="G58" s="0" t="s">
        <v>1639</v>
      </c>
      <c r="H58" s="2" t="s">
        <v>1640</v>
      </c>
      <c r="I58" s="2" t="s">
        <v>1641</v>
      </c>
      <c r="J58" s="0" t="s">
        <v>1642</v>
      </c>
      <c r="K58" s="0" t="s">
        <v>1643</v>
      </c>
      <c r="L58" s="0" t="s">
        <v>1644</v>
      </c>
      <c r="M58" s="0" t="s">
        <v>1645</v>
      </c>
      <c r="N58" s="0" t="s">
        <v>1646</v>
      </c>
      <c r="O58" s="0" t="s">
        <v>1647</v>
      </c>
      <c r="P58" s="0" t="s">
        <v>1648</v>
      </c>
      <c r="Q58" s="0" t="s">
        <v>1644</v>
      </c>
      <c r="R58" s="0" t="s">
        <v>1649</v>
      </c>
      <c r="S58" s="1" t="s">
        <v>1650</v>
      </c>
      <c r="T58" s="0" t="s">
        <v>1633</v>
      </c>
      <c r="U58" s="0" t="s">
        <v>1646</v>
      </c>
      <c r="V58" s="0" t="s">
        <v>1633</v>
      </c>
      <c r="W58" s="0" t="s">
        <v>1651</v>
      </c>
      <c r="X58" s="2" t="s">
        <v>1652</v>
      </c>
      <c r="Y58" s="0" t="s">
        <v>1642</v>
      </c>
      <c r="Z58" s="0" t="s">
        <v>1653</v>
      </c>
      <c r="AA58" s="0" t="s">
        <v>1654</v>
      </c>
      <c r="AB58" s="0" t="s">
        <v>1646</v>
      </c>
      <c r="AC58" s="1" t="s">
        <v>1655</v>
      </c>
      <c r="AD58" s="0" t="s">
        <v>1646</v>
      </c>
      <c r="AE58" s="0" t="s">
        <v>1656</v>
      </c>
      <c r="AF58" s="0" t="s">
        <v>1646</v>
      </c>
      <c r="AG58" s="0" t="s">
        <v>1653</v>
      </c>
      <c r="AH58" s="0" t="s">
        <v>1657</v>
      </c>
      <c r="AI58" s="0" t="s">
        <v>1642</v>
      </c>
      <c r="AJ58" s="0" t="s">
        <v>1656</v>
      </c>
      <c r="AK58" s="0" t="s">
        <v>1644</v>
      </c>
      <c r="AL58" s="1" t="s">
        <v>1658</v>
      </c>
      <c r="AM58" s="0" t="s">
        <v>1637</v>
      </c>
      <c r="AN58" s="0" t="s">
        <v>1659</v>
      </c>
      <c r="AO58" s="0" t="s">
        <v>1660</v>
      </c>
      <c r="AP58" s="1" t="s">
        <v>1661</v>
      </c>
    </row>
    <row r="59" customFormat="false" ht="14.25" hidden="false" customHeight="false" outlineLevel="0" collapsed="false">
      <c r="A59" s="0" t="s">
        <v>1662</v>
      </c>
      <c r="B59" s="0" t="s">
        <v>1663</v>
      </c>
      <c r="C59" s="1" t="s">
        <v>1664</v>
      </c>
      <c r="D59" s="0" t="s">
        <v>1665</v>
      </c>
      <c r="E59" s="0" t="s">
        <v>1663</v>
      </c>
      <c r="F59" s="0" t="s">
        <v>1666</v>
      </c>
      <c r="G59" s="0" t="s">
        <v>1667</v>
      </c>
      <c r="H59" s="2" t="s">
        <v>1668</v>
      </c>
      <c r="I59" s="2" t="s">
        <v>1668</v>
      </c>
      <c r="J59" s="0" t="s">
        <v>1663</v>
      </c>
      <c r="K59" s="0" t="s">
        <v>1663</v>
      </c>
      <c r="L59" s="0" t="s">
        <v>1662</v>
      </c>
      <c r="M59" s="0" t="s">
        <v>1662</v>
      </c>
      <c r="N59" s="0" t="s">
        <v>1662</v>
      </c>
      <c r="O59" s="0" t="s">
        <v>1662</v>
      </c>
      <c r="P59" s="0" t="s">
        <v>1669</v>
      </c>
      <c r="Q59" s="0" t="s">
        <v>1663</v>
      </c>
      <c r="R59" s="0" t="s">
        <v>1670</v>
      </c>
      <c r="S59" s="1" t="s">
        <v>1671</v>
      </c>
      <c r="T59" s="0" t="s">
        <v>1663</v>
      </c>
      <c r="U59" s="0" t="s">
        <v>1663</v>
      </c>
      <c r="V59" s="0" t="s">
        <v>1663</v>
      </c>
      <c r="W59" s="0" t="s">
        <v>1662</v>
      </c>
      <c r="X59" s="2" t="s">
        <v>1672</v>
      </c>
      <c r="Y59" s="0" t="s">
        <v>1663</v>
      </c>
      <c r="Z59" s="0" t="s">
        <v>1666</v>
      </c>
      <c r="AA59" s="0" t="s">
        <v>1663</v>
      </c>
      <c r="AB59" s="0" t="s">
        <v>1662</v>
      </c>
      <c r="AC59" s="1" t="s">
        <v>1673</v>
      </c>
      <c r="AD59" s="0" t="s">
        <v>1663</v>
      </c>
      <c r="AE59" s="0" t="s">
        <v>1674</v>
      </c>
      <c r="AF59" s="0" t="s">
        <v>1662</v>
      </c>
      <c r="AG59" s="0" t="s">
        <v>1666</v>
      </c>
      <c r="AH59" s="0" t="s">
        <v>1663</v>
      </c>
      <c r="AI59" s="0" t="s">
        <v>1663</v>
      </c>
      <c r="AJ59" s="0" t="s">
        <v>1674</v>
      </c>
      <c r="AK59" s="0" t="s">
        <v>1662</v>
      </c>
      <c r="AL59" s="1" t="s">
        <v>1675</v>
      </c>
      <c r="AM59" s="0" t="s">
        <v>1663</v>
      </c>
      <c r="AN59" s="0" t="s">
        <v>1662</v>
      </c>
      <c r="AO59" s="0" t="s">
        <v>1666</v>
      </c>
      <c r="AP59" s="1" t="s">
        <v>1676</v>
      </c>
    </row>
    <row r="60" customFormat="false" ht="14.25" hidden="false" customHeight="false" outlineLevel="0" collapsed="false">
      <c r="A60" s="0" t="s">
        <v>1677</v>
      </c>
      <c r="B60" s="0" t="s">
        <v>1678</v>
      </c>
      <c r="C60" s="1" t="s">
        <v>1679</v>
      </c>
      <c r="D60" s="0" t="s">
        <v>1680</v>
      </c>
      <c r="E60" s="0" t="s">
        <v>1681</v>
      </c>
      <c r="F60" s="0" t="s">
        <v>1682</v>
      </c>
      <c r="G60" s="0" t="s">
        <v>1683</v>
      </c>
      <c r="H60" s="2" t="s">
        <v>1684</v>
      </c>
      <c r="I60" s="2" t="s">
        <v>1684</v>
      </c>
      <c r="J60" s="0" t="s">
        <v>1685</v>
      </c>
      <c r="K60" s="0" t="s">
        <v>1685</v>
      </c>
      <c r="L60" s="0" t="s">
        <v>1686</v>
      </c>
      <c r="M60" s="0" t="s">
        <v>1686</v>
      </c>
      <c r="N60" s="0" t="s">
        <v>1686</v>
      </c>
      <c r="O60" s="0" t="s">
        <v>1687</v>
      </c>
      <c r="P60" s="0" t="s">
        <v>1688</v>
      </c>
      <c r="Q60" s="0" t="s">
        <v>1686</v>
      </c>
      <c r="R60" s="0" t="s">
        <v>1689</v>
      </c>
      <c r="S60" s="1" t="s">
        <v>1690</v>
      </c>
      <c r="T60" s="0" t="s">
        <v>1691</v>
      </c>
      <c r="U60" s="0" t="s">
        <v>1685</v>
      </c>
      <c r="V60" s="0" t="s">
        <v>1691</v>
      </c>
      <c r="W60" s="0" t="s">
        <v>1692</v>
      </c>
      <c r="X60" s="2" t="s">
        <v>1693</v>
      </c>
      <c r="Y60" s="0" t="s">
        <v>1694</v>
      </c>
      <c r="Z60" s="0" t="s">
        <v>1682</v>
      </c>
      <c r="AA60" s="0" t="s">
        <v>1695</v>
      </c>
      <c r="AB60" s="0" t="s">
        <v>1686</v>
      </c>
      <c r="AC60" s="1" t="s">
        <v>1696</v>
      </c>
      <c r="AD60" s="0" t="s">
        <v>1685</v>
      </c>
      <c r="AE60" s="0" t="s">
        <v>1697</v>
      </c>
      <c r="AF60" s="0" t="s">
        <v>1687</v>
      </c>
      <c r="AG60" s="0" t="s">
        <v>1682</v>
      </c>
      <c r="AH60" s="0" t="s">
        <v>1685</v>
      </c>
      <c r="AI60" s="0" t="s">
        <v>1685</v>
      </c>
      <c r="AJ60" s="0" t="s">
        <v>1698</v>
      </c>
      <c r="AK60" s="0" t="s">
        <v>1699</v>
      </c>
      <c r="AL60" s="1" t="s">
        <v>1700</v>
      </c>
      <c r="AM60" s="0" t="s">
        <v>1701</v>
      </c>
      <c r="AN60" s="0" t="s">
        <v>1677</v>
      </c>
      <c r="AO60" s="0" t="s">
        <v>1702</v>
      </c>
      <c r="AP60" s="1" t="s">
        <v>1696</v>
      </c>
    </row>
    <row r="61" customFormat="false" ht="14.25" hidden="false" customHeight="false" outlineLevel="0" collapsed="false">
      <c r="A61" s="0" t="s">
        <v>1703</v>
      </c>
      <c r="B61" s="0" t="s">
        <v>1704</v>
      </c>
      <c r="C61" s="1" t="s">
        <v>1705</v>
      </c>
      <c r="D61" s="0" t="s">
        <v>1706</v>
      </c>
      <c r="E61" s="0" t="s">
        <v>1707</v>
      </c>
      <c r="F61" s="0" t="s">
        <v>1708</v>
      </c>
      <c r="G61" s="0" t="s">
        <v>1709</v>
      </c>
      <c r="H61" s="2" t="s">
        <v>1710</v>
      </c>
      <c r="I61" s="2" t="s">
        <v>1711</v>
      </c>
      <c r="J61" s="0" t="s">
        <v>1712</v>
      </c>
      <c r="K61" s="0" t="s">
        <v>1713</v>
      </c>
      <c r="L61" s="0" t="s">
        <v>1714</v>
      </c>
      <c r="M61" s="0" t="s">
        <v>1715</v>
      </c>
      <c r="N61" s="0" t="s">
        <v>1716</v>
      </c>
      <c r="O61" s="0" t="s">
        <v>1717</v>
      </c>
      <c r="P61" s="0" t="s">
        <v>1718</v>
      </c>
      <c r="Q61" s="0" t="s">
        <v>1714</v>
      </c>
      <c r="R61" s="0" t="s">
        <v>1719</v>
      </c>
      <c r="S61" s="1" t="s">
        <v>1720</v>
      </c>
      <c r="T61" s="0" t="s">
        <v>1721</v>
      </c>
      <c r="U61" s="0" t="s">
        <v>1722</v>
      </c>
      <c r="V61" s="0" t="s">
        <v>1703</v>
      </c>
      <c r="W61" s="0" t="s">
        <v>1723</v>
      </c>
      <c r="X61" s="2" t="s">
        <v>1724</v>
      </c>
      <c r="Y61" s="0" t="s">
        <v>1725</v>
      </c>
      <c r="Z61" s="0" t="s">
        <v>1726</v>
      </c>
      <c r="AA61" s="0" t="s">
        <v>1727</v>
      </c>
      <c r="AB61" s="0" t="s">
        <v>1716</v>
      </c>
      <c r="AC61" s="1" t="s">
        <v>1728</v>
      </c>
      <c r="AD61" s="0" t="s">
        <v>1729</v>
      </c>
      <c r="AE61" s="0" t="s">
        <v>1730</v>
      </c>
      <c r="AF61" s="0" t="s">
        <v>1731</v>
      </c>
      <c r="AG61" s="0" t="s">
        <v>1726</v>
      </c>
      <c r="AH61" s="0" t="s">
        <v>1732</v>
      </c>
      <c r="AI61" s="0" t="s">
        <v>1733</v>
      </c>
      <c r="AJ61" s="0" t="s">
        <v>1734</v>
      </c>
      <c r="AK61" s="0" t="s">
        <v>1714</v>
      </c>
      <c r="AL61" s="1" t="s">
        <v>1735</v>
      </c>
      <c r="AM61" s="0" t="s">
        <v>1736</v>
      </c>
      <c r="AN61" s="0" t="s">
        <v>1703</v>
      </c>
      <c r="AO61" s="0" t="s">
        <v>1737</v>
      </c>
      <c r="AP61" s="1" t="s">
        <v>1738</v>
      </c>
    </row>
    <row r="62" customFormat="false" ht="14.25" hidden="false" customHeight="false" outlineLevel="0" collapsed="false">
      <c r="A62" s="0" t="s">
        <v>1739</v>
      </c>
      <c r="B62" s="0" t="s">
        <v>1740</v>
      </c>
      <c r="C62" s="1" t="s">
        <v>1741</v>
      </c>
      <c r="D62" s="0" t="s">
        <v>1742</v>
      </c>
      <c r="E62" s="0" t="s">
        <v>1743</v>
      </c>
      <c r="F62" s="0" t="s">
        <v>1744</v>
      </c>
      <c r="G62" s="0" t="s">
        <v>1745</v>
      </c>
      <c r="H62" s="2" t="s">
        <v>1746</v>
      </c>
      <c r="I62" s="2" t="s">
        <v>1746</v>
      </c>
      <c r="J62" s="0" t="s">
        <v>1739</v>
      </c>
      <c r="K62" s="0" t="s">
        <v>1747</v>
      </c>
      <c r="L62" s="0" t="s">
        <v>1748</v>
      </c>
      <c r="M62" s="0" t="s">
        <v>1749</v>
      </c>
      <c r="N62" s="0" t="s">
        <v>1750</v>
      </c>
      <c r="O62" s="0" t="s">
        <v>1751</v>
      </c>
      <c r="P62" s="0" t="s">
        <v>1752</v>
      </c>
      <c r="Q62" s="0" t="s">
        <v>1748</v>
      </c>
      <c r="R62" s="0" t="s">
        <v>1753</v>
      </c>
      <c r="S62" s="1" t="s">
        <v>1754</v>
      </c>
      <c r="T62" s="0" t="s">
        <v>1755</v>
      </c>
      <c r="U62" s="0" t="s">
        <v>1739</v>
      </c>
      <c r="V62" s="0" t="s">
        <v>1756</v>
      </c>
      <c r="W62" s="0" t="s">
        <v>1757</v>
      </c>
      <c r="X62" s="2" t="s">
        <v>1758</v>
      </c>
      <c r="Y62" s="0" t="s">
        <v>1759</v>
      </c>
      <c r="Z62" s="0" t="s">
        <v>1760</v>
      </c>
      <c r="AA62" s="0" t="s">
        <v>1761</v>
      </c>
      <c r="AB62" s="0" t="s">
        <v>1745</v>
      </c>
      <c r="AC62" s="1" t="s">
        <v>1762</v>
      </c>
      <c r="AD62" s="0" t="s">
        <v>1763</v>
      </c>
      <c r="AE62" s="0" t="s">
        <v>1745</v>
      </c>
      <c r="AF62" s="0" t="s">
        <v>1764</v>
      </c>
      <c r="AG62" s="0" t="s">
        <v>1739</v>
      </c>
      <c r="AH62" s="0" t="s">
        <v>1755</v>
      </c>
      <c r="AI62" s="0" t="s">
        <v>1759</v>
      </c>
      <c r="AJ62" s="0" t="s">
        <v>1745</v>
      </c>
      <c r="AK62" s="0" t="s">
        <v>1748</v>
      </c>
      <c r="AL62" s="1" t="s">
        <v>1765</v>
      </c>
      <c r="AM62" s="0" t="s">
        <v>1766</v>
      </c>
      <c r="AN62" s="0" t="s">
        <v>1767</v>
      </c>
      <c r="AO62" s="0" t="s">
        <v>1768</v>
      </c>
      <c r="AP62" s="1" t="s">
        <v>1769</v>
      </c>
    </row>
    <row r="63" customFormat="false" ht="14.25" hidden="false" customHeight="false" outlineLevel="0" collapsed="false">
      <c r="A63" s="0" t="s">
        <v>1770</v>
      </c>
      <c r="B63" s="0" t="s">
        <v>1770</v>
      </c>
      <c r="C63" s="1" t="s">
        <v>1771</v>
      </c>
      <c r="D63" s="0" t="s">
        <v>1772</v>
      </c>
      <c r="E63" s="0" t="s">
        <v>1773</v>
      </c>
      <c r="F63" s="0" t="s">
        <v>1774</v>
      </c>
      <c r="G63" s="0" t="s">
        <v>1775</v>
      </c>
      <c r="H63" s="2" t="s">
        <v>1776</v>
      </c>
      <c r="I63" s="2" t="s">
        <v>1777</v>
      </c>
      <c r="J63" s="0" t="s">
        <v>1778</v>
      </c>
      <c r="K63" s="0" t="s">
        <v>1779</v>
      </c>
      <c r="L63" s="0" t="s">
        <v>1780</v>
      </c>
      <c r="M63" s="0" t="s">
        <v>1781</v>
      </c>
      <c r="N63" s="0" t="s">
        <v>1770</v>
      </c>
      <c r="O63" s="0" t="s">
        <v>1782</v>
      </c>
      <c r="P63" s="0" t="s">
        <v>1783</v>
      </c>
      <c r="Q63" s="0" t="s">
        <v>1780</v>
      </c>
      <c r="R63" s="0" t="s">
        <v>1784</v>
      </c>
      <c r="S63" s="1" t="s">
        <v>1785</v>
      </c>
      <c r="T63" s="0" t="s">
        <v>1786</v>
      </c>
      <c r="U63" s="0" t="s">
        <v>1770</v>
      </c>
      <c r="V63" s="0" t="s">
        <v>1787</v>
      </c>
      <c r="W63" s="0" t="s">
        <v>1770</v>
      </c>
      <c r="X63" s="2" t="s">
        <v>1788</v>
      </c>
      <c r="Y63" s="0" t="s">
        <v>1789</v>
      </c>
      <c r="Z63" s="0" t="s">
        <v>1790</v>
      </c>
      <c r="AA63" s="0" t="s">
        <v>1791</v>
      </c>
      <c r="AB63" s="0" t="s">
        <v>1770</v>
      </c>
      <c r="AC63" s="1" t="s">
        <v>1792</v>
      </c>
      <c r="AD63" s="0" t="s">
        <v>1770</v>
      </c>
      <c r="AE63" s="0" t="s">
        <v>1793</v>
      </c>
      <c r="AF63" s="0" t="s">
        <v>1770</v>
      </c>
      <c r="AG63" s="0" t="s">
        <v>1790</v>
      </c>
      <c r="AH63" s="0" t="s">
        <v>1779</v>
      </c>
      <c r="AI63" s="0" t="s">
        <v>1778</v>
      </c>
      <c r="AJ63" s="0" t="s">
        <v>1770</v>
      </c>
      <c r="AK63" s="0" t="s">
        <v>1780</v>
      </c>
      <c r="AL63" s="1" t="s">
        <v>1794</v>
      </c>
      <c r="AM63" s="0" t="s">
        <v>1795</v>
      </c>
      <c r="AN63" s="0" t="s">
        <v>1770</v>
      </c>
      <c r="AO63" s="0" t="s">
        <v>1796</v>
      </c>
      <c r="AP63" s="1" t="s">
        <v>1797</v>
      </c>
    </row>
    <row r="64" customFormat="false" ht="14.25" hidden="false" customHeight="false" outlineLevel="0" collapsed="false">
      <c r="A64" s="0" t="s">
        <v>1798</v>
      </c>
      <c r="B64" s="0" t="s">
        <v>1799</v>
      </c>
      <c r="C64" s="1" t="s">
        <v>1800</v>
      </c>
      <c r="D64" s="0" t="s">
        <v>1801</v>
      </c>
      <c r="E64" s="0" t="s">
        <v>1802</v>
      </c>
      <c r="F64" s="0" t="s">
        <v>1803</v>
      </c>
      <c r="G64" s="0" t="s">
        <v>1804</v>
      </c>
      <c r="H64" s="2" t="s">
        <v>1805</v>
      </c>
      <c r="I64" s="2" t="s">
        <v>1805</v>
      </c>
      <c r="J64" s="0" t="s">
        <v>1806</v>
      </c>
      <c r="K64" s="0" t="s">
        <v>1807</v>
      </c>
      <c r="L64" s="0" t="s">
        <v>1808</v>
      </c>
      <c r="M64" s="0" t="s">
        <v>1809</v>
      </c>
      <c r="N64" s="0" t="s">
        <v>1810</v>
      </c>
      <c r="O64" s="0" t="s">
        <v>1811</v>
      </c>
      <c r="P64" s="0" t="s">
        <v>1798</v>
      </c>
      <c r="Q64" s="0" t="s">
        <v>1808</v>
      </c>
      <c r="R64" s="0" t="s">
        <v>1812</v>
      </c>
      <c r="S64" s="1" t="s">
        <v>1813</v>
      </c>
      <c r="T64" s="0" t="s">
        <v>1814</v>
      </c>
      <c r="U64" s="0" t="s">
        <v>1815</v>
      </c>
      <c r="V64" s="0" t="s">
        <v>1816</v>
      </c>
      <c r="W64" s="0" t="s">
        <v>1817</v>
      </c>
      <c r="X64" s="2" t="s">
        <v>1818</v>
      </c>
      <c r="Y64" s="0" t="s">
        <v>1819</v>
      </c>
      <c r="Z64" s="0" t="s">
        <v>1820</v>
      </c>
      <c r="AA64" s="0" t="s">
        <v>1821</v>
      </c>
      <c r="AB64" s="0" t="s">
        <v>1822</v>
      </c>
      <c r="AC64" s="1" t="s">
        <v>1823</v>
      </c>
      <c r="AD64" s="0" t="s">
        <v>1824</v>
      </c>
      <c r="AE64" s="0" t="s">
        <v>1825</v>
      </c>
      <c r="AF64" s="0" t="s">
        <v>1826</v>
      </c>
      <c r="AG64" s="0" t="s">
        <v>1827</v>
      </c>
      <c r="AH64" s="0" t="s">
        <v>1828</v>
      </c>
      <c r="AI64" s="0" t="s">
        <v>1829</v>
      </c>
      <c r="AJ64" s="0" t="s">
        <v>1830</v>
      </c>
      <c r="AK64" s="0" t="s">
        <v>1808</v>
      </c>
      <c r="AL64" s="1" t="s">
        <v>1831</v>
      </c>
      <c r="AM64" s="0" t="s">
        <v>1832</v>
      </c>
      <c r="AN64" s="0" t="s">
        <v>1833</v>
      </c>
      <c r="AO64" s="0" t="s">
        <v>1834</v>
      </c>
      <c r="AP64" s="1" t="s">
        <v>1835</v>
      </c>
    </row>
    <row r="65" customFormat="false" ht="14.25" hidden="false" customHeight="false" outlineLevel="0" collapsed="false">
      <c r="A65" s="0" t="s">
        <v>1836</v>
      </c>
      <c r="B65" s="0" t="s">
        <v>1837</v>
      </c>
      <c r="C65" s="1" t="s">
        <v>1838</v>
      </c>
      <c r="D65" s="0" t="s">
        <v>1839</v>
      </c>
      <c r="E65" s="0" t="s">
        <v>1840</v>
      </c>
      <c r="F65" s="0" t="s">
        <v>1841</v>
      </c>
      <c r="G65" s="0" t="s">
        <v>1842</v>
      </c>
      <c r="H65" s="2" t="s">
        <v>1843</v>
      </c>
      <c r="I65" s="2" t="s">
        <v>1844</v>
      </c>
      <c r="J65" s="0" t="s">
        <v>1837</v>
      </c>
      <c r="K65" s="0" t="s">
        <v>1837</v>
      </c>
      <c r="L65" s="0" t="s">
        <v>1837</v>
      </c>
      <c r="M65" s="0" t="s">
        <v>1845</v>
      </c>
      <c r="N65" s="0" t="s">
        <v>1846</v>
      </c>
      <c r="O65" s="0" t="s">
        <v>1846</v>
      </c>
      <c r="P65" s="0" t="s">
        <v>1847</v>
      </c>
      <c r="Q65" s="0" t="s">
        <v>1837</v>
      </c>
      <c r="R65" s="0" t="s">
        <v>1848</v>
      </c>
      <c r="S65" s="1" t="s">
        <v>1849</v>
      </c>
      <c r="T65" s="0" t="s">
        <v>1837</v>
      </c>
      <c r="U65" s="0" t="s">
        <v>1837</v>
      </c>
      <c r="V65" s="0" t="s">
        <v>1850</v>
      </c>
      <c r="W65" s="0" t="s">
        <v>1842</v>
      </c>
      <c r="X65" s="2" t="s">
        <v>1851</v>
      </c>
      <c r="Y65" s="0" t="s">
        <v>1852</v>
      </c>
      <c r="Z65" s="0" t="s">
        <v>1841</v>
      </c>
      <c r="AA65" s="0" t="s">
        <v>1837</v>
      </c>
      <c r="AB65" s="0" t="s">
        <v>1837</v>
      </c>
      <c r="AC65" s="1" t="s">
        <v>1853</v>
      </c>
      <c r="AD65" s="0" t="s">
        <v>1837</v>
      </c>
      <c r="AE65" s="0" t="s">
        <v>1854</v>
      </c>
      <c r="AF65" s="0" t="s">
        <v>1842</v>
      </c>
      <c r="AG65" s="0" t="s">
        <v>1841</v>
      </c>
      <c r="AH65" s="0" t="s">
        <v>1837</v>
      </c>
      <c r="AI65" s="0" t="s">
        <v>1837</v>
      </c>
      <c r="AJ65" s="0" t="s">
        <v>1855</v>
      </c>
      <c r="AK65" s="0" t="s">
        <v>1837</v>
      </c>
      <c r="AL65" s="1" t="s">
        <v>1856</v>
      </c>
      <c r="AM65" s="0" t="s">
        <v>1837</v>
      </c>
      <c r="AN65" s="0" t="s">
        <v>1836</v>
      </c>
      <c r="AO65" s="0" t="s">
        <v>1841</v>
      </c>
      <c r="AP65" s="1" t="s">
        <v>1857</v>
      </c>
    </row>
    <row r="66" customFormat="false" ht="14.25" hidden="false" customHeight="false" outlineLevel="0" collapsed="false">
      <c r="A66" s="0" t="s">
        <v>1858</v>
      </c>
      <c r="B66" s="0" t="s">
        <v>1859</v>
      </c>
      <c r="C66" s="1" t="s">
        <v>1860</v>
      </c>
      <c r="D66" s="0" t="s">
        <v>1861</v>
      </c>
      <c r="E66" s="0" t="s">
        <v>1862</v>
      </c>
      <c r="F66" s="0" t="s">
        <v>1863</v>
      </c>
      <c r="G66" s="0" t="s">
        <v>1858</v>
      </c>
      <c r="H66" s="2" t="s">
        <v>1864</v>
      </c>
      <c r="I66" s="2" t="s">
        <v>1864</v>
      </c>
      <c r="J66" s="0" t="s">
        <v>1865</v>
      </c>
      <c r="K66" s="0" t="s">
        <v>1866</v>
      </c>
      <c r="L66" s="0" t="s">
        <v>1858</v>
      </c>
      <c r="M66" s="0" t="s">
        <v>1858</v>
      </c>
      <c r="N66" s="0" t="s">
        <v>1858</v>
      </c>
      <c r="O66" s="0" t="s">
        <v>1858</v>
      </c>
      <c r="P66" s="0" t="s">
        <v>1867</v>
      </c>
      <c r="Q66" s="0" t="s">
        <v>1858</v>
      </c>
      <c r="R66" s="0" t="s">
        <v>1868</v>
      </c>
      <c r="S66" s="1" t="s">
        <v>1869</v>
      </c>
      <c r="T66" s="0" t="s">
        <v>1870</v>
      </c>
      <c r="U66" s="0" t="s">
        <v>1858</v>
      </c>
      <c r="V66" s="0" t="s">
        <v>1858</v>
      </c>
      <c r="W66" s="0" t="s">
        <v>1871</v>
      </c>
      <c r="X66" s="2" t="s">
        <v>1872</v>
      </c>
      <c r="Y66" s="0" t="s">
        <v>1865</v>
      </c>
      <c r="Z66" s="0" t="s">
        <v>1873</v>
      </c>
      <c r="AA66" s="0" t="s">
        <v>1874</v>
      </c>
      <c r="AB66" s="0" t="s">
        <v>1858</v>
      </c>
      <c r="AC66" s="1" t="s">
        <v>1875</v>
      </c>
      <c r="AD66" s="0" t="s">
        <v>1876</v>
      </c>
      <c r="AE66" s="0" t="s">
        <v>1858</v>
      </c>
      <c r="AF66" s="0" t="s">
        <v>1876</v>
      </c>
      <c r="AG66" s="0" t="s">
        <v>1873</v>
      </c>
      <c r="AH66" s="0" t="s">
        <v>1866</v>
      </c>
      <c r="AI66" s="0" t="s">
        <v>1877</v>
      </c>
      <c r="AJ66" s="0" t="s">
        <v>1858</v>
      </c>
      <c r="AK66" s="0" t="s">
        <v>1858</v>
      </c>
      <c r="AL66" s="1" t="s">
        <v>1878</v>
      </c>
      <c r="AM66" s="0" t="s">
        <v>1879</v>
      </c>
      <c r="AN66" s="0" t="s">
        <v>1880</v>
      </c>
      <c r="AO66" s="0" t="s">
        <v>1881</v>
      </c>
      <c r="AP66" s="1" t="s">
        <v>1882</v>
      </c>
    </row>
    <row r="67" customFormat="false" ht="14.25" hidden="false" customHeight="false" outlineLevel="0" collapsed="false">
      <c r="A67" s="0" t="s">
        <v>1883</v>
      </c>
      <c r="B67" s="0" t="s">
        <v>1884</v>
      </c>
      <c r="C67" s="1" t="s">
        <v>1885</v>
      </c>
      <c r="D67" s="0" t="s">
        <v>1886</v>
      </c>
      <c r="E67" s="0" t="s">
        <v>1887</v>
      </c>
      <c r="F67" s="0" t="s">
        <v>1888</v>
      </c>
      <c r="G67" s="0" t="s">
        <v>1883</v>
      </c>
      <c r="H67" s="2" t="s">
        <v>1889</v>
      </c>
      <c r="I67" s="2" t="s">
        <v>1890</v>
      </c>
      <c r="J67" s="0" t="s">
        <v>1891</v>
      </c>
      <c r="K67" s="0" t="s">
        <v>1883</v>
      </c>
      <c r="L67" s="0" t="s">
        <v>1883</v>
      </c>
      <c r="M67" s="0" t="s">
        <v>1883</v>
      </c>
      <c r="N67" s="0" t="s">
        <v>1883</v>
      </c>
      <c r="O67" s="0" t="s">
        <v>1883</v>
      </c>
      <c r="P67" s="0" t="s">
        <v>1892</v>
      </c>
      <c r="Q67" s="0" t="s">
        <v>1883</v>
      </c>
      <c r="R67" s="0" t="s">
        <v>1893</v>
      </c>
      <c r="S67" s="1" t="s">
        <v>1894</v>
      </c>
      <c r="T67" s="0" t="s">
        <v>1895</v>
      </c>
      <c r="U67" s="0" t="s">
        <v>1883</v>
      </c>
      <c r="V67" s="0" t="s">
        <v>1891</v>
      </c>
      <c r="W67" s="0" t="s">
        <v>1883</v>
      </c>
      <c r="X67" s="2" t="s">
        <v>1896</v>
      </c>
      <c r="Y67" s="0" t="s">
        <v>1891</v>
      </c>
      <c r="Z67" s="0" t="s">
        <v>1888</v>
      </c>
      <c r="AA67" s="0" t="s">
        <v>1883</v>
      </c>
      <c r="AB67" s="0" t="s">
        <v>1883</v>
      </c>
      <c r="AC67" s="1" t="s">
        <v>1897</v>
      </c>
      <c r="AD67" s="0" t="s">
        <v>1883</v>
      </c>
      <c r="AE67" s="0" t="s">
        <v>1891</v>
      </c>
      <c r="AF67" s="0" t="s">
        <v>1883</v>
      </c>
      <c r="AG67" s="0" t="s">
        <v>1888</v>
      </c>
      <c r="AH67" s="0" t="s">
        <v>1883</v>
      </c>
      <c r="AI67" s="0" t="s">
        <v>1891</v>
      </c>
      <c r="AJ67" s="0" t="s">
        <v>1883</v>
      </c>
      <c r="AK67" s="0" t="s">
        <v>1883</v>
      </c>
      <c r="AL67" s="1" t="s">
        <v>1898</v>
      </c>
      <c r="AM67" s="0" t="s">
        <v>1891</v>
      </c>
      <c r="AN67" s="0" t="s">
        <v>1883</v>
      </c>
      <c r="AO67" s="0" t="s">
        <v>1888</v>
      </c>
      <c r="AP67" s="1" t="s">
        <v>1899</v>
      </c>
    </row>
    <row r="68" customFormat="false" ht="14.25" hidden="false" customHeight="false" outlineLevel="0" collapsed="false">
      <c r="A68" s="0" t="s">
        <v>1900</v>
      </c>
      <c r="B68" s="0" t="s">
        <v>1900</v>
      </c>
      <c r="C68" s="1" t="s">
        <v>1901</v>
      </c>
      <c r="D68" s="0" t="s">
        <v>1902</v>
      </c>
      <c r="E68" s="0" t="s">
        <v>1903</v>
      </c>
      <c r="F68" s="0" t="s">
        <v>1904</v>
      </c>
      <c r="G68" s="0" t="s">
        <v>1905</v>
      </c>
      <c r="H68" s="2" t="s">
        <v>1906</v>
      </c>
      <c r="I68" s="2" t="s">
        <v>1907</v>
      </c>
      <c r="J68" s="0" t="s">
        <v>1908</v>
      </c>
      <c r="K68" s="0" t="s">
        <v>1900</v>
      </c>
      <c r="L68" s="0" t="s">
        <v>1900</v>
      </c>
      <c r="M68" s="0" t="s">
        <v>1900</v>
      </c>
      <c r="N68" s="0" t="s">
        <v>1900</v>
      </c>
      <c r="O68" s="0" t="s">
        <v>1900</v>
      </c>
      <c r="P68" s="0" t="s">
        <v>1909</v>
      </c>
      <c r="Q68" s="0" t="s">
        <v>1900</v>
      </c>
      <c r="R68" s="0" t="s">
        <v>1910</v>
      </c>
      <c r="S68" s="1" t="s">
        <v>1911</v>
      </c>
      <c r="T68" s="0" t="s">
        <v>1900</v>
      </c>
      <c r="U68" s="0" t="s">
        <v>1900</v>
      </c>
      <c r="V68" s="0" t="s">
        <v>1900</v>
      </c>
      <c r="W68" s="0" t="s">
        <v>1900</v>
      </c>
      <c r="X68" s="2" t="s">
        <v>1912</v>
      </c>
      <c r="Y68" s="0" t="s">
        <v>1913</v>
      </c>
      <c r="Z68" s="0" t="s">
        <v>1914</v>
      </c>
      <c r="AA68" s="0" t="s">
        <v>1915</v>
      </c>
      <c r="AB68" s="0" t="s">
        <v>1900</v>
      </c>
      <c r="AC68" s="1" t="s">
        <v>1916</v>
      </c>
      <c r="AD68" s="0" t="s">
        <v>1915</v>
      </c>
      <c r="AE68" s="0" t="s">
        <v>1905</v>
      </c>
      <c r="AF68" s="0" t="s">
        <v>1900</v>
      </c>
      <c r="AG68" s="0" t="s">
        <v>1914</v>
      </c>
      <c r="AH68" s="0" t="s">
        <v>1917</v>
      </c>
      <c r="AI68" s="0" t="s">
        <v>1908</v>
      </c>
      <c r="AJ68" s="0" t="s">
        <v>1900</v>
      </c>
      <c r="AK68" s="0" t="s">
        <v>1900</v>
      </c>
      <c r="AL68" s="1" t="s">
        <v>1918</v>
      </c>
      <c r="AM68" s="0" t="s">
        <v>1900</v>
      </c>
      <c r="AN68" s="0" t="s">
        <v>1900</v>
      </c>
      <c r="AO68" s="0" t="s">
        <v>1904</v>
      </c>
      <c r="AP68" s="1" t="s">
        <v>1919</v>
      </c>
    </row>
    <row r="69" customFormat="false" ht="14.25" hidden="false" customHeight="false" outlineLevel="0" collapsed="false">
      <c r="A69" s="0" t="s">
        <v>1920</v>
      </c>
      <c r="B69" s="0" t="s">
        <v>1920</v>
      </c>
      <c r="C69" s="1" t="s">
        <v>1921</v>
      </c>
      <c r="D69" s="0" t="s">
        <v>1922</v>
      </c>
      <c r="E69" s="0" t="s">
        <v>1923</v>
      </c>
      <c r="F69" s="0" t="s">
        <v>1924</v>
      </c>
      <c r="G69" s="0" t="s">
        <v>1925</v>
      </c>
      <c r="H69" s="2" t="s">
        <v>1926</v>
      </c>
      <c r="I69" s="2" t="s">
        <v>1927</v>
      </c>
      <c r="J69" s="0" t="s">
        <v>1928</v>
      </c>
      <c r="K69" s="0" t="s">
        <v>1929</v>
      </c>
      <c r="L69" s="0" t="s">
        <v>1930</v>
      </c>
      <c r="M69" s="0" t="s">
        <v>1931</v>
      </c>
      <c r="N69" s="0" t="s">
        <v>1932</v>
      </c>
      <c r="O69" s="0" t="s">
        <v>1933</v>
      </c>
      <c r="P69" s="0" t="s">
        <v>1934</v>
      </c>
      <c r="Q69" s="0" t="s">
        <v>1935</v>
      </c>
      <c r="R69" s="0" t="s">
        <v>1936</v>
      </c>
      <c r="S69" s="1" t="s">
        <v>1937</v>
      </c>
      <c r="T69" s="0" t="s">
        <v>1938</v>
      </c>
      <c r="U69" s="0" t="s">
        <v>1939</v>
      </c>
      <c r="V69" s="0" t="s">
        <v>1940</v>
      </c>
      <c r="W69" s="0" t="s">
        <v>1941</v>
      </c>
      <c r="X69" s="2" t="s">
        <v>1942</v>
      </c>
      <c r="Y69" s="0" t="s">
        <v>1943</v>
      </c>
      <c r="Z69" s="0" t="s">
        <v>1944</v>
      </c>
      <c r="AA69" s="0" t="s">
        <v>1945</v>
      </c>
      <c r="AB69" s="0" t="s">
        <v>1946</v>
      </c>
      <c r="AC69" s="1" t="s">
        <v>1947</v>
      </c>
      <c r="AD69" s="0" t="s">
        <v>1948</v>
      </c>
      <c r="AE69" s="0" t="s">
        <v>1949</v>
      </c>
      <c r="AF69" s="0" t="s">
        <v>1950</v>
      </c>
      <c r="AG69" s="0" t="s">
        <v>1951</v>
      </c>
      <c r="AH69" s="0" t="s">
        <v>1952</v>
      </c>
      <c r="AI69" s="0" t="s">
        <v>1928</v>
      </c>
      <c r="AJ69" s="0" t="s">
        <v>1925</v>
      </c>
      <c r="AK69" s="0" t="s">
        <v>1930</v>
      </c>
      <c r="AL69" s="1" t="s">
        <v>1953</v>
      </c>
      <c r="AM69" s="0" t="s">
        <v>1954</v>
      </c>
      <c r="AN69" s="0" t="s">
        <v>1955</v>
      </c>
      <c r="AO69" s="0" t="s">
        <v>1956</v>
      </c>
      <c r="AP69" s="1" t="s">
        <v>1957</v>
      </c>
    </row>
    <row r="70" customFormat="false" ht="14.25" hidden="false" customHeight="false" outlineLevel="0" collapsed="false">
      <c r="A70" s="0" t="s">
        <v>1958</v>
      </c>
      <c r="B70" s="0" t="s">
        <v>1958</v>
      </c>
      <c r="C70" s="0" t="s">
        <v>1958</v>
      </c>
      <c r="D70" s="0" t="s">
        <v>1958</v>
      </c>
      <c r="E70" s="0" t="s">
        <v>1958</v>
      </c>
      <c r="F70" s="0" t="s">
        <v>1958</v>
      </c>
      <c r="G70" s="0" t="s">
        <v>1958</v>
      </c>
      <c r="H70" s="0" t="s">
        <v>1958</v>
      </c>
      <c r="I70" s="0" t="s">
        <v>1958</v>
      </c>
      <c r="J70" s="0" t="s">
        <v>1958</v>
      </c>
      <c r="K70" s="0" t="s">
        <v>1958</v>
      </c>
      <c r="L70" s="0" t="s">
        <v>1958</v>
      </c>
      <c r="M70" s="0" t="s">
        <v>1959</v>
      </c>
      <c r="N70" s="0" t="s">
        <v>1958</v>
      </c>
      <c r="O70" s="0" t="s">
        <v>1958</v>
      </c>
      <c r="P70" s="0" t="s">
        <v>1958</v>
      </c>
      <c r="Q70" s="0" t="s">
        <v>1958</v>
      </c>
      <c r="R70" s="0" t="s">
        <v>1958</v>
      </c>
      <c r="S70" s="0" t="s">
        <v>1958</v>
      </c>
      <c r="T70" s="0" t="s">
        <v>1958</v>
      </c>
      <c r="U70" s="0" t="s">
        <v>1958</v>
      </c>
      <c r="V70" s="0" t="s">
        <v>1958</v>
      </c>
      <c r="W70" s="0" t="s">
        <v>1958</v>
      </c>
      <c r="X70" s="0" t="s">
        <v>1960</v>
      </c>
      <c r="Y70" s="0" t="s">
        <v>1958</v>
      </c>
      <c r="Z70" s="0" t="s">
        <v>1958</v>
      </c>
      <c r="AA70" s="0" t="s">
        <v>1958</v>
      </c>
      <c r="AB70" s="0" t="s">
        <v>1958</v>
      </c>
      <c r="AC70" s="1" t="s">
        <v>1961</v>
      </c>
      <c r="AD70" s="0" t="s">
        <v>1958</v>
      </c>
      <c r="AE70" s="0" t="s">
        <v>1958</v>
      </c>
      <c r="AF70" s="0" t="s">
        <v>1958</v>
      </c>
      <c r="AG70" s="0" t="s">
        <v>1958</v>
      </c>
      <c r="AH70" s="0" t="s">
        <v>1958</v>
      </c>
      <c r="AI70" s="0" t="s">
        <v>1958</v>
      </c>
      <c r="AJ70" s="0" t="s">
        <v>1958</v>
      </c>
      <c r="AK70" s="0" t="s">
        <v>1958</v>
      </c>
      <c r="AL70" s="1" t="s">
        <v>1962</v>
      </c>
      <c r="AM70" s="0" t="s">
        <v>1959</v>
      </c>
      <c r="AN70" s="0" t="s">
        <v>1958</v>
      </c>
      <c r="AO70" s="0" t="s">
        <v>1958</v>
      </c>
      <c r="AP70" s="1" t="s">
        <v>1963</v>
      </c>
    </row>
    <row r="71" customFormat="false" ht="14.25" hidden="false" customHeight="false" outlineLevel="0" collapsed="false">
      <c r="A71" s="0" t="s">
        <v>1964</v>
      </c>
      <c r="B71" s="0" t="s">
        <v>1964</v>
      </c>
      <c r="C71" s="0" t="s">
        <v>1964</v>
      </c>
      <c r="D71" s="0" t="s">
        <v>1964</v>
      </c>
      <c r="E71" s="0" t="s">
        <v>1964</v>
      </c>
      <c r="F71" s="0" t="s">
        <v>1964</v>
      </c>
      <c r="G71" s="0" t="s">
        <v>1964</v>
      </c>
      <c r="H71" s="0" t="s">
        <v>1964</v>
      </c>
      <c r="I71" s="0" t="s">
        <v>1964</v>
      </c>
      <c r="J71" s="0" t="s">
        <v>1964</v>
      </c>
      <c r="K71" s="0" t="s">
        <v>1964</v>
      </c>
      <c r="L71" s="0" t="s">
        <v>1964</v>
      </c>
      <c r="M71" s="0" t="s">
        <v>1965</v>
      </c>
      <c r="N71" s="0" t="s">
        <v>1964</v>
      </c>
      <c r="O71" s="0" t="s">
        <v>1964</v>
      </c>
      <c r="P71" s="0" t="s">
        <v>1964</v>
      </c>
      <c r="Q71" s="0" t="s">
        <v>1964</v>
      </c>
      <c r="R71" s="0" t="s">
        <v>1964</v>
      </c>
      <c r="S71" s="0" t="s">
        <v>1964</v>
      </c>
      <c r="T71" s="0" t="s">
        <v>1964</v>
      </c>
      <c r="U71" s="0" t="s">
        <v>1964</v>
      </c>
      <c r="V71" s="0" t="s">
        <v>1964</v>
      </c>
      <c r="W71" s="0" t="s">
        <v>1964</v>
      </c>
      <c r="X71" s="0" t="s">
        <v>1966</v>
      </c>
      <c r="Y71" s="0" t="s">
        <v>1964</v>
      </c>
      <c r="Z71" s="0" t="s">
        <v>1964</v>
      </c>
      <c r="AA71" s="0" t="s">
        <v>1964</v>
      </c>
      <c r="AB71" s="0" t="s">
        <v>1964</v>
      </c>
      <c r="AC71" s="1" t="s">
        <v>1967</v>
      </c>
      <c r="AD71" s="0" t="s">
        <v>1964</v>
      </c>
      <c r="AE71" s="0" t="s">
        <v>1964</v>
      </c>
      <c r="AF71" s="0" t="s">
        <v>1964</v>
      </c>
      <c r="AG71" s="0" t="s">
        <v>1964</v>
      </c>
      <c r="AH71" s="0" t="s">
        <v>1964</v>
      </c>
      <c r="AI71" s="0" t="s">
        <v>1964</v>
      </c>
      <c r="AJ71" s="0" t="s">
        <v>1964</v>
      </c>
      <c r="AK71" s="0" t="s">
        <v>1964</v>
      </c>
      <c r="AL71" s="1" t="s">
        <v>1968</v>
      </c>
      <c r="AM71" s="0" t="s">
        <v>1965</v>
      </c>
      <c r="AN71" s="0" t="s">
        <v>1964</v>
      </c>
      <c r="AO71" s="0" t="s">
        <v>1964</v>
      </c>
      <c r="AP71" s="1" t="s">
        <v>1969</v>
      </c>
    </row>
    <row r="72" customFormat="false" ht="14.25" hidden="false" customHeight="false" outlineLevel="0" collapsed="false">
      <c r="A72" s="0" t="s">
        <v>1970</v>
      </c>
      <c r="B72" s="0" t="s">
        <v>1970</v>
      </c>
      <c r="C72" s="0" t="s">
        <v>1970</v>
      </c>
      <c r="D72" s="0" t="s">
        <v>1970</v>
      </c>
      <c r="E72" s="0" t="s">
        <v>1970</v>
      </c>
      <c r="F72" s="0" t="s">
        <v>1970</v>
      </c>
      <c r="G72" s="0" t="s">
        <v>1970</v>
      </c>
      <c r="H72" s="0" t="s">
        <v>1970</v>
      </c>
      <c r="I72" s="0" t="s">
        <v>1970</v>
      </c>
      <c r="J72" s="0" t="s">
        <v>1970</v>
      </c>
      <c r="K72" s="0" t="s">
        <v>1970</v>
      </c>
      <c r="L72" s="0" t="s">
        <v>1970</v>
      </c>
      <c r="M72" s="0" t="s">
        <v>1971</v>
      </c>
      <c r="N72" s="0" t="s">
        <v>1970</v>
      </c>
      <c r="O72" s="0" t="s">
        <v>1970</v>
      </c>
      <c r="P72" s="0" t="s">
        <v>1970</v>
      </c>
      <c r="Q72" s="0" t="s">
        <v>1970</v>
      </c>
      <c r="R72" s="0" t="s">
        <v>1970</v>
      </c>
      <c r="S72" s="0" t="s">
        <v>1970</v>
      </c>
      <c r="T72" s="0" t="s">
        <v>1970</v>
      </c>
      <c r="U72" s="0" t="s">
        <v>1970</v>
      </c>
      <c r="V72" s="0" t="s">
        <v>1970</v>
      </c>
      <c r="W72" s="0" t="s">
        <v>1970</v>
      </c>
      <c r="X72" s="0" t="s">
        <v>1972</v>
      </c>
      <c r="Y72" s="0" t="s">
        <v>1970</v>
      </c>
      <c r="Z72" s="0" t="s">
        <v>1970</v>
      </c>
      <c r="AA72" s="0" t="s">
        <v>1970</v>
      </c>
      <c r="AB72" s="0" t="s">
        <v>1970</v>
      </c>
      <c r="AC72" s="1" t="s">
        <v>1973</v>
      </c>
      <c r="AD72" s="0" t="s">
        <v>1970</v>
      </c>
      <c r="AE72" s="0" t="s">
        <v>1970</v>
      </c>
      <c r="AF72" s="0" t="s">
        <v>1970</v>
      </c>
      <c r="AG72" s="0" t="s">
        <v>1970</v>
      </c>
      <c r="AH72" s="0" t="s">
        <v>1970</v>
      </c>
      <c r="AI72" s="0" t="s">
        <v>1970</v>
      </c>
      <c r="AJ72" s="0" t="s">
        <v>1970</v>
      </c>
      <c r="AK72" s="0" t="s">
        <v>1970</v>
      </c>
      <c r="AL72" s="1" t="s">
        <v>1974</v>
      </c>
      <c r="AM72" s="0" t="s">
        <v>1971</v>
      </c>
      <c r="AN72" s="0" t="s">
        <v>1970</v>
      </c>
      <c r="AO72" s="0" t="s">
        <v>1970</v>
      </c>
      <c r="AP72" s="1" t="s">
        <v>1975</v>
      </c>
    </row>
    <row r="73" customFormat="false" ht="14.25" hidden="false" customHeight="false" outlineLevel="0" collapsed="false">
      <c r="A73" s="0" t="s">
        <v>1976</v>
      </c>
      <c r="B73" s="0" t="s">
        <v>1976</v>
      </c>
      <c r="C73" s="0" t="s">
        <v>1976</v>
      </c>
      <c r="D73" s="0" t="s">
        <v>1976</v>
      </c>
      <c r="E73" s="0" t="s">
        <v>1976</v>
      </c>
      <c r="F73" s="0" t="s">
        <v>1976</v>
      </c>
      <c r="G73" s="0" t="s">
        <v>1976</v>
      </c>
      <c r="H73" s="0" t="s">
        <v>1976</v>
      </c>
      <c r="I73" s="0" t="s">
        <v>1976</v>
      </c>
      <c r="J73" s="0" t="s">
        <v>1976</v>
      </c>
      <c r="K73" s="0" t="s">
        <v>1976</v>
      </c>
      <c r="L73" s="0" t="s">
        <v>1976</v>
      </c>
      <c r="M73" s="0" t="s">
        <v>1977</v>
      </c>
      <c r="N73" s="0" t="s">
        <v>1976</v>
      </c>
      <c r="O73" s="0" t="s">
        <v>1976</v>
      </c>
      <c r="P73" s="0" t="s">
        <v>1976</v>
      </c>
      <c r="Q73" s="0" t="s">
        <v>1976</v>
      </c>
      <c r="R73" s="0" t="s">
        <v>1976</v>
      </c>
      <c r="S73" s="0" t="s">
        <v>1976</v>
      </c>
      <c r="T73" s="0" t="s">
        <v>1976</v>
      </c>
      <c r="U73" s="0" t="s">
        <v>1976</v>
      </c>
      <c r="V73" s="0" t="s">
        <v>1976</v>
      </c>
      <c r="W73" s="0" t="s">
        <v>1976</v>
      </c>
      <c r="X73" s="0" t="s">
        <v>1978</v>
      </c>
      <c r="Y73" s="0" t="s">
        <v>1976</v>
      </c>
      <c r="Z73" s="0" t="s">
        <v>1976</v>
      </c>
      <c r="AA73" s="0" t="s">
        <v>1976</v>
      </c>
      <c r="AB73" s="0" t="s">
        <v>1976</v>
      </c>
      <c r="AC73" s="1" t="s">
        <v>1979</v>
      </c>
      <c r="AD73" s="0" t="s">
        <v>1976</v>
      </c>
      <c r="AE73" s="0" t="s">
        <v>1976</v>
      </c>
      <c r="AF73" s="0" t="s">
        <v>1976</v>
      </c>
      <c r="AG73" s="0" t="s">
        <v>1976</v>
      </c>
      <c r="AH73" s="0" t="s">
        <v>1976</v>
      </c>
      <c r="AI73" s="0" t="s">
        <v>1976</v>
      </c>
      <c r="AJ73" s="0" t="s">
        <v>1976</v>
      </c>
      <c r="AK73" s="0" t="s">
        <v>1976</v>
      </c>
      <c r="AL73" s="1" t="s">
        <v>1980</v>
      </c>
      <c r="AM73" s="0" t="s">
        <v>1977</v>
      </c>
      <c r="AN73" s="0" t="s">
        <v>1976</v>
      </c>
      <c r="AO73" s="0" t="s">
        <v>1976</v>
      </c>
      <c r="AP73" s="1" t="s">
        <v>1981</v>
      </c>
    </row>
    <row r="74" customFormat="false" ht="14.25" hidden="false" customHeight="false" outlineLevel="0" collapsed="false">
      <c r="A74" s="0" t="s">
        <v>1982</v>
      </c>
      <c r="B74" s="0" t="s">
        <v>1982</v>
      </c>
      <c r="C74" s="0" t="s">
        <v>1982</v>
      </c>
      <c r="D74" s="0" t="s">
        <v>1982</v>
      </c>
      <c r="E74" s="0" t="s">
        <v>1982</v>
      </c>
      <c r="F74" s="0" t="s">
        <v>1982</v>
      </c>
      <c r="G74" s="0" t="s">
        <v>1982</v>
      </c>
      <c r="H74" s="0" t="s">
        <v>1982</v>
      </c>
      <c r="I74" s="0" t="s">
        <v>1982</v>
      </c>
      <c r="J74" s="0" t="s">
        <v>1982</v>
      </c>
      <c r="K74" s="0" t="s">
        <v>1982</v>
      </c>
      <c r="L74" s="0" t="s">
        <v>1982</v>
      </c>
      <c r="M74" s="0" t="s">
        <v>1983</v>
      </c>
      <c r="N74" s="0" t="s">
        <v>1982</v>
      </c>
      <c r="O74" s="0" t="s">
        <v>1982</v>
      </c>
      <c r="P74" s="0" t="s">
        <v>1982</v>
      </c>
      <c r="Q74" s="0" t="s">
        <v>1982</v>
      </c>
      <c r="R74" s="0" t="s">
        <v>1984</v>
      </c>
      <c r="S74" s="0" t="s">
        <v>1982</v>
      </c>
      <c r="T74" s="0" t="s">
        <v>1982</v>
      </c>
      <c r="U74" s="0" t="s">
        <v>1982</v>
      </c>
      <c r="V74" s="0" t="s">
        <v>1982</v>
      </c>
      <c r="W74" s="0" t="s">
        <v>1982</v>
      </c>
      <c r="X74" s="0" t="s">
        <v>1985</v>
      </c>
      <c r="Y74" s="0" t="s">
        <v>1982</v>
      </c>
      <c r="Z74" s="0" t="s">
        <v>1982</v>
      </c>
      <c r="AA74" s="0" t="s">
        <v>1986</v>
      </c>
      <c r="AB74" s="0" t="s">
        <v>1982</v>
      </c>
      <c r="AC74" s="1" t="s">
        <v>1987</v>
      </c>
      <c r="AD74" s="0" t="s">
        <v>1982</v>
      </c>
      <c r="AE74" s="0" t="s">
        <v>1982</v>
      </c>
      <c r="AF74" s="0" t="s">
        <v>1982</v>
      </c>
      <c r="AG74" s="0" t="s">
        <v>1982</v>
      </c>
      <c r="AH74" s="0" t="s">
        <v>1982</v>
      </c>
      <c r="AI74" s="0" t="s">
        <v>1982</v>
      </c>
      <c r="AJ74" s="0" t="s">
        <v>1982</v>
      </c>
      <c r="AK74" s="0" t="s">
        <v>1982</v>
      </c>
      <c r="AL74" s="1" t="s">
        <v>1988</v>
      </c>
      <c r="AM74" s="0" t="s">
        <v>1983</v>
      </c>
      <c r="AN74" s="0" t="s">
        <v>1982</v>
      </c>
      <c r="AO74" s="0" t="s">
        <v>1982</v>
      </c>
      <c r="AP74" s="1" t="s">
        <v>1989</v>
      </c>
    </row>
    <row r="75" customFormat="false" ht="14.25" hidden="false" customHeight="false" outlineLevel="0" collapsed="false">
      <c r="A75" s="0" t="s">
        <v>1990</v>
      </c>
      <c r="B75" s="0" t="s">
        <v>1990</v>
      </c>
      <c r="C75" s="0" t="s">
        <v>1990</v>
      </c>
      <c r="D75" s="0" t="s">
        <v>1990</v>
      </c>
      <c r="E75" s="0" t="s">
        <v>1990</v>
      </c>
      <c r="F75" s="0" t="s">
        <v>1990</v>
      </c>
      <c r="G75" s="0" t="s">
        <v>1990</v>
      </c>
      <c r="H75" s="0" t="s">
        <v>1990</v>
      </c>
      <c r="I75" s="0" t="s">
        <v>1990</v>
      </c>
      <c r="J75" s="0" t="s">
        <v>1990</v>
      </c>
      <c r="K75" s="0" t="s">
        <v>1990</v>
      </c>
      <c r="L75" s="0" t="s">
        <v>1990</v>
      </c>
      <c r="M75" s="0" t="s">
        <v>1991</v>
      </c>
      <c r="N75" s="0" t="s">
        <v>1990</v>
      </c>
      <c r="O75" s="0" t="s">
        <v>1990</v>
      </c>
      <c r="P75" s="0" t="s">
        <v>1990</v>
      </c>
      <c r="Q75" s="0" t="s">
        <v>1990</v>
      </c>
      <c r="R75" s="0" t="s">
        <v>1992</v>
      </c>
      <c r="S75" s="0" t="s">
        <v>1990</v>
      </c>
      <c r="T75" s="0" t="s">
        <v>1990</v>
      </c>
      <c r="U75" s="0" t="s">
        <v>1990</v>
      </c>
      <c r="V75" s="0" t="s">
        <v>1990</v>
      </c>
      <c r="W75" s="0" t="s">
        <v>1990</v>
      </c>
      <c r="X75" s="0" t="s">
        <v>1993</v>
      </c>
      <c r="Y75" s="0" t="s">
        <v>1990</v>
      </c>
      <c r="Z75" s="0" t="s">
        <v>1990</v>
      </c>
      <c r="AA75" s="0" t="s">
        <v>1994</v>
      </c>
      <c r="AB75" s="0" t="s">
        <v>1990</v>
      </c>
      <c r="AC75" s="1" t="s">
        <v>1995</v>
      </c>
      <c r="AD75" s="0" t="s">
        <v>1990</v>
      </c>
      <c r="AE75" s="0" t="s">
        <v>1990</v>
      </c>
      <c r="AF75" s="0" t="s">
        <v>1990</v>
      </c>
      <c r="AG75" s="0" t="s">
        <v>1990</v>
      </c>
      <c r="AH75" s="0" t="s">
        <v>1990</v>
      </c>
      <c r="AI75" s="0" t="s">
        <v>1990</v>
      </c>
      <c r="AJ75" s="0" t="s">
        <v>1990</v>
      </c>
      <c r="AK75" s="0" t="s">
        <v>1990</v>
      </c>
      <c r="AL75" s="1" t="s">
        <v>1996</v>
      </c>
      <c r="AM75" s="0" t="s">
        <v>1991</v>
      </c>
      <c r="AN75" s="0" t="s">
        <v>1990</v>
      </c>
      <c r="AO75" s="0" t="s">
        <v>1990</v>
      </c>
      <c r="AP75" s="1" t="s">
        <v>1997</v>
      </c>
    </row>
    <row r="76" customFormat="false" ht="14.25" hidden="false" customHeight="false" outlineLevel="0" collapsed="false">
      <c r="A76" s="0" t="s">
        <v>1998</v>
      </c>
      <c r="B76" s="0" t="s">
        <v>1998</v>
      </c>
      <c r="C76" s="0" t="s">
        <v>1998</v>
      </c>
      <c r="D76" s="0" t="s">
        <v>1998</v>
      </c>
      <c r="E76" s="0" t="s">
        <v>1998</v>
      </c>
      <c r="F76" s="0" t="s">
        <v>1998</v>
      </c>
      <c r="G76" s="0" t="s">
        <v>1998</v>
      </c>
      <c r="H76" s="0" t="s">
        <v>1998</v>
      </c>
      <c r="I76" s="0" t="s">
        <v>1998</v>
      </c>
      <c r="J76" s="0" t="s">
        <v>1998</v>
      </c>
      <c r="K76" s="0" t="s">
        <v>1998</v>
      </c>
      <c r="L76" s="0" t="s">
        <v>1998</v>
      </c>
      <c r="M76" s="0" t="s">
        <v>1999</v>
      </c>
      <c r="N76" s="0" t="s">
        <v>1998</v>
      </c>
      <c r="O76" s="0" t="s">
        <v>1998</v>
      </c>
      <c r="P76" s="0" t="s">
        <v>1998</v>
      </c>
      <c r="Q76" s="0" t="s">
        <v>1998</v>
      </c>
      <c r="R76" s="0" t="s">
        <v>2000</v>
      </c>
      <c r="S76" s="0" t="s">
        <v>1998</v>
      </c>
      <c r="T76" s="0" t="s">
        <v>1998</v>
      </c>
      <c r="U76" s="0" t="s">
        <v>1998</v>
      </c>
      <c r="V76" s="0" t="s">
        <v>1998</v>
      </c>
      <c r="W76" s="0" t="s">
        <v>1998</v>
      </c>
      <c r="X76" s="0" t="s">
        <v>2001</v>
      </c>
      <c r="Y76" s="0" t="s">
        <v>1998</v>
      </c>
      <c r="Z76" s="0" t="s">
        <v>1998</v>
      </c>
      <c r="AA76" s="0" t="s">
        <v>1998</v>
      </c>
      <c r="AB76" s="0" t="s">
        <v>1998</v>
      </c>
      <c r="AC76" s="1" t="s">
        <v>2002</v>
      </c>
      <c r="AD76" s="0" t="s">
        <v>1998</v>
      </c>
      <c r="AE76" s="0" t="s">
        <v>1998</v>
      </c>
      <c r="AF76" s="0" t="s">
        <v>1998</v>
      </c>
      <c r="AG76" s="0" t="s">
        <v>1998</v>
      </c>
      <c r="AH76" s="0" t="s">
        <v>1998</v>
      </c>
      <c r="AI76" s="0" t="s">
        <v>1998</v>
      </c>
      <c r="AJ76" s="0" t="s">
        <v>1998</v>
      </c>
      <c r="AK76" s="0" t="s">
        <v>1998</v>
      </c>
      <c r="AL76" s="1" t="s">
        <v>2003</v>
      </c>
      <c r="AM76" s="0" t="s">
        <v>1999</v>
      </c>
      <c r="AN76" s="0" t="s">
        <v>1998</v>
      </c>
      <c r="AO76" s="0" t="s">
        <v>1998</v>
      </c>
      <c r="AP76" s="1" t="s">
        <v>2004</v>
      </c>
    </row>
    <row r="77" customFormat="false" ht="14.25" hidden="false" customHeight="false" outlineLevel="0" collapsed="false">
      <c r="A77" s="0" t="s">
        <v>2005</v>
      </c>
      <c r="B77" s="0" t="s">
        <v>2005</v>
      </c>
      <c r="C77" s="0" t="s">
        <v>2005</v>
      </c>
      <c r="D77" s="0" t="s">
        <v>2005</v>
      </c>
      <c r="E77" s="0" t="s">
        <v>2005</v>
      </c>
      <c r="F77" s="0" t="s">
        <v>2005</v>
      </c>
      <c r="G77" s="0" t="s">
        <v>2005</v>
      </c>
      <c r="H77" s="0" t="s">
        <v>2005</v>
      </c>
      <c r="I77" s="0" t="s">
        <v>2005</v>
      </c>
      <c r="J77" s="0" t="s">
        <v>2005</v>
      </c>
      <c r="K77" s="0" t="s">
        <v>2005</v>
      </c>
      <c r="L77" s="0" t="s">
        <v>2005</v>
      </c>
      <c r="M77" s="0" t="s">
        <v>2006</v>
      </c>
      <c r="N77" s="0" t="s">
        <v>2005</v>
      </c>
      <c r="O77" s="0" t="s">
        <v>2005</v>
      </c>
      <c r="P77" s="0" t="s">
        <v>2005</v>
      </c>
      <c r="Q77" s="0" t="s">
        <v>2005</v>
      </c>
      <c r="R77" s="0" t="s">
        <v>2007</v>
      </c>
      <c r="S77" s="0" t="s">
        <v>2005</v>
      </c>
      <c r="T77" s="0" t="s">
        <v>2005</v>
      </c>
      <c r="U77" s="0" t="s">
        <v>2005</v>
      </c>
      <c r="V77" s="0" t="s">
        <v>2005</v>
      </c>
      <c r="W77" s="0" t="s">
        <v>2005</v>
      </c>
      <c r="X77" s="0" t="s">
        <v>2008</v>
      </c>
      <c r="Y77" s="0" t="s">
        <v>2005</v>
      </c>
      <c r="Z77" s="0" t="s">
        <v>2005</v>
      </c>
      <c r="AA77" s="0" t="s">
        <v>2005</v>
      </c>
      <c r="AB77" s="0" t="s">
        <v>2005</v>
      </c>
      <c r="AC77" s="1" t="s">
        <v>2009</v>
      </c>
      <c r="AD77" s="0" t="s">
        <v>2005</v>
      </c>
      <c r="AE77" s="0" t="s">
        <v>2005</v>
      </c>
      <c r="AF77" s="0" t="s">
        <v>2005</v>
      </c>
      <c r="AG77" s="0" t="s">
        <v>2005</v>
      </c>
      <c r="AH77" s="0" t="s">
        <v>2005</v>
      </c>
      <c r="AI77" s="0" t="s">
        <v>2005</v>
      </c>
      <c r="AJ77" s="0" t="s">
        <v>2005</v>
      </c>
      <c r="AK77" s="0" t="s">
        <v>2005</v>
      </c>
      <c r="AL77" s="1" t="s">
        <v>2010</v>
      </c>
      <c r="AM77" s="0" t="s">
        <v>2006</v>
      </c>
      <c r="AN77" s="0" t="s">
        <v>2005</v>
      </c>
      <c r="AO77" s="0" t="s">
        <v>2005</v>
      </c>
      <c r="AP77" s="1" t="s">
        <v>2011</v>
      </c>
    </row>
    <row r="78" customFormat="false" ht="14.25" hidden="false" customHeight="false" outlineLevel="0" collapsed="false">
      <c r="A78" s="0" t="s">
        <v>2012</v>
      </c>
      <c r="B78" s="0" t="s">
        <v>2012</v>
      </c>
      <c r="C78" s="0" t="s">
        <v>2012</v>
      </c>
      <c r="D78" s="0" t="s">
        <v>2012</v>
      </c>
      <c r="E78" s="0" t="s">
        <v>2012</v>
      </c>
      <c r="F78" s="0" t="s">
        <v>2012</v>
      </c>
      <c r="G78" s="0" t="s">
        <v>2012</v>
      </c>
      <c r="H78" s="0" t="s">
        <v>2012</v>
      </c>
      <c r="I78" s="0" t="s">
        <v>2012</v>
      </c>
      <c r="J78" s="0" t="s">
        <v>2012</v>
      </c>
      <c r="K78" s="0" t="s">
        <v>2012</v>
      </c>
      <c r="L78" s="0" t="s">
        <v>2012</v>
      </c>
      <c r="M78" s="0" t="s">
        <v>2013</v>
      </c>
      <c r="N78" s="0" t="s">
        <v>2012</v>
      </c>
      <c r="O78" s="0" t="s">
        <v>2012</v>
      </c>
      <c r="P78" s="0" t="s">
        <v>2012</v>
      </c>
      <c r="Q78" s="0" t="s">
        <v>2012</v>
      </c>
      <c r="R78" s="0" t="s">
        <v>2014</v>
      </c>
      <c r="S78" s="0" t="s">
        <v>2012</v>
      </c>
      <c r="T78" s="0" t="s">
        <v>2012</v>
      </c>
      <c r="U78" s="0" t="s">
        <v>2012</v>
      </c>
      <c r="V78" s="0" t="s">
        <v>2012</v>
      </c>
      <c r="W78" s="0" t="s">
        <v>2012</v>
      </c>
      <c r="X78" s="0" t="s">
        <v>2015</v>
      </c>
      <c r="Y78" s="0" t="s">
        <v>2012</v>
      </c>
      <c r="Z78" s="0" t="s">
        <v>2012</v>
      </c>
      <c r="AA78" s="0" t="s">
        <v>2012</v>
      </c>
      <c r="AB78" s="0" t="s">
        <v>2012</v>
      </c>
      <c r="AC78" s="1" t="s">
        <v>2016</v>
      </c>
      <c r="AD78" s="0" t="s">
        <v>2012</v>
      </c>
      <c r="AE78" s="0" t="s">
        <v>2012</v>
      </c>
      <c r="AF78" s="0" t="s">
        <v>2012</v>
      </c>
      <c r="AG78" s="0" t="s">
        <v>2012</v>
      </c>
      <c r="AH78" s="0" t="s">
        <v>2012</v>
      </c>
      <c r="AI78" s="0" t="s">
        <v>2012</v>
      </c>
      <c r="AJ78" s="0" t="s">
        <v>2012</v>
      </c>
      <c r="AK78" s="0" t="s">
        <v>2012</v>
      </c>
      <c r="AL78" s="1" t="s">
        <v>2017</v>
      </c>
      <c r="AM78" s="0" t="s">
        <v>2013</v>
      </c>
      <c r="AN78" s="0" t="s">
        <v>2012</v>
      </c>
      <c r="AO78" s="0" t="s">
        <v>2012</v>
      </c>
      <c r="AP78" s="1" t="s">
        <v>2018</v>
      </c>
    </row>
    <row r="79" customFormat="false" ht="14.25" hidden="false" customHeight="false" outlineLevel="0" collapsed="false">
      <c r="A79" s="0" t="s">
        <v>2019</v>
      </c>
      <c r="B79" s="0" t="s">
        <v>2019</v>
      </c>
      <c r="C79" s="0" t="s">
        <v>2019</v>
      </c>
      <c r="D79" s="0" t="s">
        <v>2019</v>
      </c>
      <c r="E79" s="0" t="s">
        <v>2019</v>
      </c>
      <c r="F79" s="0" t="s">
        <v>2019</v>
      </c>
      <c r="G79" s="0" t="s">
        <v>2019</v>
      </c>
      <c r="H79" s="0" t="s">
        <v>2019</v>
      </c>
      <c r="I79" s="0" t="s">
        <v>2019</v>
      </c>
      <c r="J79" s="0" t="s">
        <v>2019</v>
      </c>
      <c r="K79" s="0" t="s">
        <v>2019</v>
      </c>
      <c r="L79" s="0" t="s">
        <v>2019</v>
      </c>
      <c r="M79" s="0" t="s">
        <v>2020</v>
      </c>
      <c r="N79" s="0" t="s">
        <v>2019</v>
      </c>
      <c r="O79" s="0" t="s">
        <v>2019</v>
      </c>
      <c r="P79" s="0" t="s">
        <v>2019</v>
      </c>
      <c r="Q79" s="0" t="s">
        <v>2019</v>
      </c>
      <c r="R79" s="0" t="s">
        <v>2021</v>
      </c>
      <c r="S79" s="0" t="s">
        <v>2019</v>
      </c>
      <c r="T79" s="0" t="s">
        <v>2019</v>
      </c>
      <c r="U79" s="0" t="s">
        <v>2019</v>
      </c>
      <c r="V79" s="0" t="s">
        <v>2019</v>
      </c>
      <c r="W79" s="0" t="s">
        <v>2019</v>
      </c>
      <c r="X79" s="0" t="s">
        <v>2022</v>
      </c>
      <c r="Y79" s="0" t="s">
        <v>2019</v>
      </c>
      <c r="Z79" s="0" t="s">
        <v>2019</v>
      </c>
      <c r="AA79" s="0" t="s">
        <v>2019</v>
      </c>
      <c r="AB79" s="0" t="s">
        <v>2019</v>
      </c>
      <c r="AC79" s="1" t="s">
        <v>2023</v>
      </c>
      <c r="AD79" s="0" t="s">
        <v>2019</v>
      </c>
      <c r="AE79" s="0" t="s">
        <v>2019</v>
      </c>
      <c r="AF79" s="0" t="s">
        <v>2019</v>
      </c>
      <c r="AG79" s="0" t="s">
        <v>2019</v>
      </c>
      <c r="AH79" s="0" t="s">
        <v>2019</v>
      </c>
      <c r="AI79" s="0" t="s">
        <v>2019</v>
      </c>
      <c r="AJ79" s="0" t="s">
        <v>2019</v>
      </c>
      <c r="AK79" s="0" t="s">
        <v>2019</v>
      </c>
      <c r="AL79" s="1" t="s">
        <v>2024</v>
      </c>
      <c r="AM79" s="0" t="s">
        <v>2020</v>
      </c>
      <c r="AN79" s="0" t="s">
        <v>2019</v>
      </c>
      <c r="AO79" s="0" t="s">
        <v>2019</v>
      </c>
      <c r="AP79" s="1" t="s">
        <v>2025</v>
      </c>
    </row>
    <row r="80" customFormat="false" ht="14.25" hidden="false" customHeight="false" outlineLevel="0" collapsed="false">
      <c r="A80" s="0" t="s">
        <v>2026</v>
      </c>
      <c r="B80" s="0" t="s">
        <v>2026</v>
      </c>
      <c r="C80" s="0" t="s">
        <v>2026</v>
      </c>
      <c r="D80" s="0" t="s">
        <v>2026</v>
      </c>
      <c r="E80" s="0" t="s">
        <v>2026</v>
      </c>
      <c r="F80" s="0" t="s">
        <v>2026</v>
      </c>
      <c r="G80" s="0" t="s">
        <v>2026</v>
      </c>
      <c r="H80" s="0" t="s">
        <v>2026</v>
      </c>
      <c r="I80" s="0" t="s">
        <v>2026</v>
      </c>
      <c r="J80" s="0" t="s">
        <v>2026</v>
      </c>
      <c r="K80" s="0" t="s">
        <v>2026</v>
      </c>
      <c r="L80" s="0" t="s">
        <v>2026</v>
      </c>
      <c r="M80" s="0" t="s">
        <v>2027</v>
      </c>
      <c r="N80" s="0" t="s">
        <v>2026</v>
      </c>
      <c r="O80" s="0" t="s">
        <v>2026</v>
      </c>
      <c r="P80" s="0" t="s">
        <v>2026</v>
      </c>
      <c r="Q80" s="0" t="s">
        <v>2026</v>
      </c>
      <c r="R80" s="0" t="s">
        <v>2028</v>
      </c>
      <c r="S80" s="0" t="s">
        <v>2026</v>
      </c>
      <c r="T80" s="0" t="s">
        <v>2026</v>
      </c>
      <c r="U80" s="0" t="s">
        <v>2026</v>
      </c>
      <c r="V80" s="0" t="s">
        <v>2026</v>
      </c>
      <c r="W80" s="0" t="s">
        <v>2026</v>
      </c>
      <c r="X80" s="0" t="s">
        <v>2029</v>
      </c>
      <c r="Y80" s="0" t="s">
        <v>2026</v>
      </c>
      <c r="Z80" s="0" t="s">
        <v>2026</v>
      </c>
      <c r="AA80" s="0" t="s">
        <v>2026</v>
      </c>
      <c r="AB80" s="0" t="s">
        <v>2026</v>
      </c>
      <c r="AC80" s="1" t="s">
        <v>2030</v>
      </c>
      <c r="AD80" s="0" t="s">
        <v>2026</v>
      </c>
      <c r="AE80" s="0" t="s">
        <v>2026</v>
      </c>
      <c r="AF80" s="0" t="s">
        <v>2026</v>
      </c>
      <c r="AG80" s="0" t="s">
        <v>2026</v>
      </c>
      <c r="AH80" s="0" t="s">
        <v>2026</v>
      </c>
      <c r="AI80" s="0" t="s">
        <v>2026</v>
      </c>
      <c r="AJ80" s="0" t="s">
        <v>2026</v>
      </c>
      <c r="AK80" s="0" t="s">
        <v>2026</v>
      </c>
      <c r="AL80" s="1" t="s">
        <v>2031</v>
      </c>
      <c r="AM80" s="0" t="s">
        <v>2027</v>
      </c>
      <c r="AN80" s="0" t="s">
        <v>2026</v>
      </c>
      <c r="AO80" s="0" t="s">
        <v>2026</v>
      </c>
      <c r="AP80" s="1" t="s">
        <v>2032</v>
      </c>
    </row>
    <row r="81" customFormat="false" ht="14.25" hidden="false" customHeight="false" outlineLevel="0" collapsed="false">
      <c r="A81" s="0" t="s">
        <v>2033</v>
      </c>
      <c r="B81" s="0" t="s">
        <v>2033</v>
      </c>
      <c r="C81" s="0" t="s">
        <v>2033</v>
      </c>
      <c r="D81" s="0" t="s">
        <v>2033</v>
      </c>
      <c r="E81" s="0" t="s">
        <v>2033</v>
      </c>
      <c r="F81" s="0" t="s">
        <v>2033</v>
      </c>
      <c r="G81" s="0" t="s">
        <v>2033</v>
      </c>
      <c r="H81" s="0" t="s">
        <v>2033</v>
      </c>
      <c r="I81" s="0" t="s">
        <v>2033</v>
      </c>
      <c r="J81" s="0" t="s">
        <v>2033</v>
      </c>
      <c r="K81" s="0" t="s">
        <v>2033</v>
      </c>
      <c r="L81" s="0" t="s">
        <v>2033</v>
      </c>
      <c r="M81" s="0" t="s">
        <v>2034</v>
      </c>
      <c r="N81" s="0" t="s">
        <v>2033</v>
      </c>
      <c r="O81" s="0" t="s">
        <v>2033</v>
      </c>
      <c r="P81" s="0" t="s">
        <v>2033</v>
      </c>
      <c r="Q81" s="0" t="s">
        <v>2033</v>
      </c>
      <c r="R81" s="0" t="s">
        <v>2035</v>
      </c>
      <c r="S81" s="0" t="s">
        <v>2033</v>
      </c>
      <c r="T81" s="0" t="s">
        <v>2033</v>
      </c>
      <c r="U81" s="0" t="s">
        <v>2033</v>
      </c>
      <c r="V81" s="0" t="s">
        <v>2033</v>
      </c>
      <c r="W81" s="0" t="s">
        <v>2033</v>
      </c>
      <c r="X81" s="0" t="s">
        <v>2036</v>
      </c>
      <c r="Y81" s="0" t="s">
        <v>2033</v>
      </c>
      <c r="Z81" s="0" t="s">
        <v>2033</v>
      </c>
      <c r="AA81" s="0" t="s">
        <v>2033</v>
      </c>
      <c r="AB81" s="0" t="s">
        <v>2033</v>
      </c>
      <c r="AC81" s="1" t="s">
        <v>2037</v>
      </c>
      <c r="AD81" s="0" t="s">
        <v>2033</v>
      </c>
      <c r="AE81" s="0" t="s">
        <v>2033</v>
      </c>
      <c r="AF81" s="0" t="s">
        <v>2033</v>
      </c>
      <c r="AG81" s="0" t="s">
        <v>2033</v>
      </c>
      <c r="AH81" s="0" t="s">
        <v>2033</v>
      </c>
      <c r="AI81" s="0" t="s">
        <v>2033</v>
      </c>
      <c r="AJ81" s="0" t="s">
        <v>2033</v>
      </c>
      <c r="AK81" s="0" t="s">
        <v>2033</v>
      </c>
      <c r="AL81" s="1" t="s">
        <v>2038</v>
      </c>
      <c r="AM81" s="0" t="s">
        <v>2034</v>
      </c>
      <c r="AN81" s="0" t="s">
        <v>2033</v>
      </c>
      <c r="AO81" s="0" t="s">
        <v>2033</v>
      </c>
      <c r="AP81" s="1" t="s">
        <v>2039</v>
      </c>
    </row>
    <row r="82" customFormat="false" ht="14.25" hidden="false" customHeight="false" outlineLevel="0" collapsed="false">
      <c r="A82" s="0" t="s">
        <v>2040</v>
      </c>
      <c r="B82" s="0" t="s">
        <v>2040</v>
      </c>
      <c r="C82" s="0" t="s">
        <v>2040</v>
      </c>
      <c r="D82" s="0" t="s">
        <v>2040</v>
      </c>
      <c r="E82" s="0" t="s">
        <v>2040</v>
      </c>
      <c r="F82" s="0" t="s">
        <v>2040</v>
      </c>
      <c r="G82" s="0" t="s">
        <v>2040</v>
      </c>
      <c r="H82" s="0" t="s">
        <v>2040</v>
      </c>
      <c r="I82" s="0" t="s">
        <v>2040</v>
      </c>
      <c r="J82" s="0" t="s">
        <v>2040</v>
      </c>
      <c r="K82" s="0" t="s">
        <v>2040</v>
      </c>
      <c r="L82" s="0" t="s">
        <v>2040</v>
      </c>
      <c r="M82" s="0" t="s">
        <v>2041</v>
      </c>
      <c r="N82" s="0" t="s">
        <v>2040</v>
      </c>
      <c r="O82" s="0" t="s">
        <v>2040</v>
      </c>
      <c r="P82" s="0" t="s">
        <v>2040</v>
      </c>
      <c r="Q82" s="0" t="s">
        <v>2040</v>
      </c>
      <c r="R82" s="0" t="s">
        <v>2042</v>
      </c>
      <c r="S82" s="0" t="s">
        <v>2040</v>
      </c>
      <c r="T82" s="0" t="s">
        <v>2040</v>
      </c>
      <c r="U82" s="0" t="s">
        <v>2040</v>
      </c>
      <c r="V82" s="0" t="s">
        <v>2040</v>
      </c>
      <c r="W82" s="0" t="s">
        <v>2040</v>
      </c>
      <c r="X82" s="0" t="s">
        <v>2043</v>
      </c>
      <c r="Y82" s="0" t="s">
        <v>2040</v>
      </c>
      <c r="Z82" s="0" t="s">
        <v>2040</v>
      </c>
      <c r="AA82" s="0" t="s">
        <v>2044</v>
      </c>
      <c r="AB82" s="0" t="s">
        <v>2040</v>
      </c>
      <c r="AC82" s="1" t="s">
        <v>2045</v>
      </c>
      <c r="AD82" s="0" t="s">
        <v>2040</v>
      </c>
      <c r="AE82" s="0" t="s">
        <v>2040</v>
      </c>
      <c r="AF82" s="0" t="s">
        <v>2040</v>
      </c>
      <c r="AG82" s="0" t="s">
        <v>2040</v>
      </c>
      <c r="AH82" s="0" t="s">
        <v>2040</v>
      </c>
      <c r="AI82" s="0" t="s">
        <v>2040</v>
      </c>
      <c r="AJ82" s="0" t="s">
        <v>2040</v>
      </c>
      <c r="AK82" s="0" t="s">
        <v>2040</v>
      </c>
      <c r="AL82" s="1" t="s">
        <v>2046</v>
      </c>
      <c r="AM82" s="0" t="s">
        <v>2041</v>
      </c>
      <c r="AN82" s="0" t="s">
        <v>2040</v>
      </c>
      <c r="AO82" s="0" t="s">
        <v>2040</v>
      </c>
      <c r="AP82" s="1" t="s">
        <v>2047</v>
      </c>
    </row>
    <row r="83" customFormat="false" ht="14.25" hidden="false" customHeight="false" outlineLevel="0" collapsed="false">
      <c r="A83" s="0" t="s">
        <v>2048</v>
      </c>
      <c r="B83" s="0" t="s">
        <v>2048</v>
      </c>
      <c r="C83" s="0" t="s">
        <v>2048</v>
      </c>
      <c r="D83" s="0" t="s">
        <v>2048</v>
      </c>
      <c r="E83" s="0" t="s">
        <v>2048</v>
      </c>
      <c r="F83" s="0" t="s">
        <v>2048</v>
      </c>
      <c r="G83" s="0" t="s">
        <v>2048</v>
      </c>
      <c r="H83" s="0" t="s">
        <v>2048</v>
      </c>
      <c r="I83" s="0" t="s">
        <v>2048</v>
      </c>
      <c r="J83" s="0" t="s">
        <v>2048</v>
      </c>
      <c r="K83" s="0" t="s">
        <v>2048</v>
      </c>
      <c r="L83" s="0" t="s">
        <v>2048</v>
      </c>
      <c r="M83" s="0" t="s">
        <v>2049</v>
      </c>
      <c r="N83" s="0" t="s">
        <v>2048</v>
      </c>
      <c r="O83" s="0" t="s">
        <v>2048</v>
      </c>
      <c r="P83" s="0" t="s">
        <v>2048</v>
      </c>
      <c r="Q83" s="0" t="s">
        <v>2048</v>
      </c>
      <c r="R83" s="0" t="s">
        <v>2050</v>
      </c>
      <c r="S83" s="0" t="s">
        <v>2048</v>
      </c>
      <c r="T83" s="0" t="s">
        <v>2048</v>
      </c>
      <c r="U83" s="0" t="s">
        <v>2048</v>
      </c>
      <c r="V83" s="0" t="s">
        <v>2048</v>
      </c>
      <c r="W83" s="0" t="s">
        <v>2048</v>
      </c>
      <c r="X83" s="0" t="s">
        <v>2051</v>
      </c>
      <c r="Y83" s="0" t="s">
        <v>2048</v>
      </c>
      <c r="Z83" s="0" t="s">
        <v>2048</v>
      </c>
      <c r="AA83" s="0" t="s">
        <v>2052</v>
      </c>
      <c r="AB83" s="0" t="s">
        <v>2048</v>
      </c>
      <c r="AC83" s="1" t="s">
        <v>2053</v>
      </c>
      <c r="AD83" s="0" t="s">
        <v>2048</v>
      </c>
      <c r="AE83" s="0" t="s">
        <v>2048</v>
      </c>
      <c r="AF83" s="0" t="s">
        <v>2048</v>
      </c>
      <c r="AG83" s="0" t="s">
        <v>2048</v>
      </c>
      <c r="AH83" s="0" t="s">
        <v>2048</v>
      </c>
      <c r="AI83" s="0" t="s">
        <v>2048</v>
      </c>
      <c r="AJ83" s="0" t="s">
        <v>2048</v>
      </c>
      <c r="AK83" s="0" t="s">
        <v>2048</v>
      </c>
      <c r="AL83" s="1" t="s">
        <v>2054</v>
      </c>
      <c r="AM83" s="0" t="s">
        <v>2049</v>
      </c>
      <c r="AN83" s="0" t="s">
        <v>2048</v>
      </c>
      <c r="AO83" s="0" t="s">
        <v>2048</v>
      </c>
      <c r="AP83" s="1" t="s">
        <v>2055</v>
      </c>
    </row>
    <row r="84" customFormat="false" ht="14.25" hidden="false" customHeight="false" outlineLevel="0" collapsed="false">
      <c r="A84" s="0" t="s">
        <v>2056</v>
      </c>
      <c r="B84" s="0" t="s">
        <v>2056</v>
      </c>
      <c r="C84" s="0" t="s">
        <v>2056</v>
      </c>
      <c r="D84" s="0" t="s">
        <v>2056</v>
      </c>
      <c r="E84" s="0" t="s">
        <v>2056</v>
      </c>
      <c r="F84" s="0" t="s">
        <v>2056</v>
      </c>
      <c r="G84" s="0" t="s">
        <v>2056</v>
      </c>
      <c r="H84" s="0" t="s">
        <v>2056</v>
      </c>
      <c r="I84" s="0" t="s">
        <v>2056</v>
      </c>
      <c r="J84" s="0" t="s">
        <v>2056</v>
      </c>
      <c r="K84" s="0" t="s">
        <v>2056</v>
      </c>
      <c r="L84" s="0" t="s">
        <v>2056</v>
      </c>
      <c r="M84" s="0" t="s">
        <v>2057</v>
      </c>
      <c r="N84" s="0" t="s">
        <v>2056</v>
      </c>
      <c r="O84" s="0" t="s">
        <v>2056</v>
      </c>
      <c r="P84" s="0" t="s">
        <v>2056</v>
      </c>
      <c r="Q84" s="0" t="s">
        <v>2056</v>
      </c>
      <c r="R84" s="0" t="s">
        <v>2056</v>
      </c>
      <c r="S84" s="0" t="s">
        <v>2056</v>
      </c>
      <c r="T84" s="0" t="s">
        <v>2056</v>
      </c>
      <c r="U84" s="0" t="s">
        <v>2056</v>
      </c>
      <c r="V84" s="0" t="s">
        <v>2056</v>
      </c>
      <c r="W84" s="0" t="s">
        <v>2056</v>
      </c>
      <c r="X84" s="0" t="s">
        <v>2058</v>
      </c>
      <c r="Y84" s="0" t="s">
        <v>2056</v>
      </c>
      <c r="Z84" s="0" t="s">
        <v>2056</v>
      </c>
      <c r="AA84" s="0" t="s">
        <v>2059</v>
      </c>
      <c r="AB84" s="0" t="s">
        <v>2056</v>
      </c>
      <c r="AC84" s="1" t="s">
        <v>2060</v>
      </c>
      <c r="AD84" s="0" t="s">
        <v>2056</v>
      </c>
      <c r="AE84" s="0" t="s">
        <v>2056</v>
      </c>
      <c r="AF84" s="0" t="s">
        <v>2056</v>
      </c>
      <c r="AG84" s="0" t="s">
        <v>2056</v>
      </c>
      <c r="AH84" s="0" t="s">
        <v>2056</v>
      </c>
      <c r="AI84" s="0" t="s">
        <v>2056</v>
      </c>
      <c r="AJ84" s="0" t="s">
        <v>2056</v>
      </c>
      <c r="AK84" s="0" t="s">
        <v>2056</v>
      </c>
      <c r="AL84" s="1" t="s">
        <v>2061</v>
      </c>
      <c r="AM84" s="0" t="s">
        <v>2057</v>
      </c>
      <c r="AN84" s="0" t="s">
        <v>2056</v>
      </c>
      <c r="AO84" s="0" t="s">
        <v>2056</v>
      </c>
      <c r="AP84" s="1" t="s">
        <v>2062</v>
      </c>
    </row>
    <row r="85" customFormat="false" ht="14.25" hidden="false" customHeight="false" outlineLevel="0" collapsed="false">
      <c r="A85" s="0" t="s">
        <v>2063</v>
      </c>
      <c r="B85" s="0" t="s">
        <v>2063</v>
      </c>
      <c r="C85" s="0" t="s">
        <v>2063</v>
      </c>
      <c r="D85" s="0" t="s">
        <v>2063</v>
      </c>
      <c r="E85" s="0" t="s">
        <v>2063</v>
      </c>
      <c r="F85" s="0" t="s">
        <v>2063</v>
      </c>
      <c r="G85" s="0" t="s">
        <v>2063</v>
      </c>
      <c r="H85" s="0" t="s">
        <v>2063</v>
      </c>
      <c r="I85" s="0" t="s">
        <v>2063</v>
      </c>
      <c r="J85" s="0" t="s">
        <v>2063</v>
      </c>
      <c r="K85" s="0" t="s">
        <v>2063</v>
      </c>
      <c r="L85" s="0" t="s">
        <v>2063</v>
      </c>
      <c r="M85" s="0" t="s">
        <v>2064</v>
      </c>
      <c r="N85" s="0" t="s">
        <v>2063</v>
      </c>
      <c r="O85" s="0" t="s">
        <v>2063</v>
      </c>
      <c r="P85" s="0" t="s">
        <v>2063</v>
      </c>
      <c r="Q85" s="0" t="s">
        <v>2063</v>
      </c>
      <c r="R85" s="0" t="s">
        <v>2063</v>
      </c>
      <c r="S85" s="0" t="s">
        <v>2063</v>
      </c>
      <c r="T85" s="0" t="s">
        <v>2063</v>
      </c>
      <c r="U85" s="0" t="s">
        <v>2063</v>
      </c>
      <c r="V85" s="0" t="s">
        <v>2063</v>
      </c>
      <c r="W85" s="0" t="s">
        <v>2063</v>
      </c>
      <c r="X85" s="0" t="s">
        <v>2065</v>
      </c>
      <c r="Y85" s="0" t="s">
        <v>2063</v>
      </c>
      <c r="Z85" s="0" t="s">
        <v>2063</v>
      </c>
      <c r="AA85" s="0" t="s">
        <v>2059</v>
      </c>
      <c r="AB85" s="0" t="s">
        <v>2063</v>
      </c>
      <c r="AC85" s="1" t="s">
        <v>2066</v>
      </c>
      <c r="AD85" s="0" t="s">
        <v>2063</v>
      </c>
      <c r="AE85" s="0" t="s">
        <v>2063</v>
      </c>
      <c r="AF85" s="0" t="s">
        <v>2063</v>
      </c>
      <c r="AG85" s="0" t="s">
        <v>2063</v>
      </c>
      <c r="AH85" s="0" t="s">
        <v>2063</v>
      </c>
      <c r="AI85" s="0" t="s">
        <v>2063</v>
      </c>
      <c r="AJ85" s="0" t="s">
        <v>2063</v>
      </c>
      <c r="AK85" s="0" t="s">
        <v>2063</v>
      </c>
      <c r="AL85" s="1" t="s">
        <v>2067</v>
      </c>
      <c r="AM85" s="0" t="s">
        <v>2064</v>
      </c>
      <c r="AN85" s="0" t="s">
        <v>2063</v>
      </c>
      <c r="AO85" s="0" t="s">
        <v>2063</v>
      </c>
      <c r="AP85" s="1" t="s">
        <v>2068</v>
      </c>
    </row>
    <row r="86" customFormat="false" ht="14.25" hidden="false" customHeight="false" outlineLevel="0" collapsed="false">
      <c r="A86" s="0" t="s">
        <v>2069</v>
      </c>
      <c r="B86" s="0" t="s">
        <v>2070</v>
      </c>
      <c r="C86" s="0" t="s">
        <v>2069</v>
      </c>
      <c r="D86" s="0" t="s">
        <v>2069</v>
      </c>
      <c r="E86" s="0" t="s">
        <v>2071</v>
      </c>
      <c r="F86" s="0" t="s">
        <v>2069</v>
      </c>
      <c r="G86" s="0" t="s">
        <v>2072</v>
      </c>
      <c r="H86" s="0" t="s">
        <v>2073</v>
      </c>
      <c r="I86" s="0" t="s">
        <v>2069</v>
      </c>
      <c r="J86" s="0" t="s">
        <v>2069</v>
      </c>
      <c r="K86" s="0" t="s">
        <v>2074</v>
      </c>
      <c r="L86" s="0" t="s">
        <v>2074</v>
      </c>
      <c r="M86" s="0" t="s">
        <v>2069</v>
      </c>
      <c r="N86" s="0" t="s">
        <v>2074</v>
      </c>
      <c r="O86" s="0" t="s">
        <v>2069</v>
      </c>
      <c r="P86" s="0" t="s">
        <v>2075</v>
      </c>
      <c r="Q86" s="0" t="s">
        <v>2069</v>
      </c>
      <c r="R86" s="0" t="s">
        <v>2076</v>
      </c>
      <c r="S86" s="0" t="s">
        <v>2069</v>
      </c>
      <c r="T86" s="0" t="s">
        <v>2077</v>
      </c>
      <c r="U86" s="0" t="s">
        <v>2069</v>
      </c>
      <c r="V86" s="0" t="s">
        <v>2069</v>
      </c>
      <c r="W86" s="0" t="s">
        <v>2069</v>
      </c>
      <c r="X86" s="0" t="s">
        <v>2078</v>
      </c>
      <c r="Y86" s="0" t="s">
        <v>2079</v>
      </c>
      <c r="Z86" s="0" t="s">
        <v>2080</v>
      </c>
      <c r="AA86" s="0" t="s">
        <v>2081</v>
      </c>
      <c r="AB86" s="0" t="s">
        <v>2074</v>
      </c>
      <c r="AC86" s="1" t="s">
        <v>2082</v>
      </c>
      <c r="AD86" s="0" t="s">
        <v>2069</v>
      </c>
      <c r="AE86" s="0" t="s">
        <v>2069</v>
      </c>
      <c r="AF86" s="0" t="s">
        <v>2083</v>
      </c>
      <c r="AG86" s="0" t="s">
        <v>2084</v>
      </c>
      <c r="AH86" s="0" t="s">
        <v>2074</v>
      </c>
      <c r="AI86" s="0" t="s">
        <v>2069</v>
      </c>
      <c r="AJ86" s="0" t="s">
        <v>2069</v>
      </c>
      <c r="AK86" s="0" t="s">
        <v>2069</v>
      </c>
      <c r="AL86" s="1" t="s">
        <v>2085</v>
      </c>
      <c r="AM86" s="0" t="s">
        <v>2072</v>
      </c>
      <c r="AN86" s="0" t="s">
        <v>2086</v>
      </c>
      <c r="AO86" s="0" t="s">
        <v>2087</v>
      </c>
      <c r="AP86" s="1" t="s">
        <v>2088</v>
      </c>
    </row>
    <row r="87" customFormat="false" ht="14.25" hidden="false" customHeight="false" outlineLevel="0" collapsed="false">
      <c r="A87" s="0" t="s">
        <v>2089</v>
      </c>
      <c r="B87" s="0" t="s">
        <v>2090</v>
      </c>
      <c r="C87" s="0" t="s">
        <v>2089</v>
      </c>
      <c r="D87" s="0" t="s">
        <v>2089</v>
      </c>
      <c r="E87" s="0" t="s">
        <v>2091</v>
      </c>
      <c r="F87" s="0" t="s">
        <v>2089</v>
      </c>
      <c r="G87" s="0" t="s">
        <v>2092</v>
      </c>
      <c r="H87" s="0" t="s">
        <v>2093</v>
      </c>
      <c r="I87" s="0" t="s">
        <v>2089</v>
      </c>
      <c r="J87" s="0" t="s">
        <v>2089</v>
      </c>
      <c r="K87" s="0" t="s">
        <v>2094</v>
      </c>
      <c r="L87" s="0" t="s">
        <v>2094</v>
      </c>
      <c r="M87" s="0" t="s">
        <v>2089</v>
      </c>
      <c r="N87" s="0" t="s">
        <v>2094</v>
      </c>
      <c r="O87" s="0" t="s">
        <v>2089</v>
      </c>
      <c r="P87" s="0" t="s">
        <v>2095</v>
      </c>
      <c r="Q87" s="0" t="s">
        <v>2089</v>
      </c>
      <c r="R87" s="0" t="s">
        <v>2096</v>
      </c>
      <c r="S87" s="0" t="s">
        <v>2089</v>
      </c>
      <c r="T87" s="0" t="s">
        <v>2097</v>
      </c>
      <c r="U87" s="0" t="s">
        <v>2089</v>
      </c>
      <c r="V87" s="0" t="s">
        <v>2089</v>
      </c>
      <c r="W87" s="0" t="s">
        <v>2089</v>
      </c>
      <c r="X87" s="0" t="s">
        <v>2098</v>
      </c>
      <c r="Y87" s="0" t="s">
        <v>2099</v>
      </c>
      <c r="Z87" s="0" t="s">
        <v>2100</v>
      </c>
      <c r="AA87" s="0" t="s">
        <v>2101</v>
      </c>
      <c r="AB87" s="0" t="s">
        <v>2094</v>
      </c>
      <c r="AC87" s="1" t="s">
        <v>2102</v>
      </c>
      <c r="AD87" s="0" t="s">
        <v>2089</v>
      </c>
      <c r="AE87" s="0" t="s">
        <v>2089</v>
      </c>
      <c r="AF87" s="0" t="s">
        <v>2103</v>
      </c>
      <c r="AG87" s="0" t="s">
        <v>2104</v>
      </c>
      <c r="AH87" s="0" t="s">
        <v>2094</v>
      </c>
      <c r="AI87" s="0" t="s">
        <v>2089</v>
      </c>
      <c r="AJ87" s="0" t="s">
        <v>2089</v>
      </c>
      <c r="AK87" s="0" t="s">
        <v>2089</v>
      </c>
      <c r="AL87" s="1" t="s">
        <v>2105</v>
      </c>
      <c r="AM87" s="0" t="s">
        <v>2092</v>
      </c>
      <c r="AN87" s="0" t="s">
        <v>2106</v>
      </c>
      <c r="AO87" s="0" t="s">
        <v>2107</v>
      </c>
      <c r="AP87" s="1" t="s">
        <v>2108</v>
      </c>
    </row>
    <row r="88" customFormat="false" ht="14.25" hidden="false" customHeight="false" outlineLevel="0" collapsed="false">
      <c r="A88" s="0" t="s">
        <v>2109</v>
      </c>
      <c r="B88" s="0" t="s">
        <v>2110</v>
      </c>
      <c r="C88" s="0" t="s">
        <v>2109</v>
      </c>
      <c r="D88" s="0" t="s">
        <v>2109</v>
      </c>
      <c r="E88" s="0" t="s">
        <v>2111</v>
      </c>
      <c r="F88" s="0" t="s">
        <v>2109</v>
      </c>
      <c r="G88" s="0" t="s">
        <v>2112</v>
      </c>
      <c r="H88" s="0" t="s">
        <v>2113</v>
      </c>
      <c r="I88" s="0" t="s">
        <v>2109</v>
      </c>
      <c r="J88" s="0" t="s">
        <v>2109</v>
      </c>
      <c r="K88" s="0" t="s">
        <v>2114</v>
      </c>
      <c r="L88" s="0" t="s">
        <v>2114</v>
      </c>
      <c r="M88" s="0" t="s">
        <v>2109</v>
      </c>
      <c r="N88" s="0" t="s">
        <v>2114</v>
      </c>
      <c r="O88" s="0" t="s">
        <v>2109</v>
      </c>
      <c r="P88" s="0" t="s">
        <v>2115</v>
      </c>
      <c r="Q88" s="0" t="s">
        <v>2109</v>
      </c>
      <c r="R88" s="0" t="s">
        <v>2116</v>
      </c>
      <c r="S88" s="0" t="s">
        <v>2109</v>
      </c>
      <c r="T88" s="0" t="s">
        <v>2117</v>
      </c>
      <c r="U88" s="0" t="s">
        <v>2109</v>
      </c>
      <c r="V88" s="0" t="s">
        <v>2109</v>
      </c>
      <c r="W88" s="0" t="s">
        <v>2109</v>
      </c>
      <c r="X88" s="0" t="s">
        <v>2118</v>
      </c>
      <c r="Y88" s="0" t="s">
        <v>2119</v>
      </c>
      <c r="Z88" s="0" t="s">
        <v>2120</v>
      </c>
      <c r="AA88" s="0" t="s">
        <v>2121</v>
      </c>
      <c r="AB88" s="0" t="s">
        <v>2114</v>
      </c>
      <c r="AC88" s="1" t="s">
        <v>2122</v>
      </c>
      <c r="AD88" s="0" t="s">
        <v>2109</v>
      </c>
      <c r="AE88" s="0" t="s">
        <v>2109</v>
      </c>
      <c r="AF88" s="0" t="s">
        <v>2123</v>
      </c>
      <c r="AG88" s="0" t="s">
        <v>2124</v>
      </c>
      <c r="AH88" s="0" t="s">
        <v>2114</v>
      </c>
      <c r="AI88" s="0" t="s">
        <v>2109</v>
      </c>
      <c r="AJ88" s="0" t="s">
        <v>2109</v>
      </c>
      <c r="AK88" s="0" t="s">
        <v>2109</v>
      </c>
      <c r="AL88" s="1" t="s">
        <v>2125</v>
      </c>
      <c r="AM88" s="0" t="s">
        <v>2112</v>
      </c>
      <c r="AN88" s="0" t="s">
        <v>2126</v>
      </c>
      <c r="AO88" s="0" t="s">
        <v>2127</v>
      </c>
      <c r="AP88" s="1" t="s">
        <v>2128</v>
      </c>
    </row>
    <row r="89" customFormat="false" ht="14.25" hidden="false" customHeight="false" outlineLevel="0" collapsed="false">
      <c r="A89" s="0" t="s">
        <v>2129</v>
      </c>
      <c r="B89" s="0" t="s">
        <v>2130</v>
      </c>
      <c r="C89" s="0" t="s">
        <v>2129</v>
      </c>
      <c r="D89" s="0" t="s">
        <v>2129</v>
      </c>
      <c r="E89" s="0" t="s">
        <v>2131</v>
      </c>
      <c r="F89" s="0" t="s">
        <v>2129</v>
      </c>
      <c r="G89" s="0" t="s">
        <v>2132</v>
      </c>
      <c r="H89" s="0" t="s">
        <v>2133</v>
      </c>
      <c r="I89" s="0" t="s">
        <v>2129</v>
      </c>
      <c r="J89" s="0" t="s">
        <v>2129</v>
      </c>
      <c r="K89" s="0" t="s">
        <v>2134</v>
      </c>
      <c r="L89" s="0" t="s">
        <v>2134</v>
      </c>
      <c r="M89" s="0" t="s">
        <v>2129</v>
      </c>
      <c r="N89" s="0" t="s">
        <v>2134</v>
      </c>
      <c r="O89" s="0" t="s">
        <v>2129</v>
      </c>
      <c r="P89" s="0" t="s">
        <v>2135</v>
      </c>
      <c r="Q89" s="0" t="s">
        <v>2129</v>
      </c>
      <c r="R89" s="0" t="s">
        <v>2136</v>
      </c>
      <c r="S89" s="0" t="s">
        <v>2129</v>
      </c>
      <c r="T89" s="0" t="s">
        <v>2137</v>
      </c>
      <c r="U89" s="0" t="s">
        <v>2129</v>
      </c>
      <c r="V89" s="0" t="s">
        <v>2129</v>
      </c>
      <c r="W89" s="0" t="s">
        <v>2129</v>
      </c>
      <c r="X89" s="0" t="s">
        <v>2138</v>
      </c>
      <c r="Y89" s="0" t="s">
        <v>2139</v>
      </c>
      <c r="Z89" s="0" t="s">
        <v>2140</v>
      </c>
      <c r="AA89" s="0" t="s">
        <v>2141</v>
      </c>
      <c r="AB89" s="0" t="s">
        <v>2134</v>
      </c>
      <c r="AC89" s="1" t="s">
        <v>2142</v>
      </c>
      <c r="AD89" s="0" t="s">
        <v>2129</v>
      </c>
      <c r="AE89" s="0" t="s">
        <v>2129</v>
      </c>
      <c r="AF89" s="0" t="s">
        <v>2143</v>
      </c>
      <c r="AG89" s="0" t="s">
        <v>2144</v>
      </c>
      <c r="AH89" s="0" t="s">
        <v>2134</v>
      </c>
      <c r="AI89" s="0" t="s">
        <v>2129</v>
      </c>
      <c r="AJ89" s="0" t="s">
        <v>2129</v>
      </c>
      <c r="AK89" s="0" t="s">
        <v>2129</v>
      </c>
      <c r="AL89" s="1" t="s">
        <v>2145</v>
      </c>
      <c r="AM89" s="0" t="s">
        <v>2132</v>
      </c>
      <c r="AN89" s="0" t="s">
        <v>2146</v>
      </c>
      <c r="AO89" s="0" t="s">
        <v>2147</v>
      </c>
      <c r="AP89" s="1" t="s">
        <v>2148</v>
      </c>
    </row>
    <row r="90" customFormat="false" ht="14.25" hidden="false" customHeight="false" outlineLevel="0" collapsed="false">
      <c r="A90" s="0" t="s">
        <v>2149</v>
      </c>
      <c r="B90" s="0" t="s">
        <v>2150</v>
      </c>
      <c r="C90" s="0" t="s">
        <v>2149</v>
      </c>
      <c r="D90" s="0" t="s">
        <v>2149</v>
      </c>
      <c r="E90" s="0" t="s">
        <v>2151</v>
      </c>
      <c r="F90" s="0" t="s">
        <v>2149</v>
      </c>
      <c r="G90" s="0" t="s">
        <v>2152</v>
      </c>
      <c r="H90" s="0" t="s">
        <v>2153</v>
      </c>
      <c r="I90" s="0" t="s">
        <v>2149</v>
      </c>
      <c r="J90" s="0" t="s">
        <v>2149</v>
      </c>
      <c r="K90" s="0" t="s">
        <v>2154</v>
      </c>
      <c r="L90" s="0" t="s">
        <v>2154</v>
      </c>
      <c r="M90" s="0" t="s">
        <v>2149</v>
      </c>
      <c r="N90" s="0" t="s">
        <v>2154</v>
      </c>
      <c r="O90" s="0" t="s">
        <v>2149</v>
      </c>
      <c r="P90" s="0" t="s">
        <v>2155</v>
      </c>
      <c r="Q90" s="0" t="s">
        <v>2149</v>
      </c>
      <c r="R90" s="0" t="s">
        <v>2156</v>
      </c>
      <c r="S90" s="0" t="s">
        <v>2149</v>
      </c>
      <c r="T90" s="0" t="s">
        <v>2157</v>
      </c>
      <c r="U90" s="0" t="s">
        <v>2149</v>
      </c>
      <c r="V90" s="0" t="s">
        <v>2149</v>
      </c>
      <c r="W90" s="0" t="s">
        <v>2149</v>
      </c>
      <c r="X90" s="0" t="s">
        <v>2158</v>
      </c>
      <c r="Y90" s="0" t="s">
        <v>2159</v>
      </c>
      <c r="Z90" s="0" t="s">
        <v>2160</v>
      </c>
      <c r="AA90" s="0" t="s">
        <v>2161</v>
      </c>
      <c r="AB90" s="0" t="s">
        <v>2154</v>
      </c>
      <c r="AC90" s="1" t="s">
        <v>2162</v>
      </c>
      <c r="AD90" s="0" t="s">
        <v>2149</v>
      </c>
      <c r="AE90" s="0" t="s">
        <v>2149</v>
      </c>
      <c r="AF90" s="0" t="s">
        <v>2163</v>
      </c>
      <c r="AG90" s="0" t="s">
        <v>2164</v>
      </c>
      <c r="AH90" s="0" t="s">
        <v>2154</v>
      </c>
      <c r="AI90" s="0" t="s">
        <v>2149</v>
      </c>
      <c r="AJ90" s="0" t="s">
        <v>2149</v>
      </c>
      <c r="AK90" s="0" t="s">
        <v>2149</v>
      </c>
      <c r="AL90" s="1" t="s">
        <v>2165</v>
      </c>
      <c r="AM90" s="0" t="s">
        <v>2152</v>
      </c>
      <c r="AN90" s="0" t="s">
        <v>2166</v>
      </c>
      <c r="AO90" s="0" t="s">
        <v>2167</v>
      </c>
      <c r="AP90" s="1" t="s">
        <v>2168</v>
      </c>
    </row>
    <row r="91" customFormat="false" ht="14.25" hidden="false" customHeight="false" outlineLevel="0" collapsed="false">
      <c r="A91" s="0" t="s">
        <v>2169</v>
      </c>
      <c r="B91" s="0" t="s">
        <v>2170</v>
      </c>
      <c r="C91" s="0" t="s">
        <v>2169</v>
      </c>
      <c r="D91" s="0" t="s">
        <v>2169</v>
      </c>
      <c r="E91" s="0" t="s">
        <v>2171</v>
      </c>
      <c r="F91" s="0" t="s">
        <v>2169</v>
      </c>
      <c r="G91" s="0" t="s">
        <v>2172</v>
      </c>
      <c r="H91" s="0" t="s">
        <v>2173</v>
      </c>
      <c r="I91" s="0" t="s">
        <v>2169</v>
      </c>
      <c r="J91" s="0" t="s">
        <v>2169</v>
      </c>
      <c r="K91" s="0" t="s">
        <v>2174</v>
      </c>
      <c r="L91" s="0" t="s">
        <v>2174</v>
      </c>
      <c r="M91" s="0" t="s">
        <v>2169</v>
      </c>
      <c r="N91" s="0" t="s">
        <v>2174</v>
      </c>
      <c r="O91" s="0" t="s">
        <v>2169</v>
      </c>
      <c r="P91" s="0" t="s">
        <v>2175</v>
      </c>
      <c r="Q91" s="0" t="s">
        <v>2169</v>
      </c>
      <c r="R91" s="0" t="s">
        <v>2176</v>
      </c>
      <c r="S91" s="0" t="s">
        <v>2169</v>
      </c>
      <c r="T91" s="0" t="s">
        <v>2177</v>
      </c>
      <c r="U91" s="0" t="s">
        <v>2169</v>
      </c>
      <c r="V91" s="0" t="s">
        <v>2169</v>
      </c>
      <c r="W91" s="0" t="s">
        <v>2169</v>
      </c>
      <c r="X91" s="0" t="s">
        <v>2178</v>
      </c>
      <c r="Y91" s="0" t="s">
        <v>2179</v>
      </c>
      <c r="Z91" s="0" t="s">
        <v>2180</v>
      </c>
      <c r="AA91" s="0" t="s">
        <v>2181</v>
      </c>
      <c r="AB91" s="0" t="s">
        <v>2174</v>
      </c>
      <c r="AC91" s="1" t="s">
        <v>2182</v>
      </c>
      <c r="AD91" s="0" t="s">
        <v>2169</v>
      </c>
      <c r="AE91" s="0" t="s">
        <v>2169</v>
      </c>
      <c r="AF91" s="0" t="s">
        <v>2183</v>
      </c>
      <c r="AG91" s="0" t="s">
        <v>2184</v>
      </c>
      <c r="AH91" s="0" t="s">
        <v>2174</v>
      </c>
      <c r="AI91" s="0" t="s">
        <v>2169</v>
      </c>
      <c r="AJ91" s="0" t="s">
        <v>2169</v>
      </c>
      <c r="AK91" s="0" t="s">
        <v>2169</v>
      </c>
      <c r="AL91" s="1" t="s">
        <v>2185</v>
      </c>
      <c r="AM91" s="0" t="s">
        <v>2172</v>
      </c>
      <c r="AN91" s="0" t="s">
        <v>2186</v>
      </c>
      <c r="AO91" s="0" t="s">
        <v>2187</v>
      </c>
      <c r="AP91" s="1" t="s">
        <v>2188</v>
      </c>
    </row>
    <row r="92" customFormat="false" ht="14.25" hidden="false" customHeight="false" outlineLevel="0" collapsed="false">
      <c r="A92" s="0" t="s">
        <v>2189</v>
      </c>
      <c r="B92" s="0" t="s">
        <v>2190</v>
      </c>
      <c r="C92" s="0" t="s">
        <v>2189</v>
      </c>
      <c r="D92" s="0" t="s">
        <v>2189</v>
      </c>
      <c r="E92" s="0" t="s">
        <v>2191</v>
      </c>
      <c r="F92" s="0" t="s">
        <v>2189</v>
      </c>
      <c r="G92" s="0" t="s">
        <v>2192</v>
      </c>
      <c r="H92" s="0" t="s">
        <v>2193</v>
      </c>
      <c r="I92" s="0" t="s">
        <v>2189</v>
      </c>
      <c r="J92" s="0" t="s">
        <v>2189</v>
      </c>
      <c r="K92" s="0" t="s">
        <v>2194</v>
      </c>
      <c r="L92" s="0" t="s">
        <v>2194</v>
      </c>
      <c r="M92" s="0" t="s">
        <v>2189</v>
      </c>
      <c r="N92" s="0" t="s">
        <v>2194</v>
      </c>
      <c r="O92" s="0" t="s">
        <v>2189</v>
      </c>
      <c r="P92" s="0" t="s">
        <v>2195</v>
      </c>
      <c r="Q92" s="0" t="s">
        <v>2189</v>
      </c>
      <c r="R92" s="0" t="s">
        <v>2196</v>
      </c>
      <c r="S92" s="0" t="s">
        <v>2189</v>
      </c>
      <c r="T92" s="0" t="s">
        <v>2197</v>
      </c>
      <c r="U92" s="0" t="s">
        <v>2189</v>
      </c>
      <c r="V92" s="0" t="s">
        <v>2189</v>
      </c>
      <c r="W92" s="0" t="s">
        <v>2189</v>
      </c>
      <c r="X92" s="0" t="s">
        <v>2198</v>
      </c>
      <c r="Y92" s="0" t="s">
        <v>2199</v>
      </c>
      <c r="Z92" s="0" t="s">
        <v>2200</v>
      </c>
      <c r="AA92" s="0" t="s">
        <v>2201</v>
      </c>
      <c r="AB92" s="0" t="s">
        <v>2194</v>
      </c>
      <c r="AC92" s="1" t="s">
        <v>2202</v>
      </c>
      <c r="AD92" s="0" t="s">
        <v>2189</v>
      </c>
      <c r="AE92" s="0" t="s">
        <v>2189</v>
      </c>
      <c r="AF92" s="0" t="s">
        <v>2203</v>
      </c>
      <c r="AG92" s="0" t="s">
        <v>2204</v>
      </c>
      <c r="AH92" s="0" t="s">
        <v>2194</v>
      </c>
      <c r="AI92" s="0" t="s">
        <v>2189</v>
      </c>
      <c r="AJ92" s="0" t="s">
        <v>2189</v>
      </c>
      <c r="AK92" s="0" t="s">
        <v>2189</v>
      </c>
      <c r="AL92" s="1" t="s">
        <v>2205</v>
      </c>
      <c r="AM92" s="0" t="s">
        <v>2192</v>
      </c>
      <c r="AN92" s="0" t="s">
        <v>2206</v>
      </c>
      <c r="AO92" s="0" t="s">
        <v>2207</v>
      </c>
      <c r="AP92" s="1" t="s">
        <v>2208</v>
      </c>
    </row>
    <row r="93" customFormat="false" ht="14.25" hidden="false" customHeight="false" outlineLevel="0" collapsed="false">
      <c r="A93" s="0" t="s">
        <v>2209</v>
      </c>
      <c r="B93" s="0" t="s">
        <v>2210</v>
      </c>
      <c r="C93" s="0" t="s">
        <v>2209</v>
      </c>
      <c r="D93" s="0" t="s">
        <v>2209</v>
      </c>
      <c r="E93" s="0" t="s">
        <v>2211</v>
      </c>
      <c r="F93" s="0" t="s">
        <v>2209</v>
      </c>
      <c r="G93" s="0" t="s">
        <v>2212</v>
      </c>
      <c r="H93" s="0" t="s">
        <v>2213</v>
      </c>
      <c r="I93" s="0" t="s">
        <v>2209</v>
      </c>
      <c r="J93" s="0" t="s">
        <v>2209</v>
      </c>
      <c r="K93" s="0" t="s">
        <v>2214</v>
      </c>
      <c r="L93" s="0" t="s">
        <v>2214</v>
      </c>
      <c r="M93" s="0" t="s">
        <v>2209</v>
      </c>
      <c r="N93" s="0" t="s">
        <v>2214</v>
      </c>
      <c r="O93" s="0" t="s">
        <v>2209</v>
      </c>
      <c r="P93" s="0" t="s">
        <v>2215</v>
      </c>
      <c r="Q93" s="0" t="s">
        <v>2209</v>
      </c>
      <c r="R93" s="0" t="s">
        <v>2216</v>
      </c>
      <c r="S93" s="0" t="s">
        <v>2209</v>
      </c>
      <c r="T93" s="0" t="s">
        <v>2217</v>
      </c>
      <c r="U93" s="0" t="s">
        <v>2209</v>
      </c>
      <c r="V93" s="0" t="s">
        <v>2209</v>
      </c>
      <c r="W93" s="0" t="s">
        <v>2209</v>
      </c>
      <c r="X93" s="0" t="s">
        <v>2218</v>
      </c>
      <c r="Y93" s="0" t="s">
        <v>2219</v>
      </c>
      <c r="Z93" s="0" t="s">
        <v>2220</v>
      </c>
      <c r="AA93" s="0" t="s">
        <v>2221</v>
      </c>
      <c r="AB93" s="0" t="s">
        <v>2214</v>
      </c>
      <c r="AC93" s="1" t="s">
        <v>2222</v>
      </c>
      <c r="AD93" s="0" t="s">
        <v>2209</v>
      </c>
      <c r="AE93" s="0" t="s">
        <v>2209</v>
      </c>
      <c r="AF93" s="0" t="s">
        <v>2223</v>
      </c>
      <c r="AG93" s="0" t="s">
        <v>2224</v>
      </c>
      <c r="AH93" s="0" t="s">
        <v>2214</v>
      </c>
      <c r="AI93" s="0" t="s">
        <v>2209</v>
      </c>
      <c r="AJ93" s="0" t="s">
        <v>2209</v>
      </c>
      <c r="AK93" s="0" t="s">
        <v>2209</v>
      </c>
      <c r="AL93" s="1" t="s">
        <v>2225</v>
      </c>
      <c r="AM93" s="0" t="s">
        <v>2212</v>
      </c>
      <c r="AN93" s="0" t="s">
        <v>2226</v>
      </c>
      <c r="AO93" s="0" t="s">
        <v>2227</v>
      </c>
      <c r="AP93" s="1" t="s">
        <v>2228</v>
      </c>
    </row>
    <row r="94" customFormat="false" ht="14.25" hidden="false" customHeight="false" outlineLevel="0" collapsed="false">
      <c r="A94" s="0" t="s">
        <v>2229</v>
      </c>
      <c r="B94" s="0" t="s">
        <v>2230</v>
      </c>
      <c r="C94" s="0" t="s">
        <v>2229</v>
      </c>
      <c r="D94" s="0" t="s">
        <v>2229</v>
      </c>
      <c r="E94" s="0" t="s">
        <v>2231</v>
      </c>
      <c r="F94" s="0" t="s">
        <v>2229</v>
      </c>
      <c r="G94" s="0" t="s">
        <v>2232</v>
      </c>
      <c r="H94" s="0" t="s">
        <v>2233</v>
      </c>
      <c r="I94" s="0" t="s">
        <v>2229</v>
      </c>
      <c r="J94" s="0" t="s">
        <v>2229</v>
      </c>
      <c r="K94" s="0" t="s">
        <v>2234</v>
      </c>
      <c r="L94" s="0" t="s">
        <v>2234</v>
      </c>
      <c r="M94" s="0" t="s">
        <v>2229</v>
      </c>
      <c r="N94" s="0" t="s">
        <v>2234</v>
      </c>
      <c r="O94" s="0" t="s">
        <v>2229</v>
      </c>
      <c r="P94" s="0" t="s">
        <v>2235</v>
      </c>
      <c r="Q94" s="0" t="s">
        <v>2229</v>
      </c>
      <c r="R94" s="0" t="s">
        <v>2236</v>
      </c>
      <c r="S94" s="0" t="s">
        <v>2229</v>
      </c>
      <c r="T94" s="0" t="s">
        <v>2237</v>
      </c>
      <c r="U94" s="0" t="s">
        <v>2229</v>
      </c>
      <c r="V94" s="0" t="s">
        <v>2229</v>
      </c>
      <c r="W94" s="0" t="s">
        <v>2229</v>
      </c>
      <c r="X94" s="0" t="s">
        <v>2238</v>
      </c>
      <c r="Y94" s="0" t="s">
        <v>2239</v>
      </c>
      <c r="Z94" s="0" t="s">
        <v>2240</v>
      </c>
      <c r="AA94" s="0" t="s">
        <v>2241</v>
      </c>
      <c r="AB94" s="0" t="s">
        <v>2234</v>
      </c>
      <c r="AC94" s="1" t="s">
        <v>2242</v>
      </c>
      <c r="AD94" s="0" t="s">
        <v>2229</v>
      </c>
      <c r="AE94" s="0" t="s">
        <v>2229</v>
      </c>
      <c r="AF94" s="0" t="s">
        <v>2243</v>
      </c>
      <c r="AG94" s="0" t="s">
        <v>2244</v>
      </c>
      <c r="AH94" s="0" t="s">
        <v>2234</v>
      </c>
      <c r="AI94" s="0" t="s">
        <v>2229</v>
      </c>
      <c r="AJ94" s="0" t="s">
        <v>2229</v>
      </c>
      <c r="AK94" s="0" t="s">
        <v>2229</v>
      </c>
      <c r="AL94" s="1" t="s">
        <v>2245</v>
      </c>
      <c r="AM94" s="0" t="s">
        <v>2232</v>
      </c>
      <c r="AN94" s="0" t="s">
        <v>2246</v>
      </c>
      <c r="AO94" s="0" t="s">
        <v>2247</v>
      </c>
      <c r="AP94" s="1" t="s">
        <v>2248</v>
      </c>
    </row>
    <row r="95" customFormat="false" ht="14.25" hidden="false" customHeight="false" outlineLevel="0" collapsed="false">
      <c r="A95" s="0" t="s">
        <v>2249</v>
      </c>
      <c r="B95" s="0" t="s">
        <v>2250</v>
      </c>
      <c r="C95" s="0" t="s">
        <v>2249</v>
      </c>
      <c r="D95" s="0" t="s">
        <v>2249</v>
      </c>
      <c r="E95" s="0" t="s">
        <v>2251</v>
      </c>
      <c r="F95" s="0" t="s">
        <v>2249</v>
      </c>
      <c r="G95" s="0" t="s">
        <v>2252</v>
      </c>
      <c r="H95" s="0" t="s">
        <v>2253</v>
      </c>
      <c r="I95" s="0" t="s">
        <v>2249</v>
      </c>
      <c r="J95" s="0" t="s">
        <v>2249</v>
      </c>
      <c r="K95" s="0" t="s">
        <v>2254</v>
      </c>
      <c r="L95" s="0" t="s">
        <v>2254</v>
      </c>
      <c r="M95" s="0" t="s">
        <v>2249</v>
      </c>
      <c r="N95" s="0" t="s">
        <v>2254</v>
      </c>
      <c r="O95" s="0" t="s">
        <v>2249</v>
      </c>
      <c r="P95" s="0" t="s">
        <v>2255</v>
      </c>
      <c r="Q95" s="0" t="s">
        <v>2249</v>
      </c>
      <c r="R95" s="0" t="s">
        <v>2256</v>
      </c>
      <c r="S95" s="0" t="s">
        <v>2249</v>
      </c>
      <c r="T95" s="0" t="s">
        <v>2257</v>
      </c>
      <c r="U95" s="0" t="s">
        <v>2249</v>
      </c>
      <c r="V95" s="0" t="s">
        <v>2249</v>
      </c>
      <c r="W95" s="0" t="s">
        <v>2249</v>
      </c>
      <c r="X95" s="0" t="s">
        <v>2258</v>
      </c>
      <c r="Y95" s="0" t="s">
        <v>2259</v>
      </c>
      <c r="Z95" s="0" t="s">
        <v>2260</v>
      </c>
      <c r="AA95" s="0" t="s">
        <v>2261</v>
      </c>
      <c r="AB95" s="0" t="s">
        <v>2254</v>
      </c>
      <c r="AC95" s="1" t="s">
        <v>2262</v>
      </c>
      <c r="AD95" s="0" t="s">
        <v>2249</v>
      </c>
      <c r="AE95" s="0" t="s">
        <v>2249</v>
      </c>
      <c r="AF95" s="0" t="s">
        <v>2263</v>
      </c>
      <c r="AG95" s="0" t="s">
        <v>2264</v>
      </c>
      <c r="AH95" s="0" t="s">
        <v>2254</v>
      </c>
      <c r="AI95" s="0" t="s">
        <v>2249</v>
      </c>
      <c r="AJ95" s="0" t="s">
        <v>2249</v>
      </c>
      <c r="AK95" s="0" t="s">
        <v>2249</v>
      </c>
      <c r="AL95" s="1" t="s">
        <v>2265</v>
      </c>
      <c r="AM95" s="0" t="s">
        <v>2252</v>
      </c>
      <c r="AN95" s="0" t="s">
        <v>2266</v>
      </c>
      <c r="AO95" s="0" t="s">
        <v>2267</v>
      </c>
      <c r="AP95" s="1" t="s">
        <v>2268</v>
      </c>
    </row>
    <row r="96" customFormat="false" ht="14.25" hidden="false" customHeight="false" outlineLevel="0" collapsed="false">
      <c r="A96" s="0" t="s">
        <v>2269</v>
      </c>
      <c r="B96" s="0" t="s">
        <v>2270</v>
      </c>
      <c r="C96" s="0" t="s">
        <v>2269</v>
      </c>
      <c r="D96" s="0" t="s">
        <v>2269</v>
      </c>
      <c r="E96" s="0" t="s">
        <v>2271</v>
      </c>
      <c r="F96" s="0" t="s">
        <v>2269</v>
      </c>
      <c r="G96" s="0" t="s">
        <v>2272</v>
      </c>
      <c r="H96" s="0" t="s">
        <v>2273</v>
      </c>
      <c r="I96" s="0" t="s">
        <v>2269</v>
      </c>
      <c r="J96" s="0" t="s">
        <v>2269</v>
      </c>
      <c r="K96" s="0" t="s">
        <v>2274</v>
      </c>
      <c r="L96" s="0" t="s">
        <v>2274</v>
      </c>
      <c r="M96" s="0" t="s">
        <v>2269</v>
      </c>
      <c r="N96" s="0" t="s">
        <v>2274</v>
      </c>
      <c r="O96" s="0" t="s">
        <v>2269</v>
      </c>
      <c r="P96" s="0" t="s">
        <v>2275</v>
      </c>
      <c r="Q96" s="0" t="s">
        <v>2269</v>
      </c>
      <c r="R96" s="0" t="s">
        <v>2276</v>
      </c>
      <c r="S96" s="0" t="s">
        <v>2269</v>
      </c>
      <c r="T96" s="0" t="s">
        <v>2277</v>
      </c>
      <c r="U96" s="0" t="s">
        <v>2269</v>
      </c>
      <c r="V96" s="0" t="s">
        <v>2269</v>
      </c>
      <c r="W96" s="0" t="s">
        <v>2269</v>
      </c>
      <c r="X96" s="0" t="s">
        <v>2278</v>
      </c>
      <c r="Y96" s="0" t="s">
        <v>2279</v>
      </c>
      <c r="Z96" s="0" t="s">
        <v>2280</v>
      </c>
      <c r="AA96" s="0" t="s">
        <v>2281</v>
      </c>
      <c r="AB96" s="0" t="s">
        <v>2274</v>
      </c>
      <c r="AC96" s="1" t="s">
        <v>2282</v>
      </c>
      <c r="AD96" s="0" t="s">
        <v>2269</v>
      </c>
      <c r="AE96" s="0" t="s">
        <v>2269</v>
      </c>
      <c r="AF96" s="0" t="s">
        <v>2283</v>
      </c>
      <c r="AG96" s="0" t="s">
        <v>2284</v>
      </c>
      <c r="AH96" s="0" t="s">
        <v>2274</v>
      </c>
      <c r="AI96" s="0" t="s">
        <v>2269</v>
      </c>
      <c r="AJ96" s="0" t="s">
        <v>2269</v>
      </c>
      <c r="AK96" s="0" t="s">
        <v>2269</v>
      </c>
      <c r="AL96" s="1" t="s">
        <v>2285</v>
      </c>
      <c r="AM96" s="0" t="s">
        <v>2272</v>
      </c>
      <c r="AN96" s="0" t="s">
        <v>2286</v>
      </c>
      <c r="AO96" s="0" t="s">
        <v>2287</v>
      </c>
      <c r="AP96" s="1" t="s">
        <v>2288</v>
      </c>
    </row>
    <row r="97" customFormat="false" ht="14.25" hidden="false" customHeight="false" outlineLevel="0" collapsed="false">
      <c r="A97" s="0" t="s">
        <v>2289</v>
      </c>
      <c r="B97" s="0" t="s">
        <v>2290</v>
      </c>
      <c r="C97" s="0" t="s">
        <v>2289</v>
      </c>
      <c r="D97" s="0" t="s">
        <v>2289</v>
      </c>
      <c r="E97" s="0" t="s">
        <v>2291</v>
      </c>
      <c r="F97" s="0" t="s">
        <v>2289</v>
      </c>
      <c r="G97" s="0" t="s">
        <v>2292</v>
      </c>
      <c r="H97" s="0" t="s">
        <v>2293</v>
      </c>
      <c r="I97" s="0" t="s">
        <v>2289</v>
      </c>
      <c r="J97" s="0" t="s">
        <v>2289</v>
      </c>
      <c r="K97" s="0" t="s">
        <v>2294</v>
      </c>
      <c r="L97" s="0" t="s">
        <v>2294</v>
      </c>
      <c r="M97" s="0" t="s">
        <v>2289</v>
      </c>
      <c r="N97" s="0" t="s">
        <v>2294</v>
      </c>
      <c r="O97" s="0" t="s">
        <v>2289</v>
      </c>
      <c r="P97" s="0" t="s">
        <v>2295</v>
      </c>
      <c r="Q97" s="0" t="s">
        <v>2289</v>
      </c>
      <c r="R97" s="0" t="s">
        <v>2296</v>
      </c>
      <c r="S97" s="0" t="s">
        <v>2289</v>
      </c>
      <c r="T97" s="0" t="s">
        <v>2297</v>
      </c>
      <c r="U97" s="0" t="s">
        <v>2289</v>
      </c>
      <c r="V97" s="0" t="s">
        <v>2289</v>
      </c>
      <c r="W97" s="0" t="s">
        <v>2289</v>
      </c>
      <c r="X97" s="0" t="s">
        <v>2298</v>
      </c>
      <c r="Y97" s="0" t="s">
        <v>2299</v>
      </c>
      <c r="Z97" s="0" t="s">
        <v>2300</v>
      </c>
      <c r="AA97" s="0" t="s">
        <v>2301</v>
      </c>
      <c r="AB97" s="0" t="s">
        <v>2294</v>
      </c>
      <c r="AC97" s="1" t="s">
        <v>2302</v>
      </c>
      <c r="AD97" s="0" t="s">
        <v>2289</v>
      </c>
      <c r="AE97" s="0" t="s">
        <v>2289</v>
      </c>
      <c r="AF97" s="0" t="s">
        <v>2303</v>
      </c>
      <c r="AG97" s="0" t="s">
        <v>2304</v>
      </c>
      <c r="AH97" s="0" t="s">
        <v>2294</v>
      </c>
      <c r="AI97" s="0" t="s">
        <v>2289</v>
      </c>
      <c r="AJ97" s="0" t="s">
        <v>2289</v>
      </c>
      <c r="AK97" s="0" t="s">
        <v>2289</v>
      </c>
      <c r="AL97" s="1" t="s">
        <v>2305</v>
      </c>
      <c r="AM97" s="0" t="s">
        <v>2292</v>
      </c>
      <c r="AN97" s="0" t="s">
        <v>2306</v>
      </c>
      <c r="AO97" s="0" t="s">
        <v>2307</v>
      </c>
      <c r="AP97" s="1" t="s">
        <v>2308</v>
      </c>
    </row>
    <row r="98" customFormat="false" ht="14.25" hidden="false" customHeight="false" outlineLevel="0" collapsed="false">
      <c r="A98" s="0" t="s">
        <v>2309</v>
      </c>
      <c r="B98" s="0" t="s">
        <v>2310</v>
      </c>
      <c r="C98" s="0" t="s">
        <v>2309</v>
      </c>
      <c r="D98" s="0" t="s">
        <v>2309</v>
      </c>
      <c r="E98" s="0" t="s">
        <v>2311</v>
      </c>
      <c r="F98" s="0" t="s">
        <v>2309</v>
      </c>
      <c r="G98" s="0" t="s">
        <v>2312</v>
      </c>
      <c r="H98" s="0" t="s">
        <v>2313</v>
      </c>
      <c r="I98" s="0" t="s">
        <v>2309</v>
      </c>
      <c r="J98" s="0" t="s">
        <v>2309</v>
      </c>
      <c r="K98" s="0" t="s">
        <v>2314</v>
      </c>
      <c r="L98" s="0" t="s">
        <v>2314</v>
      </c>
      <c r="M98" s="0" t="s">
        <v>2309</v>
      </c>
      <c r="N98" s="0" t="s">
        <v>2314</v>
      </c>
      <c r="O98" s="0" t="s">
        <v>2309</v>
      </c>
      <c r="P98" s="0" t="s">
        <v>2315</v>
      </c>
      <c r="Q98" s="0" t="s">
        <v>2309</v>
      </c>
      <c r="R98" s="0" t="s">
        <v>2316</v>
      </c>
      <c r="S98" s="0" t="s">
        <v>2309</v>
      </c>
      <c r="T98" s="0" t="s">
        <v>2317</v>
      </c>
      <c r="U98" s="0" t="s">
        <v>2309</v>
      </c>
      <c r="V98" s="0" t="s">
        <v>2309</v>
      </c>
      <c r="W98" s="0" t="s">
        <v>2309</v>
      </c>
      <c r="X98" s="2" t="s">
        <v>2318</v>
      </c>
      <c r="Y98" s="0" t="s">
        <v>2319</v>
      </c>
      <c r="Z98" s="0" t="s">
        <v>2320</v>
      </c>
      <c r="AA98" s="0" t="s">
        <v>2321</v>
      </c>
      <c r="AB98" s="0" t="s">
        <v>2314</v>
      </c>
      <c r="AC98" s="1" t="s">
        <v>2322</v>
      </c>
      <c r="AD98" s="0" t="s">
        <v>2309</v>
      </c>
      <c r="AE98" s="0" t="s">
        <v>2309</v>
      </c>
      <c r="AF98" s="0" t="s">
        <v>2323</v>
      </c>
      <c r="AG98" s="0" t="s">
        <v>2324</v>
      </c>
      <c r="AH98" s="0" t="s">
        <v>2314</v>
      </c>
      <c r="AI98" s="0" t="s">
        <v>2309</v>
      </c>
      <c r="AJ98" s="0" t="s">
        <v>2309</v>
      </c>
      <c r="AK98" s="0" t="s">
        <v>2309</v>
      </c>
      <c r="AL98" s="1" t="s">
        <v>2325</v>
      </c>
      <c r="AM98" s="0" t="s">
        <v>2312</v>
      </c>
      <c r="AN98" s="0" t="s">
        <v>2326</v>
      </c>
      <c r="AO98" s="0" t="s">
        <v>2327</v>
      </c>
      <c r="AP98" s="1" t="s">
        <v>2328</v>
      </c>
    </row>
    <row r="99" customFormat="false" ht="14.25" hidden="false" customHeight="false" outlineLevel="0" collapsed="false">
      <c r="A99" s="0" t="s">
        <v>2329</v>
      </c>
      <c r="B99" s="0" t="s">
        <v>2330</v>
      </c>
      <c r="C99" s="0" t="s">
        <v>2329</v>
      </c>
      <c r="D99" s="0" t="s">
        <v>2329</v>
      </c>
      <c r="E99" s="0" t="s">
        <v>2331</v>
      </c>
      <c r="F99" s="0" t="s">
        <v>2329</v>
      </c>
      <c r="G99" s="0" t="s">
        <v>2332</v>
      </c>
      <c r="H99" s="0" t="s">
        <v>2333</v>
      </c>
      <c r="I99" s="0" t="s">
        <v>2329</v>
      </c>
      <c r="J99" s="0" t="s">
        <v>2329</v>
      </c>
      <c r="K99" s="0" t="s">
        <v>2334</v>
      </c>
      <c r="L99" s="0" t="s">
        <v>2334</v>
      </c>
      <c r="M99" s="0" t="s">
        <v>2329</v>
      </c>
      <c r="N99" s="0" t="s">
        <v>2334</v>
      </c>
      <c r="O99" s="0" t="s">
        <v>2329</v>
      </c>
      <c r="P99" s="0" t="s">
        <v>2335</v>
      </c>
      <c r="Q99" s="0" t="s">
        <v>2329</v>
      </c>
      <c r="R99" s="0" t="s">
        <v>2336</v>
      </c>
      <c r="S99" s="0" t="s">
        <v>2329</v>
      </c>
      <c r="T99" s="0" t="s">
        <v>2337</v>
      </c>
      <c r="U99" s="0" t="s">
        <v>2329</v>
      </c>
      <c r="V99" s="0" t="s">
        <v>2329</v>
      </c>
      <c r="W99" s="0" t="s">
        <v>2329</v>
      </c>
      <c r="X99" s="2" t="s">
        <v>2338</v>
      </c>
      <c r="Y99" s="0" t="s">
        <v>2339</v>
      </c>
      <c r="Z99" s="0" t="s">
        <v>2340</v>
      </c>
      <c r="AA99" s="0" t="s">
        <v>2341</v>
      </c>
      <c r="AB99" s="0" t="s">
        <v>2334</v>
      </c>
      <c r="AC99" s="1" t="s">
        <v>2342</v>
      </c>
      <c r="AD99" s="0" t="s">
        <v>2329</v>
      </c>
      <c r="AE99" s="0" t="s">
        <v>2329</v>
      </c>
      <c r="AF99" s="0" t="s">
        <v>2343</v>
      </c>
      <c r="AG99" s="0" t="s">
        <v>2344</v>
      </c>
      <c r="AH99" s="0" t="s">
        <v>2334</v>
      </c>
      <c r="AI99" s="0" t="s">
        <v>2329</v>
      </c>
      <c r="AJ99" s="0" t="s">
        <v>2329</v>
      </c>
      <c r="AK99" s="0" t="s">
        <v>2329</v>
      </c>
      <c r="AL99" s="1" t="s">
        <v>2345</v>
      </c>
      <c r="AM99" s="0" t="s">
        <v>2332</v>
      </c>
      <c r="AN99" s="0" t="s">
        <v>2346</v>
      </c>
      <c r="AO99" s="0" t="s">
        <v>2347</v>
      </c>
      <c r="AP99" s="1" t="s">
        <v>2348</v>
      </c>
    </row>
    <row r="100" customFormat="false" ht="14.25" hidden="false" customHeight="false" outlineLevel="0" collapsed="false">
      <c r="A100" s="0" t="s">
        <v>2319</v>
      </c>
      <c r="B100" s="0" t="s">
        <v>2349</v>
      </c>
      <c r="C100" s="0" t="s">
        <v>2319</v>
      </c>
      <c r="D100" s="0" t="s">
        <v>2319</v>
      </c>
      <c r="E100" s="0" t="s">
        <v>2350</v>
      </c>
      <c r="F100" s="0" t="s">
        <v>2319</v>
      </c>
      <c r="G100" s="0" t="s">
        <v>2324</v>
      </c>
      <c r="H100" s="0" t="s">
        <v>2351</v>
      </c>
      <c r="I100" s="0" t="s">
        <v>2319</v>
      </c>
      <c r="J100" s="0" t="s">
        <v>2319</v>
      </c>
      <c r="K100" s="0" t="s">
        <v>2324</v>
      </c>
      <c r="L100" s="0" t="s">
        <v>2326</v>
      </c>
      <c r="M100" s="0" t="s">
        <v>2314</v>
      </c>
      <c r="N100" s="0" t="s">
        <v>2326</v>
      </c>
      <c r="O100" s="0" t="s">
        <v>2319</v>
      </c>
      <c r="P100" s="0" t="s">
        <v>2352</v>
      </c>
      <c r="Q100" s="0" t="s">
        <v>2319</v>
      </c>
      <c r="R100" s="0" t="s">
        <v>2353</v>
      </c>
      <c r="S100" s="0" t="s">
        <v>2319</v>
      </c>
      <c r="T100" s="0" t="s">
        <v>2314</v>
      </c>
      <c r="U100" s="0" t="s">
        <v>2319</v>
      </c>
      <c r="V100" s="0" t="s">
        <v>2319</v>
      </c>
      <c r="W100" s="0" t="s">
        <v>2319</v>
      </c>
      <c r="X100" s="2" t="s">
        <v>2354</v>
      </c>
      <c r="Y100" s="0" t="s">
        <v>2324</v>
      </c>
      <c r="Z100" s="0" t="s">
        <v>2355</v>
      </c>
      <c r="AA100" s="0" t="s">
        <v>2326</v>
      </c>
      <c r="AB100" s="0" t="s">
        <v>2326</v>
      </c>
      <c r="AC100" s="1" t="s">
        <v>2356</v>
      </c>
      <c r="AD100" s="0" t="s">
        <v>2319</v>
      </c>
      <c r="AE100" s="0" t="s">
        <v>2319</v>
      </c>
      <c r="AF100" s="0" t="s">
        <v>2324</v>
      </c>
      <c r="AG100" s="0" t="s">
        <v>2357</v>
      </c>
      <c r="AH100" s="0" t="s">
        <v>2324</v>
      </c>
      <c r="AI100" s="0" t="s">
        <v>2319</v>
      </c>
      <c r="AJ100" s="0" t="s">
        <v>2319</v>
      </c>
      <c r="AK100" s="0" t="s">
        <v>2319</v>
      </c>
      <c r="AL100" s="1" t="s">
        <v>2358</v>
      </c>
      <c r="AM100" s="0" t="s">
        <v>2350</v>
      </c>
      <c r="AN100" s="0" t="s">
        <v>2359</v>
      </c>
      <c r="AO100" s="0" t="s">
        <v>2360</v>
      </c>
      <c r="AP100" s="1" t="s">
        <v>2361</v>
      </c>
    </row>
    <row r="101" customFormat="false" ht="14.25" hidden="false" customHeight="false" outlineLevel="0" collapsed="false">
      <c r="A101" s="0" t="s">
        <v>2339</v>
      </c>
      <c r="B101" s="0" t="s">
        <v>2362</v>
      </c>
      <c r="C101" s="0" t="s">
        <v>2339</v>
      </c>
      <c r="D101" s="0" t="s">
        <v>2339</v>
      </c>
      <c r="E101" s="0" t="s">
        <v>2363</v>
      </c>
      <c r="F101" s="0" t="s">
        <v>2339</v>
      </c>
      <c r="G101" s="0" t="s">
        <v>2344</v>
      </c>
      <c r="H101" s="0" t="s">
        <v>2364</v>
      </c>
      <c r="I101" s="0" t="s">
        <v>2339</v>
      </c>
      <c r="J101" s="0" t="s">
        <v>2339</v>
      </c>
      <c r="K101" s="0" t="s">
        <v>2344</v>
      </c>
      <c r="L101" s="0" t="s">
        <v>2346</v>
      </c>
      <c r="M101" s="0" t="s">
        <v>2334</v>
      </c>
      <c r="N101" s="0" t="s">
        <v>2346</v>
      </c>
      <c r="O101" s="0" t="s">
        <v>2339</v>
      </c>
      <c r="P101" s="0" t="s">
        <v>2365</v>
      </c>
      <c r="Q101" s="0" t="s">
        <v>2339</v>
      </c>
      <c r="R101" s="0" t="s">
        <v>2366</v>
      </c>
      <c r="S101" s="0" t="s">
        <v>2339</v>
      </c>
      <c r="T101" s="0" t="s">
        <v>2334</v>
      </c>
      <c r="U101" s="0" t="s">
        <v>2339</v>
      </c>
      <c r="V101" s="0" t="s">
        <v>2339</v>
      </c>
      <c r="W101" s="0" t="s">
        <v>2339</v>
      </c>
      <c r="X101" s="2" t="s">
        <v>2367</v>
      </c>
      <c r="Y101" s="0" t="s">
        <v>2344</v>
      </c>
      <c r="Z101" s="0" t="s">
        <v>2368</v>
      </c>
      <c r="AA101" s="0" t="s">
        <v>2346</v>
      </c>
      <c r="AB101" s="0" t="s">
        <v>2346</v>
      </c>
      <c r="AC101" s="1" t="s">
        <v>2369</v>
      </c>
      <c r="AD101" s="0" t="s">
        <v>2339</v>
      </c>
      <c r="AE101" s="0" t="s">
        <v>2339</v>
      </c>
      <c r="AF101" s="0" t="s">
        <v>2344</v>
      </c>
      <c r="AG101" s="0" t="s">
        <v>2370</v>
      </c>
      <c r="AH101" s="0" t="s">
        <v>2344</v>
      </c>
      <c r="AI101" s="0" t="s">
        <v>2339</v>
      </c>
      <c r="AJ101" s="0" t="s">
        <v>2339</v>
      </c>
      <c r="AK101" s="0" t="s">
        <v>2339</v>
      </c>
      <c r="AL101" s="1" t="s">
        <v>2371</v>
      </c>
      <c r="AM101" s="0" t="s">
        <v>2363</v>
      </c>
      <c r="AN101" s="0" t="s">
        <v>2372</v>
      </c>
      <c r="AO101" s="0" t="s">
        <v>2373</v>
      </c>
      <c r="AP101" s="1" t="s">
        <v>2374</v>
      </c>
    </row>
    <row r="102" customFormat="false" ht="14.25" hidden="false" customHeight="false" outlineLevel="0" collapsed="false">
      <c r="A102" s="0" t="s">
        <v>2375</v>
      </c>
      <c r="B102" s="0" t="s">
        <v>2376</v>
      </c>
      <c r="C102" s="1" t="s">
        <v>2377</v>
      </c>
      <c r="D102" s="0" t="s">
        <v>2378</v>
      </c>
      <c r="E102" s="0" t="s">
        <v>2379</v>
      </c>
      <c r="F102" s="0" t="s">
        <v>2380</v>
      </c>
      <c r="G102" s="0" t="s">
        <v>2381</v>
      </c>
      <c r="H102" s="0" t="s">
        <v>2382</v>
      </c>
      <c r="I102" s="0" t="s">
        <v>2375</v>
      </c>
      <c r="J102" s="0" t="s">
        <v>2383</v>
      </c>
      <c r="K102" s="0" t="s">
        <v>2384</v>
      </c>
      <c r="L102" s="0" t="s">
        <v>2385</v>
      </c>
      <c r="M102" s="0" t="s">
        <v>2386</v>
      </c>
      <c r="N102" s="0" t="s">
        <v>2387</v>
      </c>
      <c r="O102" s="0" t="s">
        <v>2388</v>
      </c>
      <c r="P102" s="0" t="s">
        <v>2389</v>
      </c>
      <c r="Q102" s="0" t="s">
        <v>2390</v>
      </c>
      <c r="R102" s="0" t="s">
        <v>2391</v>
      </c>
      <c r="S102" s="1" t="s">
        <v>2392</v>
      </c>
      <c r="T102" s="0" t="s">
        <v>2393</v>
      </c>
      <c r="U102" s="0" t="s">
        <v>2394</v>
      </c>
      <c r="V102" s="0" t="s">
        <v>2395</v>
      </c>
      <c r="W102" s="0" t="s">
        <v>2396</v>
      </c>
      <c r="X102" s="0" t="s">
        <v>2397</v>
      </c>
      <c r="Y102" s="0" t="s">
        <v>2398</v>
      </c>
      <c r="Z102" s="0" t="s">
        <v>2399</v>
      </c>
      <c r="AA102" s="0" t="s">
        <v>2400</v>
      </c>
      <c r="AB102" s="0" t="s">
        <v>2401</v>
      </c>
      <c r="AC102" s="1" t="s">
        <v>2402</v>
      </c>
      <c r="AD102" s="0" t="s">
        <v>2403</v>
      </c>
      <c r="AE102" s="0" t="s">
        <v>2404</v>
      </c>
      <c r="AF102" s="0" t="s">
        <v>2405</v>
      </c>
      <c r="AG102" s="0" t="s">
        <v>2406</v>
      </c>
      <c r="AH102" s="0" t="s">
        <v>2407</v>
      </c>
      <c r="AI102" s="0" t="s">
        <v>2408</v>
      </c>
      <c r="AJ102" s="0" t="s">
        <v>2409</v>
      </c>
      <c r="AK102" s="0" t="s">
        <v>2410</v>
      </c>
      <c r="AL102" s="1" t="s">
        <v>2411</v>
      </c>
      <c r="AM102" s="0" t="s">
        <v>2412</v>
      </c>
      <c r="AN102" s="0" t="s">
        <v>2413</v>
      </c>
      <c r="AO102" s="0" t="s">
        <v>2414</v>
      </c>
      <c r="AP102" s="1" t="s">
        <v>2415</v>
      </c>
    </row>
    <row r="103" customFormat="false" ht="14.25" hidden="false" customHeight="false" outlineLevel="0" collapsed="false">
      <c r="A103" s="3"/>
    </row>
    <row r="104" customFormat="false" ht="14.25" hidden="false" customHeight="false" outlineLevel="0" collapsed="false">
      <c r="A104" s="3"/>
    </row>
    <row r="105" customFormat="false" ht="14.25" hidden="false" customHeight="false" outlineLevel="0" collapsed="false">
      <c r="A105" s="3"/>
    </row>
    <row r="106" customFormat="false" ht="14.25" hidden="false" customHeight="false" outlineLevel="0" collapsed="false">
      <c r="A106" s="3"/>
    </row>
    <row r="107" customFormat="false" ht="14.25" hidden="false" customHeight="false" outlineLevel="0" collapsed="false">
      <c r="A107" s="3"/>
    </row>
    <row r="108" customFormat="false" ht="14.25" hidden="false" customHeight="false" outlineLevel="0" collapsed="false">
      <c r="A108" s="3"/>
    </row>
    <row r="109" customFormat="false" ht="14.25" hidden="false" customHeight="false" outlineLevel="0" collapsed="false">
      <c r="A109" s="3"/>
    </row>
    <row r="110" customFormat="false" ht="14.25" hidden="false" customHeight="false" outlineLevel="0" collapsed="false">
      <c r="A110" s="3"/>
    </row>
    <row r="111" customFormat="false" ht="14.25" hidden="false" customHeight="false" outlineLevel="0" collapsed="false">
      <c r="A111" s="3"/>
    </row>
    <row r="112" customFormat="false" ht="14.25" hidden="false" customHeight="false" outlineLevel="0" collapsed="false">
      <c r="A112" s="3"/>
    </row>
    <row r="113" customFormat="false" ht="14.25" hidden="false" customHeight="false" outlineLevel="0" collapsed="false">
      <c r="A113" s="3"/>
    </row>
    <row r="114" customFormat="false" ht="14.25" hidden="false" customHeight="false" outlineLevel="0" collapsed="false">
      <c r="A114" s="3"/>
    </row>
    <row r="115" customFormat="false" ht="14.25" hidden="false" customHeight="false" outlineLevel="0" collapsed="false">
      <c r="A115" s="0" t="s">
        <v>2416</v>
      </c>
      <c r="B115" s="0" t="s">
        <v>2417</v>
      </c>
      <c r="C115" s="0" t="s">
        <v>2418</v>
      </c>
      <c r="D115" s="0" t="s">
        <v>2419</v>
      </c>
      <c r="E115" s="0" t="s">
        <v>2420</v>
      </c>
      <c r="F115" s="0" t="s">
        <v>2421</v>
      </c>
      <c r="G115" s="0" t="s">
        <v>2422</v>
      </c>
      <c r="H115" s="0" t="s">
        <v>2423</v>
      </c>
      <c r="I115" s="0" t="s">
        <v>2424</v>
      </c>
      <c r="J115" s="0" t="s">
        <v>2425</v>
      </c>
      <c r="K115" s="0" t="s">
        <v>2426</v>
      </c>
      <c r="L115" s="0" t="s">
        <v>2427</v>
      </c>
      <c r="M115" s="0" t="s">
        <v>2428</v>
      </c>
      <c r="N115" s="0" t="s">
        <v>2429</v>
      </c>
      <c r="O115" s="0" t="s">
        <v>2429</v>
      </c>
      <c r="P115" s="0" t="s">
        <v>2430</v>
      </c>
      <c r="Q115" s="0" t="s">
        <v>2431</v>
      </c>
      <c r="R115" s="0" t="s">
        <v>2432</v>
      </c>
      <c r="S115" s="0" t="s">
        <v>2433</v>
      </c>
      <c r="T115" s="0" t="s">
        <v>2434</v>
      </c>
      <c r="U115" s="0" t="s">
        <v>2435</v>
      </c>
      <c r="V115" s="0" t="s">
        <v>2436</v>
      </c>
      <c r="W115" s="0" t="s">
        <v>2437</v>
      </c>
      <c r="X115" s="0" t="s">
        <v>2438</v>
      </c>
      <c r="Y115" s="0" t="s">
        <v>2439</v>
      </c>
      <c r="Z115" s="0" t="s">
        <v>2440</v>
      </c>
      <c r="AA115" s="0" t="s">
        <v>2441</v>
      </c>
      <c r="AB115" s="0" t="s">
        <v>2442</v>
      </c>
      <c r="AC115" s="0" t="s">
        <v>2443</v>
      </c>
      <c r="AD115" s="0" t="s">
        <v>2444</v>
      </c>
      <c r="AE115" s="0" t="s">
        <v>2445</v>
      </c>
      <c r="AF115" s="0" t="s">
        <v>2446</v>
      </c>
      <c r="AG115" s="0" t="s">
        <v>2447</v>
      </c>
      <c r="AH115" s="0" t="s">
        <v>2448</v>
      </c>
      <c r="AI115" s="0" t="s">
        <v>2449</v>
      </c>
      <c r="AJ115" s="0" t="s">
        <v>2450</v>
      </c>
      <c r="AK115" s="0" t="s">
        <v>2451</v>
      </c>
      <c r="AL115" s="0" t="s">
        <v>2452</v>
      </c>
      <c r="AM115" s="0" t="s">
        <v>2453</v>
      </c>
      <c r="AN115" s="0" t="s">
        <v>2454</v>
      </c>
      <c r="AO115" s="0" t="s">
        <v>2455</v>
      </c>
      <c r="AP115" s="0" t="s">
        <v>2456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18359375" defaultRowHeight="14.25" zeroHeight="false" outlineLevelRow="0" outlineLevelCol="0"/>
  <cols>
    <col collapsed="false" customWidth="true" hidden="false" outlineLevel="0" max="1" min="1" style="4" width="1.18"/>
    <col collapsed="false" customWidth="true" hidden="false" outlineLevel="0" max="2" min="2" style="4" width="18.82"/>
    <col collapsed="false" customWidth="true" hidden="false" outlineLevel="0" max="3" min="3" style="4" width="20.27"/>
    <col collapsed="false" customWidth="false" hidden="false" outlineLevel="0" max="4" min="4" style="4" width="9.18"/>
    <col collapsed="false" customWidth="true" hidden="false" outlineLevel="0" max="5" min="5" style="4" width="1.18"/>
    <col collapsed="false" customWidth="false" hidden="false" outlineLevel="0" max="6" min="6" style="4" width="9.18"/>
    <col collapsed="false" customWidth="true" hidden="false" outlineLevel="0" max="7" min="7" style="4" width="27.54"/>
    <col collapsed="false" customWidth="true" hidden="false" outlineLevel="0" max="8" min="8" style="4" width="2.73"/>
    <col collapsed="false" customWidth="true" hidden="false" outlineLevel="0" max="9" min="9" style="4" width="1.18"/>
    <col collapsed="false" customWidth="false" hidden="false" outlineLevel="0" max="16384" min="10" style="4" width="9.18"/>
  </cols>
  <sheetData>
    <row r="1" customFormat="false" ht="7.5" hidden="false" customHeight="true" outlineLevel="0" collapsed="false"/>
    <row r="2" customFormat="false" ht="15.75" hidden="false" customHeight="false" outlineLevel="0" collapsed="false">
      <c r="B2" s="5" t="s">
        <v>2457</v>
      </c>
      <c r="C2" s="6"/>
      <c r="D2" s="7"/>
      <c r="F2" s="5" t="s">
        <v>2458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4.25" hidden="false" customHeight="false" outlineLevel="0" collapsed="false">
      <c r="B4" s="11" t="s">
        <v>2459</v>
      </c>
      <c r="C4" s="12" t="s">
        <v>0</v>
      </c>
      <c r="D4" s="10"/>
      <c r="F4" s="8"/>
      <c r="G4" s="13"/>
      <c r="H4" s="10"/>
    </row>
    <row r="5" customFormat="false" ht="14.25" hidden="false" customHeight="false" outlineLevel="0" collapsed="false">
      <c r="B5" s="8"/>
      <c r="C5" s="9"/>
      <c r="D5" s="10"/>
      <c r="F5" s="14" t="s">
        <v>2460</v>
      </c>
      <c r="G5" s="15" t="s">
        <v>2461</v>
      </c>
      <c r="H5" s="10"/>
    </row>
    <row r="6" customFormat="false" ht="14.25" hidden="false" customHeight="false" outlineLevel="0" collapsed="false">
      <c r="B6" s="11" t="s">
        <v>2462</v>
      </c>
      <c r="C6" s="12" t="s">
        <v>2463</v>
      </c>
      <c r="D6" s="10"/>
      <c r="F6" s="14" t="s">
        <v>2464</v>
      </c>
      <c r="G6" s="16" t="s">
        <v>2465</v>
      </c>
      <c r="H6" s="10"/>
    </row>
    <row r="7" customFormat="false" ht="14.25" hidden="false" customHeight="false" outlineLevel="0" collapsed="false">
      <c r="B7" s="8"/>
      <c r="C7" s="9"/>
      <c r="D7" s="10"/>
      <c r="F7" s="14" t="s">
        <v>2466</v>
      </c>
      <c r="G7" s="16" t="s">
        <v>2467</v>
      </c>
      <c r="H7" s="10"/>
    </row>
    <row r="8" customFormat="false" ht="14.25" hidden="false" customHeight="false" outlineLevel="0" collapsed="false">
      <c r="B8" s="11" t="s">
        <v>2468</v>
      </c>
      <c r="C8" s="12" t="s">
        <v>2469</v>
      </c>
      <c r="D8" s="10"/>
      <c r="F8" s="14" t="s">
        <v>2470</v>
      </c>
      <c r="G8" s="16" t="s">
        <v>2471</v>
      </c>
      <c r="H8" s="10"/>
    </row>
    <row r="9" customFormat="false" ht="14.25" hidden="false" customHeight="false" outlineLevel="0" collapsed="false">
      <c r="B9" s="8"/>
      <c r="C9" s="9"/>
      <c r="D9" s="10"/>
      <c r="F9" s="14" t="s">
        <v>2472</v>
      </c>
      <c r="G9" s="17" t="s">
        <v>2473</v>
      </c>
      <c r="H9" s="10"/>
    </row>
    <row r="10" customFormat="false" ht="14.25" hidden="false" customHeight="false" outlineLevel="0" collapsed="false">
      <c r="B10" s="11" t="s">
        <v>2474</v>
      </c>
      <c r="C10" s="12" t="s">
        <v>2475</v>
      </c>
      <c r="D10" s="10"/>
      <c r="F10" s="8"/>
      <c r="G10" s="18"/>
      <c r="H10" s="10"/>
    </row>
    <row r="11" customFormat="false" ht="14.2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4.25" hidden="false" customHeight="false" outlineLevel="0" collapsed="false">
      <c r="B12" s="11" t="s">
        <v>2476</v>
      </c>
      <c r="C12" s="12" t="s">
        <v>1264</v>
      </c>
      <c r="D12" s="10"/>
      <c r="F12" s="22"/>
      <c r="G12" s="22"/>
      <c r="H12" s="22"/>
      <c r="I12" s="22"/>
      <c r="J12" s="22"/>
      <c r="K12" s="23"/>
      <c r="L12" s="23"/>
    </row>
    <row r="13" customFormat="false" ht="9" hidden="false" customHeight="true" outlineLevel="0" collapsed="false">
      <c r="B13" s="19"/>
      <c r="C13" s="20"/>
      <c r="D13" s="21"/>
      <c r="F13" s="22"/>
      <c r="G13" s="22"/>
      <c r="H13" s="22"/>
      <c r="I13" s="22"/>
      <c r="J13" s="22"/>
      <c r="K13" s="23"/>
      <c r="L13" s="23"/>
    </row>
    <row r="14" customFormat="false" ht="9" hidden="false" customHeight="true" outlineLevel="0" collapsed="false">
      <c r="F14" s="22"/>
      <c r="G14" s="22"/>
      <c r="H14" s="22"/>
      <c r="I14" s="22"/>
      <c r="J14" s="22"/>
      <c r="K14" s="23"/>
      <c r="L14" s="23"/>
    </row>
    <row r="15" customFormat="false" ht="9" hidden="false" customHeight="true" outlineLevel="0" collapsed="false">
      <c r="B15" s="24"/>
      <c r="C15" s="25"/>
      <c r="D15" s="26"/>
      <c r="F15" s="22" t="s">
        <v>2477</v>
      </c>
      <c r="G15" s="22" t="n">
        <f aca="false">IF(ISERROR(MATCH(C4,lang_list,0)),1,MATCH(C4,lang_list,0))</f>
        <v>1</v>
      </c>
      <c r="H15" s="22"/>
      <c r="I15" s="22" t="str">
        <f aca="false">IFERROR(VLOOKUP(C12,T,lang,FALSE()),"")</f>
        <v>Argentina</v>
      </c>
      <c r="J15" s="22"/>
      <c r="K15" s="23"/>
      <c r="L15" s="23"/>
    </row>
    <row r="16" customFormat="false" ht="15.75" hidden="false" customHeight="false" outlineLevel="0" collapsed="false">
      <c r="B16" s="8"/>
      <c r="C16" s="27" t="s">
        <v>2473</v>
      </c>
      <c r="D16" s="10"/>
      <c r="F16" s="22" t="s">
        <v>2478</v>
      </c>
      <c r="G16" s="22" t="n">
        <f aca="false">TIME(VLOOKUP(C8,F18:G41,2,FALSE()),VLOOKUP(C10,F43:G46,2,FALSE()),0)+IF(C6="Yes",TIME(1,0,0),0)</f>
        <v>0.583333333333333</v>
      </c>
      <c r="H16" s="22"/>
      <c r="I16" s="22"/>
      <c r="J16" s="22"/>
      <c r="K16" s="23"/>
      <c r="L16" s="23"/>
    </row>
    <row r="17" customFormat="false" ht="14.25" hidden="false" customHeight="false" outlineLevel="0" collapsed="false">
      <c r="B17" s="28" t="str">
        <f aca="false">VLOOKUP("Brazil",T,lang,FALSE())</f>
        <v>Brazil</v>
      </c>
      <c r="C17" s="29" t="n">
        <v>1832.69</v>
      </c>
      <c r="D17" s="10"/>
      <c r="F17" s="22"/>
      <c r="G17" s="22"/>
      <c r="H17" s="22"/>
      <c r="I17" s="22" t="s">
        <v>1264</v>
      </c>
      <c r="J17" s="22"/>
      <c r="K17" s="23"/>
      <c r="L17" s="23"/>
    </row>
    <row r="18" customFormat="false" ht="14.25" hidden="false" customHeight="false" outlineLevel="0" collapsed="false">
      <c r="B18" s="28" t="str">
        <f aca="false">VLOOKUP("Belgium",T,lang,FALSE())</f>
        <v>Belgium</v>
      </c>
      <c r="C18" s="30" t="n">
        <v>1827</v>
      </c>
      <c r="D18" s="10"/>
      <c r="F18" s="22" t="s">
        <v>2479</v>
      </c>
      <c r="G18" s="22" t="n">
        <v>0</v>
      </c>
      <c r="H18" s="22"/>
      <c r="I18" s="22" t="s">
        <v>1419</v>
      </c>
      <c r="J18" s="22"/>
      <c r="K18" s="23"/>
      <c r="L18" s="23"/>
    </row>
    <row r="19" customFormat="false" ht="14.25" hidden="false" customHeight="false" outlineLevel="0" collapsed="false">
      <c r="B19" s="28" t="str">
        <f aca="false">VLOOKUP("France",T,lang,FALSE())</f>
        <v>France</v>
      </c>
      <c r="C19" s="30" t="n">
        <v>1790</v>
      </c>
      <c r="D19" s="10"/>
      <c r="F19" s="22" t="s">
        <v>2480</v>
      </c>
      <c r="G19" s="22" t="n">
        <v>1</v>
      </c>
      <c r="H19" s="22"/>
      <c r="I19" s="22" t="s">
        <v>1633</v>
      </c>
      <c r="J19" s="22"/>
      <c r="K19" s="23"/>
      <c r="L19" s="23"/>
    </row>
    <row r="20" customFormat="false" ht="14.25" hidden="false" customHeight="false" outlineLevel="0" collapsed="false">
      <c r="B20" s="28" t="str">
        <f aca="false">VLOOKUP("Argentina",T,lang,FALSE())</f>
        <v>Argentina</v>
      </c>
      <c r="C20" s="30" t="n">
        <v>1765</v>
      </c>
      <c r="D20" s="10"/>
      <c r="F20" s="22" t="s">
        <v>2481</v>
      </c>
      <c r="G20" s="22" t="n">
        <v>2</v>
      </c>
      <c r="H20" s="22"/>
      <c r="I20" s="22" t="s">
        <v>1739</v>
      </c>
      <c r="J20" s="22"/>
      <c r="K20" s="23"/>
      <c r="L20" s="23"/>
    </row>
    <row r="21" customFormat="false" ht="14.25" hidden="false" customHeight="false" outlineLevel="0" collapsed="false">
      <c r="B21" s="28" t="str">
        <f aca="false">VLOOKUP("England",T,lang,FALSE())</f>
        <v>England</v>
      </c>
      <c r="C21" s="30" t="n">
        <v>1762</v>
      </c>
      <c r="D21" s="10"/>
      <c r="F21" s="22" t="s">
        <v>2482</v>
      </c>
      <c r="G21" s="22" t="n">
        <v>3</v>
      </c>
      <c r="H21" s="22"/>
      <c r="I21" s="22" t="s">
        <v>1836</v>
      </c>
      <c r="J21" s="22"/>
      <c r="K21" s="23"/>
      <c r="L21" s="23"/>
    </row>
    <row r="22" customFormat="false" ht="14.25" hidden="false" customHeight="false" outlineLevel="0" collapsed="false">
      <c r="B22" s="28" t="str">
        <f aca="false">VLOOKUP("Spain",T,lang,FALSE())</f>
        <v>Spain</v>
      </c>
      <c r="C22" s="30" t="n">
        <v>1709</v>
      </c>
      <c r="D22" s="10"/>
      <c r="F22" s="22" t="s">
        <v>2483</v>
      </c>
      <c r="G22" s="22" t="n">
        <v>4</v>
      </c>
      <c r="H22" s="22"/>
      <c r="I22" s="22" t="s">
        <v>1662</v>
      </c>
      <c r="J22" s="22"/>
      <c r="K22" s="23"/>
      <c r="L22" s="23"/>
    </row>
    <row r="23" customFormat="false" ht="14.25" hidden="false" customHeight="false" outlineLevel="0" collapsed="false">
      <c r="B23" s="28" t="str">
        <f aca="false">VLOOKUP("Portugal",T,lang,FALSE())</f>
        <v>Portugal</v>
      </c>
      <c r="C23" s="30" t="n">
        <v>1674.78</v>
      </c>
      <c r="D23" s="10"/>
      <c r="F23" s="22" t="s">
        <v>2484</v>
      </c>
      <c r="G23" s="22" t="n">
        <v>5</v>
      </c>
      <c r="H23" s="22"/>
      <c r="I23" s="22" t="s">
        <v>1544</v>
      </c>
      <c r="J23" s="22"/>
      <c r="K23" s="23"/>
      <c r="L23" s="23"/>
    </row>
    <row r="24" customFormat="false" ht="14.25" hidden="false" customHeight="false" outlineLevel="0" collapsed="false">
      <c r="B24" s="28" t="str">
        <f aca="false">VLOOKUP("Mexico",T,lang,FALSE())</f>
        <v>Mexico</v>
      </c>
      <c r="C24" s="30" t="n">
        <v>1658.82</v>
      </c>
      <c r="D24" s="10"/>
      <c r="F24" s="22" t="s">
        <v>2485</v>
      </c>
      <c r="G24" s="22" t="n">
        <v>6</v>
      </c>
      <c r="H24" s="22"/>
      <c r="I24" s="22" t="s">
        <v>1703</v>
      </c>
      <c r="J24" s="22"/>
      <c r="K24" s="23"/>
      <c r="L24" s="23"/>
    </row>
    <row r="25" customFormat="false" ht="14.25" hidden="false" customHeight="false" outlineLevel="0" collapsed="false">
      <c r="B25" s="28" t="str">
        <f aca="false">VLOOKUP("Netherlands",T,lang,FALSE())</f>
        <v>Netherlands</v>
      </c>
      <c r="C25" s="30" t="n">
        <v>1658.66</v>
      </c>
      <c r="D25" s="10"/>
      <c r="F25" s="22" t="s">
        <v>2486</v>
      </c>
      <c r="G25" s="22" t="n">
        <v>7</v>
      </c>
      <c r="H25" s="22"/>
      <c r="I25" s="22" t="s">
        <v>1449</v>
      </c>
      <c r="J25" s="22"/>
      <c r="K25" s="23"/>
      <c r="L25" s="23"/>
    </row>
    <row r="26" customFormat="false" ht="14.25" hidden="false" customHeight="false" outlineLevel="0" collapsed="false">
      <c r="B26" s="28" t="str">
        <f aca="false">VLOOKUP("Denmark",T,lang,FALSE())</f>
        <v>Denmark</v>
      </c>
      <c r="C26" s="30" t="n">
        <v>1653.6</v>
      </c>
      <c r="D26" s="10"/>
      <c r="F26" s="22" t="s">
        <v>2487</v>
      </c>
      <c r="G26" s="22" t="n">
        <v>8</v>
      </c>
      <c r="H26" s="22"/>
      <c r="I26" s="22" t="s">
        <v>1093</v>
      </c>
      <c r="J26" s="22"/>
      <c r="K26" s="23"/>
      <c r="L26" s="23"/>
    </row>
    <row r="27" customFormat="false" ht="14.25" hidden="false" customHeight="false" outlineLevel="0" collapsed="false">
      <c r="B27" s="28" t="str">
        <f aca="false">VLOOKUP("Germany",T,lang,FALSE())</f>
        <v>Germany</v>
      </c>
      <c r="C27" s="30" t="n">
        <v>1650.53</v>
      </c>
      <c r="D27" s="10"/>
      <c r="F27" s="22" t="s">
        <v>2488</v>
      </c>
      <c r="G27" s="22" t="n">
        <v>9</v>
      </c>
      <c r="H27" s="22"/>
      <c r="I27" s="22" t="s">
        <v>1148</v>
      </c>
      <c r="J27" s="22"/>
      <c r="K27" s="23"/>
      <c r="L27" s="23"/>
    </row>
    <row r="28" customFormat="false" ht="14.25" hidden="false" customHeight="false" outlineLevel="0" collapsed="false">
      <c r="B28" s="28" t="str">
        <f aca="false">VLOOKUP("Uruguay",T,lang,FALSE())</f>
        <v>Uruguay</v>
      </c>
      <c r="C28" s="30" t="n">
        <v>1635.73</v>
      </c>
      <c r="D28" s="10"/>
      <c r="F28" s="22" t="s">
        <v>2489</v>
      </c>
      <c r="G28" s="22" t="n">
        <v>10</v>
      </c>
      <c r="H28" s="22"/>
      <c r="I28" s="22" t="s">
        <v>1384</v>
      </c>
      <c r="J28" s="22"/>
      <c r="K28" s="23"/>
      <c r="L28" s="23"/>
    </row>
    <row r="29" customFormat="false" ht="14.25" hidden="false" customHeight="false" outlineLevel="0" collapsed="false">
      <c r="B29" s="28" t="str">
        <f aca="false">VLOOKUP("Switzerland",T,lang,FALSE())</f>
        <v>Switzerland</v>
      </c>
      <c r="C29" s="30" t="n">
        <v>1635.32</v>
      </c>
      <c r="D29" s="10"/>
      <c r="F29" s="22" t="s">
        <v>2490</v>
      </c>
      <c r="G29" s="22" t="n">
        <v>11</v>
      </c>
      <c r="H29" s="22"/>
      <c r="I29" s="22" t="s">
        <v>1565</v>
      </c>
      <c r="J29" s="22"/>
      <c r="K29" s="23"/>
      <c r="L29" s="23"/>
    </row>
    <row r="30" customFormat="false" ht="14.25" hidden="false" customHeight="false" outlineLevel="0" collapsed="false">
      <c r="B30" s="28" t="str">
        <f aca="false">VLOOKUP("United States",T,lang,FALSE())</f>
        <v>United States</v>
      </c>
      <c r="C30" s="30" t="n">
        <v>1633.72</v>
      </c>
      <c r="D30" s="10"/>
      <c r="F30" s="22" t="s">
        <v>2491</v>
      </c>
      <c r="G30" s="22" t="n">
        <v>12</v>
      </c>
      <c r="H30" s="22"/>
      <c r="I30" s="22" t="s">
        <v>1883</v>
      </c>
      <c r="J30" s="22"/>
      <c r="K30" s="23"/>
      <c r="L30" s="23"/>
    </row>
    <row r="31" customFormat="false" ht="14.25" hidden="false" customHeight="false" outlineLevel="0" collapsed="false">
      <c r="B31" s="28" t="str">
        <f aca="false">VLOOKUP("Croatia",T,lang,FALSE())</f>
        <v>Croatia</v>
      </c>
      <c r="C31" s="30" t="n">
        <v>1621.11</v>
      </c>
      <c r="D31" s="10"/>
      <c r="F31" s="22" t="s">
        <v>2492</v>
      </c>
      <c r="G31" s="22" t="n">
        <v>13</v>
      </c>
      <c r="H31" s="22"/>
      <c r="I31" s="22" t="s">
        <v>1180</v>
      </c>
      <c r="J31" s="22"/>
      <c r="K31" s="23"/>
      <c r="L31" s="23"/>
    </row>
    <row r="32" customFormat="false" ht="14.25" hidden="false" customHeight="false" outlineLevel="0" collapsed="false">
      <c r="B32" s="28" t="str">
        <f aca="false">VLOOKUP("Senegal",T,lang,FALSE())</f>
        <v>Senegal</v>
      </c>
      <c r="C32" s="30" t="n">
        <v>1584.16</v>
      </c>
      <c r="D32" s="10"/>
      <c r="F32" s="22" t="s">
        <v>2469</v>
      </c>
      <c r="G32" s="22" t="n">
        <v>14</v>
      </c>
      <c r="H32" s="22"/>
      <c r="I32" s="22" t="s">
        <v>1604</v>
      </c>
      <c r="J32" s="22"/>
      <c r="K32" s="23"/>
      <c r="L32" s="23"/>
    </row>
    <row r="33" customFormat="false" ht="14.25" hidden="false" customHeight="false" outlineLevel="0" collapsed="false">
      <c r="B33" s="28" t="str">
        <f aca="false">VLOOKUP("Wales",T,lang,FALSE())</f>
        <v>Wales</v>
      </c>
      <c r="C33" s="30" t="n">
        <v>1582.13</v>
      </c>
      <c r="D33" s="10"/>
      <c r="F33" s="22" t="s">
        <v>2493</v>
      </c>
      <c r="G33" s="22" t="n">
        <v>15</v>
      </c>
      <c r="H33" s="22"/>
      <c r="I33" s="22" t="s">
        <v>1920</v>
      </c>
      <c r="J33" s="22"/>
      <c r="K33" s="23"/>
      <c r="L33" s="23"/>
    </row>
    <row r="34" customFormat="false" ht="14.25" hidden="false" customHeight="false" outlineLevel="0" collapsed="false">
      <c r="B34" s="28" t="str">
        <f aca="false">VLOOKUP("Iran",T,lang,FALSE())</f>
        <v>Iran</v>
      </c>
      <c r="C34" s="30" t="n">
        <v>1564</v>
      </c>
      <c r="D34" s="10"/>
      <c r="F34" s="22" t="s">
        <v>2494</v>
      </c>
      <c r="G34" s="22" t="n">
        <v>16</v>
      </c>
      <c r="H34" s="22"/>
      <c r="I34" s="22" t="s">
        <v>1323</v>
      </c>
      <c r="J34" s="22"/>
      <c r="K34" s="23"/>
      <c r="L34" s="23"/>
    </row>
    <row r="35" customFormat="false" ht="14.25" hidden="false" customHeight="false" outlineLevel="0" collapsed="false">
      <c r="B35" s="28" t="str">
        <f aca="false">VLOOKUP("Japan",T,lang,FALSE())</f>
        <v>Japan</v>
      </c>
      <c r="C35" s="30" t="n">
        <v>1553.44</v>
      </c>
      <c r="D35" s="10"/>
      <c r="F35" s="22" t="s">
        <v>2495</v>
      </c>
      <c r="G35" s="22" t="n">
        <v>17</v>
      </c>
      <c r="H35" s="22"/>
      <c r="I35" s="22" t="s">
        <v>1677</v>
      </c>
      <c r="J35" s="22"/>
      <c r="K35" s="23"/>
      <c r="L35" s="23"/>
    </row>
    <row r="36" customFormat="false" ht="14.25" hidden="false" customHeight="false" outlineLevel="0" collapsed="false">
      <c r="B36" s="28" t="str">
        <f aca="false">VLOOKUP("Morocco",T,lang,FALSE())</f>
        <v>Morocco</v>
      </c>
      <c r="C36" s="30" t="n">
        <v>1551.88</v>
      </c>
      <c r="D36" s="10"/>
      <c r="F36" s="22" t="s">
        <v>2496</v>
      </c>
      <c r="G36" s="22" t="n">
        <v>18</v>
      </c>
      <c r="H36" s="22"/>
      <c r="I36" s="22" t="s">
        <v>1113</v>
      </c>
      <c r="J36" s="22"/>
      <c r="K36" s="23"/>
      <c r="L36" s="23"/>
    </row>
    <row r="37" customFormat="false" ht="14.25" hidden="false" customHeight="false" outlineLevel="0" collapsed="false">
      <c r="B37" s="28" t="str">
        <f aca="false">VLOOKUP("Serbia",T,lang,FALSE())</f>
        <v>Serbia</v>
      </c>
      <c r="C37" s="30" t="n">
        <v>1547.53</v>
      </c>
      <c r="D37" s="10"/>
      <c r="F37" s="22" t="s">
        <v>2497</v>
      </c>
      <c r="G37" s="22" t="n">
        <v>19</v>
      </c>
      <c r="H37" s="22"/>
      <c r="I37" s="22" t="s">
        <v>1349</v>
      </c>
      <c r="J37" s="22"/>
      <c r="K37" s="23"/>
      <c r="L37" s="23"/>
    </row>
    <row r="38" customFormat="false" ht="14.25" hidden="false" customHeight="false" outlineLevel="0" collapsed="false">
      <c r="B38" s="28" t="str">
        <f aca="false">VLOOKUP("Poland",T,lang,FALSE())</f>
        <v>Poland</v>
      </c>
      <c r="C38" s="30" t="n">
        <v>1544</v>
      </c>
      <c r="D38" s="10"/>
      <c r="F38" s="22" t="s">
        <v>2498</v>
      </c>
      <c r="G38" s="22" t="n">
        <v>20</v>
      </c>
      <c r="H38" s="22"/>
      <c r="I38" s="22" t="s">
        <v>1858</v>
      </c>
      <c r="J38" s="22"/>
      <c r="K38" s="23"/>
      <c r="L38" s="23"/>
    </row>
    <row r="39" customFormat="false" ht="14.25" hidden="false" customHeight="false" outlineLevel="0" collapsed="false">
      <c r="B39" s="28" t="str">
        <f aca="false">VLOOKUP("Korea Republic",T,lang,FALSE())</f>
        <v>Korea Republic</v>
      </c>
      <c r="C39" s="30" t="n">
        <v>1519.54</v>
      </c>
      <c r="D39" s="10"/>
      <c r="F39" s="22" t="s">
        <v>2499</v>
      </c>
      <c r="G39" s="22" t="n">
        <v>21</v>
      </c>
      <c r="H39" s="22"/>
      <c r="I39" s="22" t="s">
        <v>1077</v>
      </c>
      <c r="J39" s="22"/>
      <c r="K39" s="23"/>
      <c r="L39" s="23"/>
    </row>
    <row r="40" customFormat="false" ht="14.25" hidden="false" customHeight="false" outlineLevel="0" collapsed="false">
      <c r="B40" s="28" t="str">
        <f aca="false">VLOOKUP("Costa Rica",T,lang,FALSE())</f>
        <v>Costa Rica</v>
      </c>
      <c r="C40" s="30" t="n">
        <v>1500.06</v>
      </c>
      <c r="D40" s="10"/>
      <c r="F40" s="22" t="s">
        <v>2500</v>
      </c>
      <c r="G40" s="22" t="n">
        <v>22</v>
      </c>
      <c r="H40" s="22"/>
      <c r="I40" s="22" t="s">
        <v>1285</v>
      </c>
      <c r="J40" s="22"/>
      <c r="K40" s="23"/>
      <c r="L40" s="23"/>
    </row>
    <row r="41" customFormat="false" ht="14.25" hidden="false" customHeight="false" outlineLevel="0" collapsed="false">
      <c r="B41" s="28" t="str">
        <f aca="false">VLOOKUP("Tunisia",T,lang,FALSE())</f>
        <v>Tunisia</v>
      </c>
      <c r="C41" s="30" t="n">
        <v>1499.8</v>
      </c>
      <c r="D41" s="10"/>
      <c r="F41" s="22" t="s">
        <v>2501</v>
      </c>
      <c r="G41" s="22" t="n">
        <v>23</v>
      </c>
      <c r="H41" s="22"/>
      <c r="I41" s="22" t="s">
        <v>1058</v>
      </c>
      <c r="J41" s="22"/>
      <c r="K41" s="23"/>
      <c r="L41" s="23"/>
    </row>
    <row r="42" customFormat="false" ht="14.25" hidden="false" customHeight="false" outlineLevel="0" collapsed="false">
      <c r="B42" s="28" t="str">
        <f aca="false">VLOOKUP("Australia",T,lang,FALSE())</f>
        <v>Australia</v>
      </c>
      <c r="C42" s="30" t="n">
        <v>1483.73</v>
      </c>
      <c r="D42" s="10"/>
      <c r="F42" s="22"/>
      <c r="G42" s="22"/>
      <c r="H42" s="22"/>
      <c r="I42" s="22" t="s">
        <v>1770</v>
      </c>
      <c r="J42" s="22"/>
      <c r="K42" s="23"/>
      <c r="L42" s="23"/>
    </row>
    <row r="43" customFormat="false" ht="14.25" hidden="false" customHeight="false" outlineLevel="0" collapsed="false">
      <c r="B43" s="28" t="str">
        <f aca="false">VLOOKUP("Cameroon",T,lang,FALSE())</f>
        <v>Cameroon</v>
      </c>
      <c r="C43" s="30" t="n">
        <v>1480.48</v>
      </c>
      <c r="D43" s="10"/>
      <c r="F43" s="22" t="s">
        <v>2475</v>
      </c>
      <c r="G43" s="22" t="n">
        <v>0</v>
      </c>
      <c r="H43" s="22"/>
      <c r="I43" s="22" t="s">
        <v>1508</v>
      </c>
      <c r="J43" s="22"/>
      <c r="K43" s="23"/>
      <c r="L43" s="23"/>
    </row>
    <row r="44" customFormat="false" ht="14.25" hidden="false" customHeight="false" outlineLevel="0" collapsed="false">
      <c r="B44" s="28" t="str">
        <f aca="false">VLOOKUP("Canada",T,lang,FALSE())</f>
        <v>Canada</v>
      </c>
      <c r="C44" s="30" t="n">
        <v>1479</v>
      </c>
      <c r="D44" s="10"/>
      <c r="F44" s="22" t="s">
        <v>2502</v>
      </c>
      <c r="G44" s="22" t="n">
        <v>15</v>
      </c>
      <c r="H44" s="22"/>
      <c r="I44" s="22" t="s">
        <v>1798</v>
      </c>
      <c r="J44" s="22"/>
      <c r="K44" s="23"/>
      <c r="L44" s="23"/>
    </row>
    <row r="45" customFormat="false" ht="14.25" hidden="false" customHeight="false" outlineLevel="0" collapsed="false">
      <c r="B45" s="28" t="str">
        <f aca="false">VLOOKUP("Ecuador",T,lang,FALSE())</f>
        <v>Ecuador</v>
      </c>
      <c r="C45" s="30" t="n">
        <v>1453</v>
      </c>
      <c r="D45" s="10"/>
      <c r="F45" s="22" t="s">
        <v>2503</v>
      </c>
      <c r="G45" s="22" t="n">
        <v>30</v>
      </c>
      <c r="H45" s="22"/>
      <c r="I45" s="22" t="s">
        <v>1479</v>
      </c>
      <c r="J45" s="22"/>
      <c r="K45" s="23"/>
      <c r="L45" s="23"/>
    </row>
    <row r="46" customFormat="false" ht="14.25" hidden="false" customHeight="false" outlineLevel="0" collapsed="false">
      <c r="B46" s="28" t="str">
        <f aca="false">VLOOKUP("Saudi Arabia",T,lang,FALSE())</f>
        <v>Saudi Arabia</v>
      </c>
      <c r="C46" s="30" t="n">
        <v>1445</v>
      </c>
      <c r="D46" s="10"/>
      <c r="F46" s="22" t="s">
        <v>2504</v>
      </c>
      <c r="G46" s="22" t="n">
        <v>45</v>
      </c>
      <c r="H46" s="22"/>
      <c r="I46" s="22" t="s">
        <v>1198</v>
      </c>
      <c r="J46" s="22"/>
      <c r="K46" s="23"/>
      <c r="L46" s="23"/>
    </row>
    <row r="47" customFormat="false" ht="14.25" hidden="false" customHeight="false" outlineLevel="0" collapsed="false">
      <c r="B47" s="28" t="str">
        <f aca="false">VLOOKUP("Qatar",T,lang,FALSE())</f>
        <v>Qatar</v>
      </c>
      <c r="C47" s="30" t="n">
        <v>1441</v>
      </c>
      <c r="D47" s="10"/>
      <c r="F47" s="22"/>
      <c r="G47" s="22"/>
      <c r="H47" s="22"/>
      <c r="I47" s="22" t="s">
        <v>1900</v>
      </c>
      <c r="J47" s="22"/>
      <c r="K47" s="23"/>
      <c r="L47" s="23"/>
    </row>
    <row r="48" customFormat="false" ht="14.25" hidden="false" customHeight="false" outlineLevel="0" collapsed="false">
      <c r="B48" s="28" t="str">
        <f aca="false">VLOOKUP("Ghana",T,lang,FALSE())</f>
        <v>Ghana</v>
      </c>
      <c r="C48" s="31" t="n">
        <v>1387.36</v>
      </c>
      <c r="D48" s="10"/>
      <c r="F48" s="22" t="s">
        <v>2505</v>
      </c>
      <c r="G48" s="22" t="n">
        <f aca="false">IF(G4="Type 2",0,1)</f>
        <v>1</v>
      </c>
      <c r="H48" s="22"/>
      <c r="I48" s="22" t="s">
        <v>1237</v>
      </c>
      <c r="J48" s="22"/>
      <c r="K48" s="23"/>
      <c r="L48" s="23"/>
    </row>
    <row r="49" customFormat="false" ht="14.25" hidden="false" customHeight="false" outlineLevel="0" collapsed="false">
      <c r="B49" s="19"/>
      <c r="C49" s="20"/>
      <c r="D49" s="21"/>
      <c r="F49" s="22"/>
      <c r="G49" s="22"/>
      <c r="H49" s="22"/>
      <c r="I49" s="22"/>
      <c r="J49" s="22"/>
      <c r="K49" s="23"/>
      <c r="L49" s="23"/>
    </row>
  </sheetData>
  <sheetProtection algorithmName="SHA-512" hashValue="9MoiQIOTk22C+T+Cvg5miOecEKb11rJnquT4r5rL7VEDW6xpcJFqN/LVikWHTGARcL+6pezbKIWLhPU/ylSazg==" saltValue="jh275ZyopeeC3yzkhnZC8Q==" spinCount="100000" sheet="true" objects="true" scenarios="true"/>
  <dataValidations count="5">
    <dataValidation allowBlank="true" errorStyle="stop" operator="between" prompt="Use drop-down List" promptTitle="Select Language" showDropDown="false" showErrorMessage="true" showInputMessage="true" sqref="C4" type="list">
      <formula1>lang_list</formula1>
      <formula2>0</formula2>
    </dataValidation>
    <dataValidation allowBlank="true" errorStyle="stop" operator="between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errorStyle="stop" operator="between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errorStyle="stop" operator="between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errorStyle="stop" operator="between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X97"/>
  <sheetViews>
    <sheetView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U28" activeCellId="0" sqref="BU28"/>
    </sheetView>
  </sheetViews>
  <sheetFormatPr defaultColWidth="9.18359375" defaultRowHeight="14.25" zeroHeight="false" outlineLevelRow="0" outlineLevelCol="0"/>
  <cols>
    <col collapsed="false" customWidth="true" hidden="false" outlineLevel="0" max="1" min="1" style="32" width="4.82"/>
    <col collapsed="false" customWidth="true" hidden="false" outlineLevel="0" max="2" min="2" style="32" width="6.18"/>
    <col collapsed="false" customWidth="true" hidden="false" outlineLevel="0" max="3" min="3" style="32" width="11.73"/>
    <col collapsed="false" customWidth="true" hidden="false" outlineLevel="0" max="4" min="4" style="33" width="7.27"/>
    <col collapsed="false" customWidth="true" hidden="false" outlineLevel="0" max="5" min="5" style="34" width="22.54"/>
    <col collapsed="false" customWidth="true" hidden="false" outlineLevel="0" max="7" min="6" style="35" width="4.27"/>
    <col collapsed="false" customWidth="true" hidden="false" outlineLevel="0" max="8" min="8" style="36" width="22.54"/>
    <col collapsed="false" customWidth="true" hidden="false" outlineLevel="0" max="9" min="9" style="37" width="3.45"/>
    <col collapsed="false" customWidth="true" hidden="false" outlineLevel="0" max="10" min="10" style="38" width="14"/>
    <col collapsed="false" customWidth="true" hidden="false" outlineLevel="0" max="14" min="11" style="39" width="5.45"/>
    <col collapsed="false" customWidth="true" hidden="false" outlineLevel="0" max="15" min="15" style="39" width="7.73"/>
    <col collapsed="false" customWidth="true" hidden="false" outlineLevel="0" max="16" min="16" style="39" width="6.73"/>
    <col collapsed="false" customWidth="true" hidden="false" outlineLevel="0" max="17" min="17" style="40" width="3.45"/>
    <col collapsed="false" customWidth="true" hidden="true" outlineLevel="0" max="18" min="18" style="41" width="15.45"/>
    <col collapsed="false" customWidth="true" hidden="true" outlineLevel="0" max="20" min="19" style="42" width="16"/>
    <col collapsed="false" customWidth="true" hidden="true" outlineLevel="0" max="21" min="21" style="43" width="5"/>
    <col collapsed="false" customWidth="true" hidden="true" outlineLevel="0" max="25" min="22" style="41" width="6.18"/>
    <col collapsed="false" customWidth="true" hidden="true" outlineLevel="0" max="26" min="26" style="43" width="4.27"/>
    <col collapsed="false" customWidth="true" hidden="true" outlineLevel="0" max="27" min="27" style="41" width="5.45"/>
    <col collapsed="false" customWidth="true" hidden="true" outlineLevel="0" max="28" min="28" style="43" width="13.45"/>
    <col collapsed="false" customWidth="true" hidden="true" outlineLevel="0" max="33" min="29" style="41" width="5.45"/>
    <col collapsed="false" customWidth="true" hidden="true" outlineLevel="0" max="36" min="34" style="41" width="6"/>
    <col collapsed="false" customWidth="true" hidden="true" outlineLevel="0" max="37" min="37" style="41" width="5.45"/>
    <col collapsed="false" customWidth="true" hidden="true" outlineLevel="0" max="38" min="38" style="41" width="6"/>
    <col collapsed="false" customWidth="true" hidden="true" outlineLevel="0" max="39" min="39" style="43" width="7.18"/>
    <col collapsed="false" customWidth="true" hidden="true" outlineLevel="0" max="40" min="40" style="43" width="10"/>
    <col collapsed="false" customWidth="true" hidden="true" outlineLevel="0" max="41" min="41" style="43" width="15.27"/>
    <col collapsed="false" customWidth="true" hidden="true" outlineLevel="0" max="46" min="42" style="41" width="4.73"/>
    <col collapsed="false" customWidth="false" hidden="true" outlineLevel="0" max="49" min="47" style="43" width="9.18"/>
    <col collapsed="false" customWidth="false" hidden="true" outlineLevel="0" max="50" min="50" style="44" width="9.18"/>
    <col collapsed="false" customWidth="true" hidden="false" outlineLevel="0" max="51" min="51" style="37" width="3.27"/>
    <col collapsed="false" customWidth="true" hidden="false" outlineLevel="0" max="52" min="52" style="37" width="19.73"/>
    <col collapsed="false" customWidth="true" hidden="false" outlineLevel="0" max="55" min="53" style="37" width="3"/>
    <col collapsed="false" customWidth="true" hidden="false" outlineLevel="0" max="57" min="56" style="37" width="2"/>
    <col collapsed="false" customWidth="true" hidden="false" outlineLevel="0" max="58" min="58" style="37" width="3.27"/>
    <col collapsed="false" customWidth="true" hidden="false" outlineLevel="0" max="59" min="59" style="37" width="19.73"/>
    <col collapsed="false" customWidth="true" hidden="false" outlineLevel="0" max="62" min="60" style="37" width="3"/>
    <col collapsed="false" customWidth="true" hidden="false" outlineLevel="0" max="64" min="63" style="37" width="2"/>
    <col collapsed="false" customWidth="true" hidden="false" outlineLevel="0" max="65" min="65" style="37" width="3.27"/>
    <col collapsed="false" customWidth="true" hidden="false" outlineLevel="0" max="66" min="66" style="37" width="19.73"/>
    <col collapsed="false" customWidth="true" hidden="false" outlineLevel="0" max="69" min="67" style="37" width="3"/>
    <col collapsed="false" customWidth="true" hidden="false" outlineLevel="0" max="71" min="70" style="37" width="2"/>
    <col collapsed="false" customWidth="true" hidden="false" outlineLevel="0" max="72" min="72" style="37" width="3.27"/>
    <col collapsed="false" customWidth="true" hidden="false" outlineLevel="0" max="73" min="73" style="37" width="19.73"/>
    <col collapsed="false" customWidth="true" hidden="false" outlineLevel="0" max="76" min="74" style="37" width="3"/>
    <col collapsed="false" customWidth="false" hidden="false" outlineLevel="0" max="16384" min="77" style="37" width="9.18"/>
  </cols>
  <sheetData>
    <row r="1" customFormat="false" ht="45.75" hidden="false" customHeight="false" outlineLevel="0" collapsed="false">
      <c r="A1" s="45" t="str">
        <f aca="false">INDEX(T,2,lang)</f>
        <v>2022 World Cup Final Tournament Schedule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S1" s="41"/>
      <c r="T1" s="41"/>
      <c r="U1" s="41"/>
      <c r="Z1" s="41"/>
      <c r="AB1" s="41"/>
      <c r="AD1" s="43"/>
      <c r="AE1" s="43"/>
      <c r="AF1" s="43"/>
      <c r="AL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1"/>
      <c r="T2" s="41"/>
      <c r="U2" s="41"/>
      <c r="Z2" s="41"/>
      <c r="AB2" s="41"/>
      <c r="AD2" s="43"/>
      <c r="AE2" s="43"/>
      <c r="AF2" s="43"/>
      <c r="AL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6" t="str">
        <f aca="false">"Language: " &amp; Settings!C4</f>
        <v>Language: English</v>
      </c>
      <c r="P3" s="46"/>
      <c r="S3" s="41"/>
      <c r="T3" s="41"/>
      <c r="U3" s="41"/>
      <c r="Z3" s="41"/>
      <c r="AB3" s="41"/>
      <c r="AD3" s="43"/>
      <c r="AE3" s="43"/>
      <c r="AF3" s="43"/>
      <c r="AL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7" t="str">
        <f aca="false">INDEX(T,3,lang)</f>
        <v>Group Stage</v>
      </c>
      <c r="B5" s="47"/>
      <c r="C5" s="47"/>
      <c r="D5" s="47"/>
      <c r="E5" s="47"/>
      <c r="F5" s="47"/>
      <c r="G5" s="47"/>
      <c r="H5" s="47"/>
      <c r="J5" s="48" t="s">
        <v>2506</v>
      </c>
      <c r="K5" s="48"/>
      <c r="L5" s="48"/>
      <c r="M5" s="48"/>
      <c r="N5" s="48"/>
      <c r="O5" s="48"/>
      <c r="P5" s="48"/>
    </row>
    <row r="6" customFormat="false" ht="15" hidden="false" customHeight="true" outlineLevel="0" collapsed="false">
      <c r="A6" s="47"/>
      <c r="B6" s="47"/>
      <c r="C6" s="47"/>
      <c r="D6" s="47"/>
      <c r="E6" s="47"/>
      <c r="F6" s="47"/>
      <c r="G6" s="47"/>
      <c r="H6" s="47"/>
      <c r="J6" s="48"/>
      <c r="K6" s="48"/>
      <c r="L6" s="48"/>
      <c r="M6" s="48"/>
      <c r="N6" s="48"/>
      <c r="O6" s="48"/>
      <c r="P6" s="48"/>
      <c r="R6" s="41" t="s">
        <v>2507</v>
      </c>
      <c r="V6" s="41" t="s">
        <v>2508</v>
      </c>
      <c r="W6" s="41" t="s">
        <v>2509</v>
      </c>
      <c r="AA6" s="41" t="s">
        <v>2510</v>
      </c>
      <c r="AB6" s="41" t="s">
        <v>1024</v>
      </c>
      <c r="AC6" s="41" t="s">
        <v>370</v>
      </c>
      <c r="AD6" s="41" t="s">
        <v>406</v>
      </c>
      <c r="AE6" s="41" t="s">
        <v>342</v>
      </c>
      <c r="AF6" s="41" t="s">
        <v>2508</v>
      </c>
      <c r="AG6" s="41" t="s">
        <v>2509</v>
      </c>
      <c r="AH6" s="41" t="s">
        <v>2511</v>
      </c>
      <c r="AI6" s="41" t="s">
        <v>2511</v>
      </c>
      <c r="AK6" s="41" t="s">
        <v>2512</v>
      </c>
      <c r="AL6" s="41" t="s">
        <v>386</v>
      </c>
      <c r="AM6" s="41" t="s">
        <v>2513</v>
      </c>
      <c r="AN6" s="41" t="s">
        <v>2514</v>
      </c>
      <c r="AP6" s="41" t="s">
        <v>370</v>
      </c>
      <c r="AQ6" s="41" t="s">
        <v>406</v>
      </c>
      <c r="AR6" s="41" t="s">
        <v>2508</v>
      </c>
      <c r="AS6" s="41" t="s">
        <v>2509</v>
      </c>
      <c r="AT6" s="41" t="s">
        <v>2515</v>
      </c>
      <c r="AY6" s="49" t="str">
        <f aca="false">INDEX(T,4,lang)</f>
        <v>Round of 16</v>
      </c>
      <c r="AZ6" s="49"/>
      <c r="BA6" s="49"/>
      <c r="BB6" s="49"/>
      <c r="BC6" s="49"/>
      <c r="BF6" s="49" t="str">
        <f aca="false">INDEX(T,5,lang)</f>
        <v>Quarterfinals</v>
      </c>
      <c r="BG6" s="49"/>
      <c r="BH6" s="49"/>
      <c r="BI6" s="49"/>
      <c r="BJ6" s="49"/>
      <c r="BM6" s="49" t="str">
        <f aca="false">INDEX(T,6,lang)</f>
        <v>Semi-Finals</v>
      </c>
      <c r="BN6" s="49"/>
      <c r="BO6" s="49"/>
      <c r="BP6" s="49"/>
      <c r="BQ6" s="49"/>
      <c r="BT6" s="49" t="str">
        <f aca="false">INDEX(T,8,lang)</f>
        <v>Final</v>
      </c>
      <c r="BU6" s="49"/>
      <c r="BV6" s="49"/>
      <c r="BW6" s="49"/>
      <c r="BX6" s="49"/>
    </row>
    <row r="7" customFormat="false" ht="15" hidden="false" customHeight="true" outlineLevel="0" collapsed="false">
      <c r="A7" s="50" t="n">
        <v>1</v>
      </c>
      <c r="B7" s="51" t="str">
        <f aca="false">INDEX(T,18+INT(MOD(R7-1,7)),lang)</f>
        <v>Sun</v>
      </c>
      <c r="C7" s="52" t="str">
        <f aca="false">INDEX(T,24+MONTH(R7),lang) &amp; " " &amp; DAY(R7) &amp; ", " &amp; YEAR(R7)</f>
        <v>Nov 20, 2022</v>
      </c>
      <c r="D7" s="53" t="n">
        <f aca="false">TIME(HOUR(R7),MINUTE(R7),0)</f>
        <v>0.791666666666667</v>
      </c>
      <c r="E7" s="54" t="str">
        <f aca="false">AB9</f>
        <v>Qatar</v>
      </c>
      <c r="F7" s="55" t="n">
        <v>0</v>
      </c>
      <c r="G7" s="56" t="n">
        <v>2</v>
      </c>
      <c r="H7" s="57" t="str">
        <f aca="false">AB10</f>
        <v>Ecuador</v>
      </c>
      <c r="R7" s="41" t="n">
        <f aca="false">DATE(2022,11,20)+TIME(5,0,0)+gmt_delta</f>
        <v>44885.7916666667</v>
      </c>
      <c r="S7" s="42" t="str">
        <f aca="false">IF(OR(F7="",G7=""),"",IF(F7&gt;G7,E7&amp;"_win",IF(F7&lt;G7,E7&amp;"_lose",E7&amp;"_draw")))</f>
        <v>Qatar_lose</v>
      </c>
      <c r="T7" s="42" t="str">
        <f aca="false">IF(S7="","",IF(F7&lt;G7,H7&amp;"_win",IF(F7&gt;G7,H7&amp;"_lose",H7&amp;"_draw")))</f>
        <v>Ecuador_win</v>
      </c>
      <c r="U7" s="43" t="n">
        <f aca="false">IF(S7="",0,IF(VLOOKUP(E7,$AB$8:$AK$53,7,FALSE())=VLOOKUP(H7,$AB$8:$AK$53,7,FALSE()),1,0))</f>
        <v>0</v>
      </c>
      <c r="V7" s="41" t="n">
        <f aca="false">U7*F7</f>
        <v>0</v>
      </c>
      <c r="W7" s="41" t="n">
        <f aca="false">U7*G7</f>
        <v>0</v>
      </c>
      <c r="X7" s="41" t="n">
        <f aca="false">IF(OR(E7=my_team,H7=my_team),1,0)</f>
        <v>0</v>
      </c>
      <c r="Y7" s="41" t="n">
        <f aca="false">IF(OR(F7="",G7=""),"",IF(F7&gt;G7,1,IF(F7&lt;G7,-1,0)))</f>
        <v>-1</v>
      </c>
      <c r="AY7" s="49"/>
      <c r="AZ7" s="49"/>
      <c r="BA7" s="49"/>
      <c r="BB7" s="49"/>
      <c r="BC7" s="49"/>
      <c r="BF7" s="49"/>
      <c r="BG7" s="49"/>
      <c r="BH7" s="49"/>
      <c r="BI7" s="49"/>
      <c r="BJ7" s="49"/>
      <c r="BM7" s="49"/>
      <c r="BN7" s="49"/>
      <c r="BO7" s="49"/>
      <c r="BP7" s="49"/>
      <c r="BQ7" s="49"/>
      <c r="BT7" s="49"/>
      <c r="BU7" s="49"/>
      <c r="BV7" s="49"/>
      <c r="BW7" s="49"/>
      <c r="BX7" s="49"/>
    </row>
    <row r="8" customFormat="false" ht="15" hidden="false" customHeight="true" outlineLevel="0" collapsed="false">
      <c r="A8" s="58" t="n">
        <v>2</v>
      </c>
      <c r="B8" s="59" t="str">
        <f aca="false">INDEX(T,18+INT(MOD(R8-1,7)),lang)</f>
        <v>Mon</v>
      </c>
      <c r="C8" s="60" t="str">
        <f aca="false">INDEX(T,24+MONTH(R8),lang) &amp; " " &amp; DAY(R8) &amp; ", " &amp; YEAR(R8)</f>
        <v>Nov 21, 2022</v>
      </c>
      <c r="D8" s="61" t="n">
        <f aca="false">TIME(HOUR(R8),MINUTE(R8),0)</f>
        <v>0.791666666666667</v>
      </c>
      <c r="E8" s="62" t="str">
        <f aca="false">AB8</f>
        <v>Senegal</v>
      </c>
      <c r="F8" s="63" t="n">
        <v>1</v>
      </c>
      <c r="G8" s="64" t="n">
        <v>2</v>
      </c>
      <c r="H8" s="65" t="str">
        <f aca="false">AB11</f>
        <v>Netherlands</v>
      </c>
      <c r="J8" s="66" t="str">
        <f aca="false">INDEX(T,9,lang) &amp; " " &amp; "A"</f>
        <v>Group A</v>
      </c>
      <c r="K8" s="67" t="str">
        <f aca="false">INDEX(T,10,lang)</f>
        <v>PL</v>
      </c>
      <c r="L8" s="67" t="str">
        <f aca="false">INDEX(T,11,lang)</f>
        <v>W</v>
      </c>
      <c r="M8" s="67" t="str">
        <f aca="false">INDEX(T,12,lang)</f>
        <v>DRAW</v>
      </c>
      <c r="N8" s="67" t="str">
        <f aca="false">INDEX(T,13,lang)</f>
        <v>L</v>
      </c>
      <c r="O8" s="67" t="str">
        <f aca="false">INDEX(T,14,lang)</f>
        <v>GF - GA</v>
      </c>
      <c r="P8" s="68" t="str">
        <f aca="false">INDEX(T,15,lang)</f>
        <v>PNT</v>
      </c>
      <c r="R8" s="41" t="n">
        <f aca="false">DATE(2022,11,21)+TIME(5,0,0)+gmt_delta</f>
        <v>44886.7916666667</v>
      </c>
      <c r="S8" s="42" t="str">
        <f aca="false">IF(OR(F8="",G8=""),"",IF(F8&gt;G8,E8&amp;"_win",IF(F8&lt;G8,E8&amp;"_lose",E8&amp;"_draw")))</f>
        <v>Senegal_lose</v>
      </c>
      <c r="T8" s="42" t="str">
        <f aca="false">IF(S8="","",IF(F8&lt;G8,H8&amp;"_win",IF(F8&gt;G8,H8&amp;"_lose",H8&amp;"_draw")))</f>
        <v>Netherlands_win</v>
      </c>
      <c r="U8" s="43" t="n">
        <f aca="false">IF(S8="",0,IF(VLOOKUP(E8,$AB$8:$AK$53,7,FALSE())=VLOOKUP(H8,$AB$8:$AK$53,7,FALSE()),1,0))</f>
        <v>0</v>
      </c>
      <c r="V8" s="41" t="n">
        <f aca="false">U8*F8</f>
        <v>0</v>
      </c>
      <c r="W8" s="41" t="n">
        <f aca="false">U8*G8</f>
        <v>0</v>
      </c>
      <c r="X8" s="41" t="n">
        <f aca="false">IF(OR(E8=my_team,H8=my_team),1,0)</f>
        <v>0</v>
      </c>
      <c r="Y8" s="41" t="n">
        <f aca="false">IF(OR(F8="",G8=""),"",IF(F8&gt;G8,1,IF(F8&lt;G8,-1,0)))</f>
        <v>-1</v>
      </c>
      <c r="AA8" s="41" t="n">
        <f aca="false">COUNTIF(AN8:AN11,CONCATENATE("&gt;=",AN8))</f>
        <v>3</v>
      </c>
      <c r="AB8" s="43" t="str">
        <f aca="false">VLOOKUP("Senegal",T,lang,FALSE())</f>
        <v>Senegal</v>
      </c>
      <c r="AC8" s="41" t="n">
        <f aca="false">COUNTIF($S$7:$T$54,"=" &amp; AB8 &amp; "_win")</f>
        <v>1</v>
      </c>
      <c r="AD8" s="41" t="n">
        <f aca="false">COUNTIF($S$7:$T$54,"=" &amp; AB8 &amp; "_draw")</f>
        <v>0</v>
      </c>
      <c r="AE8" s="41" t="n">
        <f aca="false">COUNTIF($S$7:$T$54,"=" &amp; AB8 &amp; "_lose")</f>
        <v>2</v>
      </c>
      <c r="AF8" s="41" t="n">
        <f aca="false">SUMIF($E$7:$E$54,$AB8,$F$7:$F$54) + SUMIF($H$7:$H$54,$AB8,$G$7:$G$54)</f>
        <v>4</v>
      </c>
      <c r="AG8" s="41" t="n">
        <f aca="false">SUMIF($E$7:$E$54,$AB8,$G$7:$G$54) + SUMIF($H$7:$H$54,$AB8,$F$7:$F$54)</f>
        <v>4</v>
      </c>
      <c r="AH8" s="41" t="n">
        <f aca="false">(AF8-AG8)*100+AK8*10000+AF8</f>
        <v>30004</v>
      </c>
      <c r="AI8" s="41" t="n">
        <f aca="false">AF8-AG8</f>
        <v>0</v>
      </c>
      <c r="AJ8" s="41" t="n">
        <f aca="false">(AI8-AI13)/AI12</f>
        <v>0.545454545454545</v>
      </c>
      <c r="AK8" s="41" t="n">
        <f aca="false">AC8*3+AD8</f>
        <v>3</v>
      </c>
      <c r="AL8" s="41" t="n">
        <f aca="false">AP8/AP12*1000+AQ8/AQ12*100+AT8/AT12*10+AR8/AR12</f>
        <v>0</v>
      </c>
      <c r="AM8" s="41" t="n">
        <f aca="false">VLOOKUP(AB8,db_fifarank,2,FALSE())/2000000</f>
        <v>0.00079208</v>
      </c>
      <c r="AN8" s="43" t="n">
        <f aca="false">1000*AK8/AK12+100*AJ8+10*AF8/AF12+1*AL8/AL12+AM8</f>
        <v>360.26053233974</v>
      </c>
      <c r="AO8" s="43" t="str">
        <f aca="false">IF(SUM(AC8:AE11)=12,J9,INDEX(T,70,lang))</f>
        <v>Netherlands</v>
      </c>
      <c r="AP8" s="41" t="n">
        <f aca="false">SUMPRODUCT(($S$7:$S$54=AB8&amp;"_win")*($U$7:$U$54))+SUMPRODUCT(($T$7:$T$54=AB8&amp;"_win")*($U$7:$U$54))</f>
        <v>0</v>
      </c>
      <c r="AQ8" s="41" t="n">
        <f aca="false">SUMPRODUCT(($S$7:$S$54=AB8&amp;"_draw")*($U$7:$U$54))+SUMPRODUCT(($T$7:$T$54=AB8&amp;"_draw")*($U$7:$U$54))</f>
        <v>0</v>
      </c>
      <c r="AR8" s="41" t="n">
        <f aca="false">SUMPRODUCT(($E$7:$E$54=AB8)*($U$7:$U$54)*($F$7:$F$54))+SUMPRODUCT(($H$7:$H$54=AB8)*($U$7:$U$54)*($G$7:$G$54))</f>
        <v>0</v>
      </c>
      <c r="AS8" s="41" t="n">
        <f aca="false">SUMPRODUCT(($E$7:$E$54=AB8)*($U$7:$U$54)*($G$7:$G$54))+SUMPRODUCT(($H$7:$H$54=AB8)*($U$7:$U$54)*($F$7:$F$54))</f>
        <v>0</v>
      </c>
      <c r="AT8" s="41" t="n">
        <f aca="false">AR8-AS8</f>
        <v>0</v>
      </c>
      <c r="BG8" s="69"/>
      <c r="BH8" s="69"/>
      <c r="BI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</row>
    <row r="9" customFormat="false" ht="15" hidden="false" customHeight="true" outlineLevel="0" collapsed="false">
      <c r="A9" s="58" t="n">
        <v>3</v>
      </c>
      <c r="B9" s="59" t="str">
        <f aca="false">INDEX(T,18+INT(MOD(R9-1,7)),lang)</f>
        <v>Mon</v>
      </c>
      <c r="C9" s="60" t="str">
        <f aca="false">INDEX(T,24+MONTH(R9),lang) &amp; " " &amp; DAY(R9) &amp; ", " &amp; YEAR(R9)</f>
        <v>Nov 21, 2022</v>
      </c>
      <c r="D9" s="61" t="n">
        <f aca="false">TIME(HOUR(R9),MINUTE(R9),0)</f>
        <v>0.666666666666667</v>
      </c>
      <c r="E9" s="62" t="str">
        <f aca="false">AB14</f>
        <v>England</v>
      </c>
      <c r="F9" s="63" t="n">
        <v>2</v>
      </c>
      <c r="G9" s="64" t="n">
        <v>0</v>
      </c>
      <c r="H9" s="65" t="str">
        <f aca="false">AB15</f>
        <v>Iran</v>
      </c>
      <c r="J9" s="70" t="str">
        <f aca="false">VLOOKUP(1,AA8:AK11,2,FALSE())</f>
        <v>Netherlands</v>
      </c>
      <c r="K9" s="71" t="n">
        <f aca="false">L9+M9+N9</f>
        <v>3</v>
      </c>
      <c r="L9" s="71" t="n">
        <f aca="false">VLOOKUP(1,AA8:AK11,3,FALSE())</f>
        <v>3</v>
      </c>
      <c r="M9" s="71" t="n">
        <f aca="false">VLOOKUP(1,AA8:AK11,4,FALSE())</f>
        <v>0</v>
      </c>
      <c r="N9" s="71" t="n">
        <f aca="false">VLOOKUP(1,AA8:AK11,5,FALSE())</f>
        <v>0</v>
      </c>
      <c r="O9" s="71" t="str">
        <f aca="false">VLOOKUP(1,AA8:AK11,6,FALSE()) &amp; " - " &amp; VLOOKUP(1,AA8:AK11,7,FALSE())</f>
        <v>6 - 2</v>
      </c>
      <c r="P9" s="72" t="n">
        <f aca="false">L9*3+M9</f>
        <v>9</v>
      </c>
      <c r="R9" s="41" t="n">
        <f aca="false">DATE(2022,11,21)+TIME(2,0,0)+gmt_delta</f>
        <v>44886.6666666667</v>
      </c>
      <c r="S9" s="42" t="str">
        <f aca="false">IF(OR(F9="",G9=""),"",IF(F9&gt;G9,E9&amp;"_win",IF(F9&lt;G9,E9&amp;"_lose",E9&amp;"_draw")))</f>
        <v>England_win</v>
      </c>
      <c r="T9" s="42" t="str">
        <f aca="false">IF(S9="","",IF(F9&lt;G9,H9&amp;"_win",IF(F9&gt;G9,H9&amp;"_lose",H9&amp;"_draw")))</f>
        <v>Iran_lose</v>
      </c>
      <c r="U9" s="43" t="n">
        <f aca="false">IF(S9="",0,IF(VLOOKUP(E9,$AB$8:$AK$53,7,FALSE())=VLOOKUP(H9,$AB$8:$AK$53,7,FALSE()),1,0))</f>
        <v>0</v>
      </c>
      <c r="V9" s="41" t="n">
        <f aca="false">U9*F9</f>
        <v>0</v>
      </c>
      <c r="W9" s="41" t="n">
        <f aca="false">U9*G9</f>
        <v>0</v>
      </c>
      <c r="X9" s="41" t="n">
        <f aca="false">IF(OR(E9=my_team,H9=my_team),1,0)</f>
        <v>0</v>
      </c>
      <c r="Y9" s="41" t="n">
        <f aca="false">IF(OR(F9="",G9=""),"",IF(F9&gt;G9,1,IF(F9&lt;G9,-1,0)))</f>
        <v>1</v>
      </c>
      <c r="AA9" s="41" t="n">
        <f aca="false">COUNTIF(AN8:AN11,CONCATENATE("&gt;=",AN9))</f>
        <v>4</v>
      </c>
      <c r="AB9" s="43" t="str">
        <f aca="false">VLOOKUP("Qatar",T,lang,FALSE())</f>
        <v>Qatar</v>
      </c>
      <c r="AC9" s="41" t="n">
        <f aca="false">COUNTIF($S$7:$T$54,"=" &amp; AB9 &amp; "_win")</f>
        <v>0</v>
      </c>
      <c r="AD9" s="41" t="n">
        <f aca="false">COUNTIF($S$7:$T$54,"=" &amp; AB9 &amp; "_draw")</f>
        <v>0</v>
      </c>
      <c r="AE9" s="41" t="n">
        <f aca="false">COUNTIF($S$7:$T$54,"=" &amp; AB9 &amp; "_lose")</f>
        <v>3</v>
      </c>
      <c r="AF9" s="41" t="n">
        <f aca="false">SUMIF($E$7:$E$54,$AB9,$F$7:$F$54) + SUMIF($H$7:$H$54,$AB9,$G$7:$G$54)</f>
        <v>0</v>
      </c>
      <c r="AG9" s="41" t="n">
        <f aca="false">SUMIF($E$7:$E$54,$AB9,$G$7:$G$54) + SUMIF($H$7:$H$54,$AB9,$F$7:$F$54)</f>
        <v>6</v>
      </c>
      <c r="AH9" s="41" t="n">
        <f aca="false">(AF9-AG9)*100+AK9*10000+AF9</f>
        <v>-600</v>
      </c>
      <c r="AI9" s="41" t="n">
        <f aca="false">AF9-AG9</f>
        <v>-6</v>
      </c>
      <c r="AJ9" s="41" t="n">
        <f aca="false">(AI9-AI13)/AI12</f>
        <v>0</v>
      </c>
      <c r="AK9" s="41" t="n">
        <f aca="false">AC9*3+AD9</f>
        <v>0</v>
      </c>
      <c r="AL9" s="41" t="n">
        <f aca="false">AP9/AP12*1000+AQ9/AQ12*100+AT9/AT12*10+AR9/AR12</f>
        <v>0</v>
      </c>
      <c r="AM9" s="41" t="n">
        <f aca="false">VLOOKUP(AB9,db_fifarank,2,FALSE())/2000000</f>
        <v>0.0007205</v>
      </c>
      <c r="AN9" s="43" t="n">
        <f aca="false">1000*AK9/AK12+100*AJ9+10*AF9/AF12+1*AL9/AL12+AM9</f>
        <v>0.0007205</v>
      </c>
      <c r="AO9" s="43" t="str">
        <f aca="false">IF(SUM(AC8:AE11)=12,J10,INDEX(T,71,lang))</f>
        <v>Ecuador</v>
      </c>
      <c r="AP9" s="41" t="n">
        <f aca="false">SUMPRODUCT(($S$7:$S$54=AB9&amp;"_win")*($U$7:$U$54))+SUMPRODUCT(($T$7:$T$54=AB9&amp;"_win")*($U$7:$U$54))</f>
        <v>0</v>
      </c>
      <c r="AQ9" s="41" t="n">
        <f aca="false">SUMPRODUCT(($S$7:$S$54=AB9&amp;"_draw")*($U$7:$U$54))+SUMPRODUCT(($T$7:$T$54=AB9&amp;"_draw")*($U$7:$U$54))</f>
        <v>0</v>
      </c>
      <c r="AR9" s="41" t="n">
        <f aca="false">SUMPRODUCT(($E$7:$E$54=AB9)*($U$7:$U$54)*($F$7:$F$54))+SUMPRODUCT(($H$7:$H$54=AB9)*($U$7:$U$54)*($G$7:$G$54))</f>
        <v>0</v>
      </c>
      <c r="AS9" s="41" t="n">
        <f aca="false">SUMPRODUCT(($E$7:$E$54=AB9)*($U$7:$U$54)*($G$7:$G$54))+SUMPRODUCT(($H$7:$H$54=AB9)*($U$7:$U$54)*($F$7:$F$54))</f>
        <v>0</v>
      </c>
      <c r="AT9" s="41" t="n">
        <f aca="false">AR9-AS9</f>
        <v>0</v>
      </c>
      <c r="AY9" s="69" t="str">
        <f aca="false">INDEX(T,24+MONTH(R58),lang) &amp; " " &amp; DAY(R58) &amp; ", " &amp; YEAR(R58) &amp; "   " &amp; (IF(HOUR(R58)&lt;10,0,"")&amp;HOUR(R58)) &amp; ":" &amp;  (IF(MINUTE(R58)&lt;10,0,"")&amp;MINUTE(R58))</f>
        <v>Dec 3, 2022   18:00</v>
      </c>
      <c r="AZ9" s="69"/>
      <c r="BA9" s="69"/>
      <c r="BB9" s="69"/>
      <c r="BC9" s="73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</row>
    <row r="10" customFormat="false" ht="15" hidden="false" customHeight="true" outlineLevel="0" collapsed="false">
      <c r="A10" s="58" t="n">
        <v>4</v>
      </c>
      <c r="B10" s="59" t="str">
        <f aca="false">INDEX(T,18+INT(MOD(R10-1,7)),lang)</f>
        <v>Mon</v>
      </c>
      <c r="C10" s="60" t="str">
        <f aca="false">INDEX(T,24+MONTH(R10),lang) &amp; " " &amp; DAY(R10) &amp; ", " &amp; YEAR(R10)</f>
        <v>Nov 21, 2022</v>
      </c>
      <c r="D10" s="61" t="n">
        <f aca="false">TIME(HOUR(R10),MINUTE(R10),0)</f>
        <v>0.916666666666667</v>
      </c>
      <c r="E10" s="62" t="str">
        <f aca="false">AB16</f>
        <v>United States</v>
      </c>
      <c r="F10" s="63" t="n">
        <v>1</v>
      </c>
      <c r="G10" s="64" t="n">
        <v>1</v>
      </c>
      <c r="H10" s="65" t="str">
        <f aca="false">AB17</f>
        <v>Wales</v>
      </c>
      <c r="J10" s="74" t="str">
        <f aca="false">VLOOKUP(2,AA8:AK11,2,FALSE())</f>
        <v>Ecuador</v>
      </c>
      <c r="K10" s="75" t="n">
        <f aca="false">L10+M10+N10</f>
        <v>3</v>
      </c>
      <c r="L10" s="75" t="n">
        <f aca="false">VLOOKUP(2,AA8:AK11,3,FALSE())</f>
        <v>2</v>
      </c>
      <c r="M10" s="75" t="n">
        <f aca="false">VLOOKUP(2,AA8:AK11,4,FALSE())</f>
        <v>0</v>
      </c>
      <c r="N10" s="75" t="n">
        <f aca="false">VLOOKUP(2,AA8:AK11,5,FALSE())</f>
        <v>1</v>
      </c>
      <c r="O10" s="75" t="str">
        <f aca="false">VLOOKUP(2,AA8:AK11,6,FALSE()) &amp; " - " &amp; VLOOKUP(2,AA8:AK11,7,FALSE())</f>
        <v>5 - 3</v>
      </c>
      <c r="P10" s="76" t="n">
        <f aca="false">L10*3+M10</f>
        <v>6</v>
      </c>
      <c r="R10" s="41" t="n">
        <f aca="false">DATE(2022,11,21)+TIME(8,0,0)+gmt_delta</f>
        <v>44886.9166666667</v>
      </c>
      <c r="S10" s="42" t="str">
        <f aca="false">IF(OR(F10="",G10=""),"",IF(F10&gt;G10,E10&amp;"_win",IF(F10&lt;G10,E10&amp;"_lose",E10&amp;"_draw")))</f>
        <v>United States_draw</v>
      </c>
      <c r="T10" s="42" t="str">
        <f aca="false">IF(S10="","",IF(F10&lt;G10,H10&amp;"_win",IF(F10&gt;G10,H10&amp;"_lose",H10&amp;"_draw")))</f>
        <v>Wales_draw</v>
      </c>
      <c r="U10" s="43" t="n">
        <f aca="false">IF(S10="",0,IF(VLOOKUP(E10,$AB$8:$AK$53,7,FALSE())=VLOOKUP(H10,$AB$8:$AK$53,7,FALSE()),1,0))</f>
        <v>1</v>
      </c>
      <c r="V10" s="41" t="n">
        <f aca="false">U10*F10</f>
        <v>1</v>
      </c>
      <c r="W10" s="41" t="n">
        <f aca="false">U10*G10</f>
        <v>1</v>
      </c>
      <c r="X10" s="41" t="n">
        <f aca="false">IF(OR(E10=my_team,H10=my_team),1,0)</f>
        <v>0</v>
      </c>
      <c r="Y10" s="41" t="n">
        <f aca="false">IF(OR(F10="",G10=""),"",IF(F10&gt;G10,1,IF(F10&lt;G10,-1,0)))</f>
        <v>0</v>
      </c>
      <c r="AA10" s="41" t="n">
        <f aca="false">COUNTIF(AN8:AN11,CONCATENATE("&gt;=",AN10))</f>
        <v>2</v>
      </c>
      <c r="AB10" s="43" t="str">
        <f aca="false">VLOOKUP("Ecuador",T,lang,FALSE())</f>
        <v>Ecuador</v>
      </c>
      <c r="AC10" s="41" t="n">
        <f aca="false">COUNTIF($S$7:$T$54,"=" &amp; AB10 &amp; "_win")</f>
        <v>2</v>
      </c>
      <c r="AD10" s="41" t="n">
        <f aca="false">COUNTIF($S$7:$T$54,"=" &amp; AB10 &amp; "_draw")</f>
        <v>0</v>
      </c>
      <c r="AE10" s="41" t="n">
        <f aca="false">COUNTIF($S$7:$T$54,"=" &amp; AB10 &amp; "_lose")</f>
        <v>1</v>
      </c>
      <c r="AF10" s="41" t="n">
        <f aca="false">SUMIF($E$7:$E$54,$AB10,$F$7:$F$54) + SUMIF($H$7:$H$54,$AB10,$G$7:$G$54)</f>
        <v>5</v>
      </c>
      <c r="AG10" s="41" t="n">
        <f aca="false">SUMIF($E$7:$E$54,$AB10,$G$7:$G$54) + SUMIF($H$7:$H$54,$AB10,$F$7:$F$54)</f>
        <v>3</v>
      </c>
      <c r="AH10" s="41" t="n">
        <f aca="false">(AF10-AG10)*100+AK10*10000+AF10</f>
        <v>60205</v>
      </c>
      <c r="AI10" s="41" t="n">
        <f aca="false">AF10-AG10</f>
        <v>2</v>
      </c>
      <c r="AJ10" s="41" t="n">
        <f aca="false">(AI10-AI13)/AI12</f>
        <v>0.727272727272727</v>
      </c>
      <c r="AK10" s="41" t="n">
        <f aca="false">AC10*3+AD10</f>
        <v>6</v>
      </c>
      <c r="AL10" s="41" t="n">
        <f aca="false">AP10/AP12*1000+AQ10/AQ12*100+AT10/AT12*10+AR10/AR12</f>
        <v>0</v>
      </c>
      <c r="AM10" s="41" t="n">
        <f aca="false">VLOOKUP(AB10,db_fifarank,2,FALSE())/2000000</f>
        <v>0.0007265</v>
      </c>
      <c r="AN10" s="43" t="n">
        <f aca="false">1000*AK10/AK12+100*AJ10+10*AF10/AF12+1*AL10/AL12+AM10</f>
        <v>679.87085637013</v>
      </c>
      <c r="AP10" s="41" t="n">
        <f aca="false">SUMPRODUCT(($S$7:$S$54=AB10&amp;"_win")*($U$7:$U$54))+SUMPRODUCT(($T$7:$T$54=AB10&amp;"_win")*($U$7:$U$54))</f>
        <v>0</v>
      </c>
      <c r="AQ10" s="41" t="n">
        <f aca="false">SUMPRODUCT(($S$7:$S$54=AB10&amp;"_draw")*($U$7:$U$54))+SUMPRODUCT(($T$7:$T$54=AB10&amp;"_draw")*($U$7:$U$54))</f>
        <v>0</v>
      </c>
      <c r="AR10" s="41" t="n">
        <f aca="false">SUMPRODUCT(($E$7:$E$54=AB10)*($U$7:$U$54)*($F$7:$F$54))+SUMPRODUCT(($H$7:$H$54=AB10)*($U$7:$U$54)*($G$7:$G$54))</f>
        <v>0</v>
      </c>
      <c r="AS10" s="41" t="n">
        <f aca="false">SUMPRODUCT(($E$7:$E$54=AB10)*($U$7:$U$54)*($G$7:$G$54))+SUMPRODUCT(($H$7:$H$54=AB10)*($U$7:$U$54)*($F$7:$F$54))</f>
        <v>0</v>
      </c>
      <c r="AT10" s="41" t="n">
        <f aca="false">AR10-AS10</f>
        <v>0</v>
      </c>
      <c r="AY10" s="77" t="n">
        <v>49</v>
      </c>
      <c r="AZ10" s="78" t="str">
        <f aca="false">AO8</f>
        <v>Netherlands</v>
      </c>
      <c r="BA10" s="79" t="n">
        <v>2</v>
      </c>
      <c r="BB10" s="80"/>
      <c r="BC10" s="81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</row>
    <row r="11" customFormat="false" ht="15" hidden="false" customHeight="true" outlineLevel="0" collapsed="false">
      <c r="A11" s="58" t="n">
        <v>5</v>
      </c>
      <c r="B11" s="59" t="str">
        <f aca="false">INDEX(T,18+INT(MOD(R11-1,7)),lang)</f>
        <v>Tue</v>
      </c>
      <c r="C11" s="60" t="str">
        <f aca="false">INDEX(T,24+MONTH(R11),lang) &amp; " " &amp; DAY(R11) &amp; ", " &amp; YEAR(R11)</f>
        <v>Nov 22, 2022</v>
      </c>
      <c r="D11" s="61" t="n">
        <f aca="false">TIME(HOUR(R11),MINUTE(R11),0)</f>
        <v>0.541666666666667</v>
      </c>
      <c r="E11" s="62" t="str">
        <f aca="false">AB20</f>
        <v>Argentina</v>
      </c>
      <c r="F11" s="63" t="n">
        <v>2</v>
      </c>
      <c r="G11" s="64" t="n">
        <v>0</v>
      </c>
      <c r="H11" s="65" t="str">
        <f aca="false">AB21</f>
        <v>Saudi Arabia</v>
      </c>
      <c r="J11" s="74" t="str">
        <f aca="false">VLOOKUP(3,AA8:AK11,2,FALSE())</f>
        <v>Senegal</v>
      </c>
      <c r="K11" s="75" t="n">
        <f aca="false">L11+M11+N11</f>
        <v>3</v>
      </c>
      <c r="L11" s="75" t="n">
        <f aca="false">VLOOKUP(3,AA8:AK11,3,FALSE())</f>
        <v>1</v>
      </c>
      <c r="M11" s="75" t="n">
        <f aca="false">VLOOKUP(3,AA8:AK11,4,FALSE())</f>
        <v>0</v>
      </c>
      <c r="N11" s="75" t="n">
        <f aca="false">VLOOKUP(3,AA8:AK11,5,FALSE())</f>
        <v>2</v>
      </c>
      <c r="O11" s="75" t="str">
        <f aca="false">VLOOKUP(3,AA8:AK11,6,FALSE()) &amp; " - " &amp; VLOOKUP(3,AA8:AK11,7,FALSE())</f>
        <v>4 - 4</v>
      </c>
      <c r="P11" s="76" t="n">
        <f aca="false">L11*3+M11</f>
        <v>3</v>
      </c>
      <c r="R11" s="41" t="n">
        <f aca="false">DATE(2022,11,21)+TIME(23,0,0)+gmt_delta</f>
        <v>44887.5416666667</v>
      </c>
      <c r="S11" s="42" t="str">
        <f aca="false">IF(OR(F11="",G11=""),"",IF(F11&gt;G11,E11&amp;"_win",IF(F11&lt;G11,E11&amp;"_lose",E11&amp;"_draw")))</f>
        <v>Argentina_win</v>
      </c>
      <c r="T11" s="42" t="str">
        <f aca="false">IF(S11="","",IF(F11&lt;G11,H11&amp;"_win",IF(F11&gt;G11,H11&amp;"_lose",H11&amp;"_draw")))</f>
        <v>Saudi Arabia_lose</v>
      </c>
      <c r="U11" s="43" t="n">
        <f aca="false">IF(S11="",0,IF(VLOOKUP(E11,$AB$8:$AK$53,7,FALSE())=VLOOKUP(H11,$AB$8:$AK$53,7,FALSE()),1,0))</f>
        <v>0</v>
      </c>
      <c r="V11" s="41" t="n">
        <f aca="false">U11*F11</f>
        <v>0</v>
      </c>
      <c r="W11" s="41" t="n">
        <f aca="false">U11*G11</f>
        <v>0</v>
      </c>
      <c r="X11" s="41" t="n">
        <f aca="false">IF(OR(E11=my_team,H11=my_team),1,0)</f>
        <v>1</v>
      </c>
      <c r="Y11" s="41" t="n">
        <f aca="false">IF(OR(F11="",G11=""),"",IF(F11&gt;G11,1,IF(F11&lt;G11,-1,0)))</f>
        <v>1</v>
      </c>
      <c r="AA11" s="41" t="n">
        <f aca="false">COUNTIF(AN8:AN11,CONCATENATE("&gt;=",AN11))</f>
        <v>1</v>
      </c>
      <c r="AB11" s="43" t="str">
        <f aca="false">VLOOKUP("Netherlands",T,lang,FALSE())</f>
        <v>Netherlands</v>
      </c>
      <c r="AC11" s="41" t="n">
        <f aca="false">COUNTIF($S$7:$T$54,"=" &amp; AB11 &amp; "_win")</f>
        <v>3</v>
      </c>
      <c r="AD11" s="41" t="n">
        <f aca="false">COUNTIF($S$7:$T$54,"=" &amp; AB11 &amp; "_draw")</f>
        <v>0</v>
      </c>
      <c r="AE11" s="41" t="n">
        <f aca="false">COUNTIF($S$7:$T$54,"=" &amp; AB11 &amp; "_lose")</f>
        <v>0</v>
      </c>
      <c r="AF11" s="41" t="n">
        <f aca="false">SUMIF($E$7:$E$54,$AB11,$F$7:$F$54) + SUMIF($H$7:$H$54,$AB11,$G$7:$G$54)</f>
        <v>6</v>
      </c>
      <c r="AG11" s="41" t="n">
        <f aca="false">SUMIF($E$7:$E$54,$AB11,$G$7:$G$54) + SUMIF($H$7:$H$54,$AB11,$F$7:$F$54)</f>
        <v>2</v>
      </c>
      <c r="AH11" s="41" t="n">
        <f aca="false">(AF11-AG11)*100+AK11*10000+AF11</f>
        <v>90406</v>
      </c>
      <c r="AI11" s="41" t="n">
        <f aca="false">AF11-AG11</f>
        <v>4</v>
      </c>
      <c r="AJ11" s="41" t="n">
        <f aca="false">(AI11-AI13)/AI12</f>
        <v>0.909090909090909</v>
      </c>
      <c r="AK11" s="41" t="n">
        <f aca="false">AC11*3+AD11</f>
        <v>9</v>
      </c>
      <c r="AL11" s="41" t="n">
        <f aca="false">AP11/AP12*1000+AQ11/AQ12*100+AT11/AT12*10+AR11/AR12</f>
        <v>0</v>
      </c>
      <c r="AM11" s="41" t="n">
        <f aca="false">VLOOKUP(AB11,db_fifarank,2,FALSE())/2000000</f>
        <v>0.00082933</v>
      </c>
      <c r="AN11" s="43" t="n">
        <f aca="false">1000*AK11/AK12+100*AJ11+10*AF11/AF12+1*AL11/AL12+AM11</f>
        <v>999.481348810519</v>
      </c>
      <c r="AP11" s="41" t="n">
        <f aca="false">SUMPRODUCT(($S$7:$S$54=AB11&amp;"_win")*($U$7:$U$54))+SUMPRODUCT(($T$7:$T$54=AB11&amp;"_win")*($U$7:$U$54))</f>
        <v>0</v>
      </c>
      <c r="AQ11" s="41" t="n">
        <f aca="false">SUMPRODUCT(($S$7:$S$54=AB11&amp;"_draw")*($U$7:$U$54))+SUMPRODUCT(($T$7:$T$54=AB11&amp;"_draw")*($U$7:$U$54))</f>
        <v>0</v>
      </c>
      <c r="AR11" s="41" t="n">
        <f aca="false">SUMPRODUCT(($E$7:$E$54=AB11)*($U$7:$U$54)*($F$7:$F$54))+SUMPRODUCT(($H$7:$H$54=AB11)*($U$7:$U$54)*($G$7:$G$54))</f>
        <v>0</v>
      </c>
      <c r="AS11" s="41" t="n">
        <f aca="false">SUMPRODUCT(($E$7:$E$54=AB11)*($U$7:$U$54)*($G$7:$G$54))+SUMPRODUCT(($H$7:$H$54=AB11)*($U$7:$U$54)*($F$7:$F$54))</f>
        <v>0</v>
      </c>
      <c r="AT11" s="41" t="n">
        <f aca="false">AR11-AS11</f>
        <v>0</v>
      </c>
      <c r="AY11" s="77"/>
      <c r="AZ11" s="82" t="str">
        <f aca="false">AO15</f>
        <v>United States</v>
      </c>
      <c r="BA11" s="83" t="n">
        <v>1</v>
      </c>
      <c r="BB11" s="84"/>
      <c r="BC11" s="85"/>
      <c r="BD11" s="86"/>
      <c r="BE11" s="69"/>
      <c r="BF11" s="69" t="str">
        <f aca="false">INDEX(T,24+MONTH(R69),lang) &amp; " " &amp; DAY(R69) &amp; ", " &amp; YEAR(R69) &amp; "   " &amp; (IF(HOUR(R69)&lt;10,0,"") &amp; HOUR(R69)) &amp; ":" &amp; (IF(MINUTE(R69)&lt;10,0,"") &amp; MINUTE(R69))</f>
        <v>Dec 9, 2022   22:00</v>
      </c>
      <c r="BG11" s="69"/>
      <c r="BH11" s="69"/>
      <c r="BI11" s="69"/>
      <c r="BJ11" s="87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</row>
    <row r="12" customFormat="false" ht="15" hidden="false" customHeight="true" outlineLevel="0" collapsed="false">
      <c r="A12" s="58" t="n">
        <v>6</v>
      </c>
      <c r="B12" s="59" t="str">
        <f aca="false">INDEX(T,18+INT(MOD(R12-1,7)),lang)</f>
        <v>Tue</v>
      </c>
      <c r="C12" s="60" t="str">
        <f aca="false">INDEX(T,24+MONTH(R12),lang) &amp; " " &amp; DAY(R12) &amp; ", " &amp; YEAR(R12)</f>
        <v>Nov 22, 2022</v>
      </c>
      <c r="D12" s="61" t="n">
        <f aca="false">TIME(HOUR(R12),MINUTE(R12),0)</f>
        <v>0.666666666666667</v>
      </c>
      <c r="E12" s="62" t="str">
        <f aca="false">AB28</f>
        <v>Denmark</v>
      </c>
      <c r="F12" s="63" t="n">
        <v>2</v>
      </c>
      <c r="G12" s="64" t="n">
        <v>1</v>
      </c>
      <c r="H12" s="65" t="str">
        <f aca="false">AB29</f>
        <v>Tunisia</v>
      </c>
      <c r="J12" s="88" t="str">
        <f aca="false">VLOOKUP(4,AA8:AK11,2,FALSE())</f>
        <v>Qatar</v>
      </c>
      <c r="K12" s="89" t="n">
        <f aca="false">L12+M12+N12</f>
        <v>3</v>
      </c>
      <c r="L12" s="89" t="n">
        <f aca="false">VLOOKUP(4,AA8:AK11,3,FALSE())</f>
        <v>0</v>
      </c>
      <c r="M12" s="89" t="n">
        <f aca="false">VLOOKUP(4,AA8:AK11,4,FALSE())</f>
        <v>0</v>
      </c>
      <c r="N12" s="89" t="n">
        <f aca="false">VLOOKUP(4,AA8:AK11,5,FALSE())</f>
        <v>3</v>
      </c>
      <c r="O12" s="89" t="str">
        <f aca="false">VLOOKUP(4,AA8:AK11,6,FALSE()) &amp; " - " &amp; VLOOKUP(4,AA8:AK11,7,FALSE())</f>
        <v>0 - 6</v>
      </c>
      <c r="P12" s="90" t="n">
        <f aca="false">L12*3+M12</f>
        <v>0</v>
      </c>
      <c r="R12" s="41" t="n">
        <f aca="false">DATE(2022,11,22)+TIME(2,0,0)+gmt_delta</f>
        <v>44887.6666666667</v>
      </c>
      <c r="S12" s="42" t="str">
        <f aca="false">IF(OR(F12="",G12=""),"",IF(F12&gt;G12,E12&amp;"_win",IF(F12&lt;G12,E12&amp;"_lose",E12&amp;"_draw")))</f>
        <v>Denmark_win</v>
      </c>
      <c r="T12" s="42" t="str">
        <f aca="false">IF(S12="","",IF(F12&lt;G12,H12&amp;"_win",IF(F12&gt;G12,H12&amp;"_lose",H12&amp;"_draw")))</f>
        <v>Tunisia_lose</v>
      </c>
      <c r="U12" s="43" t="n">
        <f aca="false">IF(S12="",0,IF(VLOOKUP(E12,$AB$8:$AK$53,7,FALSE())=VLOOKUP(H12,$AB$8:$AK$53,7,FALSE()),1,0))</f>
        <v>0</v>
      </c>
      <c r="V12" s="41" t="n">
        <f aca="false">U12*F12</f>
        <v>0</v>
      </c>
      <c r="W12" s="41" t="n">
        <f aca="false">U12*G12</f>
        <v>0</v>
      </c>
      <c r="X12" s="41" t="n">
        <f aca="false">IF(OR(E12=my_team,H12=my_team),1,0)</f>
        <v>0</v>
      </c>
      <c r="Y12" s="41" t="n">
        <f aca="false">IF(OR(F12="",G12=""),"",IF(F12&gt;G12,1,IF(F12&lt;G12,-1,0)))</f>
        <v>1</v>
      </c>
      <c r="AC12" s="41" t="n">
        <f aca="false">MAX(AC8:AC11)-MIN(AC8:AC11)+1</f>
        <v>4</v>
      </c>
      <c r="AD12" s="41" t="n">
        <f aca="false">MAX(AD8:AD11)-MIN(AD8:AD11)+1</f>
        <v>1</v>
      </c>
      <c r="AE12" s="41" t="n">
        <f aca="false">MAX(AE8:AE11)-MIN(AE8:AE11)+1</f>
        <v>4</v>
      </c>
      <c r="AF12" s="41" t="n">
        <f aca="false">MAX(AF8:AF11)-MIN(AF8:AF11)+1</f>
        <v>7</v>
      </c>
      <c r="AG12" s="41" t="n">
        <f aca="false">MAX(AG8:AG11)-MIN(AG8:AG11)+1</f>
        <v>5</v>
      </c>
      <c r="AH12" s="41" t="n">
        <f aca="false">MAX(AH8:AH11)-AH13+1</f>
        <v>91007</v>
      </c>
      <c r="AI12" s="41" t="n">
        <f aca="false">MAX(AI8:AI11)-AI13+1</f>
        <v>11</v>
      </c>
      <c r="AK12" s="41" t="n">
        <f aca="false">MAX(AK8:AK11)-MIN(AK8:AK11)+1</f>
        <v>10</v>
      </c>
      <c r="AL12" s="41" t="n">
        <f aca="false">MAX(AL8:AL11)-MIN(AL8:AL11)+1</f>
        <v>1</v>
      </c>
      <c r="AP12" s="41" t="n">
        <f aca="false">MAX(AP8:AP11)-MIN(AP8:AP11)+1</f>
        <v>1</v>
      </c>
      <c r="AQ12" s="41" t="n">
        <f aca="false">MAX(AQ8:AQ11)-MIN(AQ8:AQ11)+1</f>
        <v>1</v>
      </c>
      <c r="AR12" s="41" t="n">
        <f aca="false">MAX(AR8:AR11)-MIN(AR8:AR11)+1</f>
        <v>1</v>
      </c>
      <c r="AS12" s="41" t="n">
        <f aca="false">MAX(AS8:AS11)-MIN(AS8:AS11)+1</f>
        <v>1</v>
      </c>
      <c r="AT12" s="41" t="n">
        <f aca="false">MAX(AT8:AT11)-MIN(AT8:AT11)+1</f>
        <v>1</v>
      </c>
      <c r="AY12" s="69"/>
      <c r="AZ12" s="69"/>
      <c r="BA12" s="69"/>
      <c r="BB12" s="69"/>
      <c r="BC12" s="69"/>
      <c r="BD12" s="91"/>
      <c r="BE12" s="69"/>
      <c r="BF12" s="77" t="n">
        <v>57</v>
      </c>
      <c r="BG12" s="78" t="str">
        <f aca="false">T58</f>
        <v>Netherlands</v>
      </c>
      <c r="BH12" s="79" t="n">
        <v>0</v>
      </c>
      <c r="BI12" s="80"/>
      <c r="BJ12" s="81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</row>
    <row r="13" customFormat="false" ht="15" hidden="false" customHeight="true" outlineLevel="0" collapsed="false">
      <c r="A13" s="58" t="n">
        <v>7</v>
      </c>
      <c r="B13" s="59" t="str">
        <f aca="false">INDEX(T,18+INT(MOD(R13-1,7)),lang)</f>
        <v>Tue</v>
      </c>
      <c r="C13" s="60" t="str">
        <f aca="false">INDEX(T,24+MONTH(R13),lang) &amp; " " &amp; DAY(R13) &amp; ", " &amp; YEAR(R13)</f>
        <v>Nov 22, 2022</v>
      </c>
      <c r="D13" s="61" t="n">
        <f aca="false">TIME(HOUR(R13),MINUTE(R13),0)</f>
        <v>0.791666666666667</v>
      </c>
      <c r="E13" s="62" t="str">
        <f aca="false">AB22</f>
        <v>Mexico</v>
      </c>
      <c r="F13" s="63" t="n">
        <v>2</v>
      </c>
      <c r="G13" s="64" t="n">
        <v>1</v>
      </c>
      <c r="H13" s="65" t="str">
        <f aca="false">AB23</f>
        <v>Poland</v>
      </c>
      <c r="R13" s="41" t="n">
        <f aca="false">DATE(2022,11,22)+TIME(5,0,0)+gmt_delta</f>
        <v>44887.7916666667</v>
      </c>
      <c r="S13" s="42" t="str">
        <f aca="false">IF(OR(F13="",G13=""),"",IF(F13&gt;G13,E13&amp;"_win",IF(F13&lt;G13,E13&amp;"_lose",E13&amp;"_draw")))</f>
        <v>Mexico_win</v>
      </c>
      <c r="T13" s="42" t="str">
        <f aca="false">IF(S13="","",IF(F13&lt;G13,H13&amp;"_win",IF(F13&gt;G13,H13&amp;"_lose",H13&amp;"_draw")))</f>
        <v>Poland_lose</v>
      </c>
      <c r="U13" s="43" t="n">
        <f aca="false">IF(S13="",0,IF(VLOOKUP(E13,$AB$8:$AK$53,7,FALSE())=VLOOKUP(H13,$AB$8:$AK$53,7,FALSE()),1,0))</f>
        <v>0</v>
      </c>
      <c r="V13" s="41" t="n">
        <f aca="false">U13*F13</f>
        <v>0</v>
      </c>
      <c r="W13" s="41" t="n">
        <f aca="false">U13*G13</f>
        <v>0</v>
      </c>
      <c r="X13" s="41" t="n">
        <f aca="false">IF(OR(E13=my_team,H13=my_team),1,0)</f>
        <v>0</v>
      </c>
      <c r="Y13" s="41" t="n">
        <f aca="false">IF(OR(F13="",G13=""),"",IF(F13&gt;G13,1,IF(F13&lt;G13,-1,0)))</f>
        <v>1</v>
      </c>
      <c r="AH13" s="41" t="n">
        <f aca="false">MIN(AH8:AH11)</f>
        <v>-600</v>
      </c>
      <c r="AI13" s="41" t="n">
        <f aca="false">MIN(AI8:AI11)</f>
        <v>-6</v>
      </c>
      <c r="AY13" s="69" t="str">
        <f aca="false">INDEX(T,24+MONTH(R59),lang) &amp; " " &amp; DAY(R59) &amp; ", " &amp; YEAR(R59) &amp; "   " &amp; (IF(HOUR(R59)&lt;10,0,"")&amp;HOUR(R59)) &amp; ":" &amp;  (IF(MINUTE(R59)&lt;10,0,"")&amp;MINUTE(R59))</f>
        <v>Dec 3, 2022   22:00</v>
      </c>
      <c r="AZ13" s="69"/>
      <c r="BA13" s="69"/>
      <c r="BB13" s="69"/>
      <c r="BC13" s="87"/>
      <c r="BD13" s="91"/>
      <c r="BE13" s="92"/>
      <c r="BF13" s="77"/>
      <c r="BG13" s="82" t="str">
        <f aca="false">T59</f>
        <v>Argentina</v>
      </c>
      <c r="BH13" s="83" t="n">
        <v>1</v>
      </c>
      <c r="BI13" s="84"/>
      <c r="BJ13" s="85"/>
      <c r="BK13" s="86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</row>
    <row r="14" customFormat="false" ht="15" hidden="false" customHeight="true" outlineLevel="0" collapsed="false">
      <c r="A14" s="58" t="n">
        <v>8</v>
      </c>
      <c r="B14" s="59" t="str">
        <f aca="false">INDEX(T,18+INT(MOD(R14-1,7)),lang)</f>
        <v>Tue</v>
      </c>
      <c r="C14" s="60" t="str">
        <f aca="false">INDEX(T,24+MONTH(R14),lang) &amp; " " &amp; DAY(R14) &amp; ", " &amp; YEAR(R14)</f>
        <v>Nov 22, 2022</v>
      </c>
      <c r="D14" s="61" t="n">
        <f aca="false">TIME(HOUR(R14),MINUTE(R14),0)</f>
        <v>0.916666666666667</v>
      </c>
      <c r="E14" s="62" t="str">
        <f aca="false">AB26</f>
        <v>France</v>
      </c>
      <c r="F14" s="63" t="n">
        <v>1</v>
      </c>
      <c r="G14" s="64" t="n">
        <v>1</v>
      </c>
      <c r="H14" s="65" t="str">
        <f aca="false">AB27</f>
        <v>Australia</v>
      </c>
      <c r="J14" s="66" t="str">
        <f aca="false">INDEX(T,9,lang) &amp; " " &amp; "B"</f>
        <v>Group B</v>
      </c>
      <c r="K14" s="67" t="str">
        <f aca="false">INDEX(T,10,lang)</f>
        <v>PL</v>
      </c>
      <c r="L14" s="67" t="str">
        <f aca="false">INDEX(T,11,lang)</f>
        <v>W</v>
      </c>
      <c r="M14" s="67" t="str">
        <f aca="false">INDEX(T,12,lang)</f>
        <v>DRAW</v>
      </c>
      <c r="N14" s="67" t="str">
        <f aca="false">INDEX(T,13,lang)</f>
        <v>L</v>
      </c>
      <c r="O14" s="67" t="str">
        <f aca="false">INDEX(T,14,lang)</f>
        <v>GF - GA</v>
      </c>
      <c r="P14" s="68" t="str">
        <f aca="false">INDEX(T,15,lang)</f>
        <v>PNT</v>
      </c>
      <c r="R14" s="41" t="n">
        <f aca="false">DATE(2022,11,22)+TIME(8,0,0)+gmt_delta</f>
        <v>44887.9166666667</v>
      </c>
      <c r="S14" s="42" t="str">
        <f aca="false">IF(OR(F14="",G14=""),"",IF(F14&gt;G14,E14&amp;"_win",IF(F14&lt;G14,E14&amp;"_lose",E14&amp;"_draw")))</f>
        <v>France_draw</v>
      </c>
      <c r="T14" s="42" t="str">
        <f aca="false">IF(S14="","",IF(F14&lt;G14,H14&amp;"_win",IF(F14&gt;G14,H14&amp;"_lose",H14&amp;"_draw")))</f>
        <v>Australia_draw</v>
      </c>
      <c r="U14" s="43" t="n">
        <f aca="false">IF(S14="",0,IF(VLOOKUP(E14,$AB$8:$AK$53,7,FALSE())=VLOOKUP(H14,$AB$8:$AK$53,7,FALSE()),1,0))</f>
        <v>0</v>
      </c>
      <c r="V14" s="41" t="n">
        <f aca="false">U14*F14</f>
        <v>0</v>
      </c>
      <c r="W14" s="41" t="n">
        <f aca="false">U14*G14</f>
        <v>0</v>
      </c>
      <c r="X14" s="41" t="n">
        <f aca="false">IF(OR(E14=my_team,H14=my_team),1,0)</f>
        <v>0</v>
      </c>
      <c r="Y14" s="41" t="n">
        <f aca="false">IF(OR(F14="",G14=""),"",IF(F14&gt;G14,1,IF(F14&lt;G14,-1,0)))</f>
        <v>0</v>
      </c>
      <c r="AA14" s="41" t="n">
        <f aca="false">COUNTIF(AN14:AN17,CONCATENATE("&gt;=",AN14))</f>
        <v>1</v>
      </c>
      <c r="AB14" s="43" t="str">
        <f aca="false">VLOOKUP("England",T,lang,FALSE())</f>
        <v>England</v>
      </c>
      <c r="AC14" s="41" t="n">
        <f aca="false">COUNTIF($S$7:$T$54,"=" &amp; AB14 &amp; "_win")</f>
        <v>3</v>
      </c>
      <c r="AD14" s="41" t="n">
        <f aca="false">COUNTIF($S$7:$T$54,"=" &amp; AB14 &amp; "_draw")</f>
        <v>0</v>
      </c>
      <c r="AE14" s="41" t="n">
        <f aca="false">COUNTIF($S$7:$T$54,"=" &amp; AB14 &amp; "_lose")</f>
        <v>0</v>
      </c>
      <c r="AF14" s="41" t="n">
        <f aca="false">SUMIF($E$7:$E$54,$AB14,$F$7:$F$54) + SUMIF($H$7:$H$54,$AB14,$G$7:$G$54)</f>
        <v>6</v>
      </c>
      <c r="AG14" s="41" t="n">
        <f aca="false">SUMIF($E$7:$E$54,$AB14,$G$7:$G$54) + SUMIF($H$7:$H$54,$AB14,$F$7:$F$54)</f>
        <v>2</v>
      </c>
      <c r="AH14" s="41" t="n">
        <f aca="false">(AF14-AG14)*100+AK14*10000+AF14</f>
        <v>90406</v>
      </c>
      <c r="AI14" s="41" t="n">
        <f aca="false">AF14-AG14</f>
        <v>4</v>
      </c>
      <c r="AJ14" s="41" t="n">
        <f aca="false">(AI14-AI19)/AI18</f>
        <v>0.909090909090909</v>
      </c>
      <c r="AK14" s="41" t="n">
        <f aca="false">AC14*3+AD14</f>
        <v>9</v>
      </c>
      <c r="AL14" s="41" t="n">
        <f aca="false">AP14/AP18*1000+AQ14/AQ18*100+AT14/AT18*10+AR14/AR18</f>
        <v>0</v>
      </c>
      <c r="AM14" s="41" t="n">
        <f aca="false">VLOOKUP(AB14,db_fifarank,2,FALSE())/2000000</f>
        <v>0.000881</v>
      </c>
      <c r="AN14" s="43" t="n">
        <f aca="false">1000*AK14/AK18+100*AJ14+10*AF14/AF18+1*AL14/AL18+AM14</f>
        <v>999.48140048052</v>
      </c>
      <c r="AO14" s="43" t="str">
        <f aca="false">IF(SUM(AC14:AE17)=12,J15,INDEX(T,72,lang))</f>
        <v>England</v>
      </c>
      <c r="AP14" s="41" t="n">
        <f aca="false">SUMPRODUCT(($S$7:$S$54=AB14&amp;"_win")*($U$7:$U$54))+SUMPRODUCT(($T$7:$T$54=AB14&amp;"_win")*($U$7:$U$54))</f>
        <v>0</v>
      </c>
      <c r="AQ14" s="41" t="n">
        <f aca="false">SUMPRODUCT(($S$7:$S$54=AB14&amp;"_draw")*($U$7:$U$54))+SUMPRODUCT(($T$7:$T$54=AB14&amp;"_draw")*($U$7:$U$54))</f>
        <v>0</v>
      </c>
      <c r="AR14" s="41" t="n">
        <f aca="false">SUMPRODUCT(($E$7:$E$54=AB14)*($U$7:$U$54)*($F$7:$F$54))+SUMPRODUCT(($H$7:$H$54=AB14)*($U$7:$U$54)*($G$7:$G$54))</f>
        <v>0</v>
      </c>
      <c r="AS14" s="41" t="n">
        <f aca="false">SUMPRODUCT(($E$7:$E$54=AB14)*($U$7:$U$54)*($G$7:$G$54))+SUMPRODUCT(($H$7:$H$54=AB14)*($U$7:$U$54)*($F$7:$F$54))</f>
        <v>0</v>
      </c>
      <c r="AT14" s="41" t="n">
        <f aca="false">AR14-AS14</f>
        <v>0</v>
      </c>
      <c r="AY14" s="77" t="n">
        <v>50</v>
      </c>
      <c r="AZ14" s="78" t="str">
        <f aca="false">AO20</f>
        <v>Argentina</v>
      </c>
      <c r="BA14" s="79" t="n">
        <v>1</v>
      </c>
      <c r="BB14" s="80" t="n">
        <v>1</v>
      </c>
      <c r="BC14" s="81"/>
      <c r="BD14" s="93"/>
      <c r="BE14" s="69"/>
      <c r="BF14" s="69"/>
      <c r="BG14" s="69"/>
      <c r="BH14" s="69"/>
      <c r="BI14" s="69"/>
      <c r="BJ14" s="69"/>
      <c r="BK14" s="91"/>
      <c r="BL14" s="69"/>
      <c r="BM14" s="69"/>
      <c r="BN14" s="69"/>
      <c r="BO14" s="69"/>
      <c r="BP14" s="69"/>
      <c r="BQ14" s="87"/>
      <c r="BR14" s="69"/>
      <c r="BS14" s="69"/>
      <c r="BT14" s="69"/>
      <c r="BU14" s="69"/>
      <c r="BV14" s="69"/>
      <c r="BW14" s="69"/>
      <c r="BX14" s="69"/>
    </row>
    <row r="15" customFormat="false" ht="15" hidden="false" customHeight="true" outlineLevel="0" collapsed="false">
      <c r="A15" s="58" t="n">
        <v>9</v>
      </c>
      <c r="B15" s="59" t="str">
        <f aca="false">INDEX(T,18+INT(MOD(R15-1,7)),lang)</f>
        <v>Wed</v>
      </c>
      <c r="C15" s="60" t="str">
        <f aca="false">INDEX(T,24+MONTH(R15),lang) &amp; " " &amp; DAY(R15) &amp; ", " &amp; YEAR(R15)</f>
        <v>Nov 23, 2022</v>
      </c>
      <c r="D15" s="61" t="n">
        <f aca="false">TIME(HOUR(R15),MINUTE(R15),0)</f>
        <v>0.541666666666667</v>
      </c>
      <c r="E15" s="62" t="str">
        <f aca="false">AB40</f>
        <v>Morocco</v>
      </c>
      <c r="F15" s="63" t="n">
        <v>1</v>
      </c>
      <c r="G15" s="64" t="n">
        <v>2</v>
      </c>
      <c r="H15" s="65" t="str">
        <f aca="false">AB41</f>
        <v>Croatia</v>
      </c>
      <c r="J15" s="70" t="str">
        <f aca="false">VLOOKUP(1,AA14:AK17,2,FALSE())</f>
        <v>England</v>
      </c>
      <c r="K15" s="71" t="n">
        <f aca="false">L15+M15+N15</f>
        <v>3</v>
      </c>
      <c r="L15" s="71" t="n">
        <f aca="false">VLOOKUP(1,AA14:AK17,3,FALSE())</f>
        <v>3</v>
      </c>
      <c r="M15" s="71" t="n">
        <f aca="false">VLOOKUP(1,AA14:AK17,4,FALSE())</f>
        <v>0</v>
      </c>
      <c r="N15" s="71" t="n">
        <f aca="false">VLOOKUP(1,AA14:AK17,5,FALSE())</f>
        <v>0</v>
      </c>
      <c r="O15" s="71" t="str">
        <f aca="false">VLOOKUP(1,AA14:AK17,6,FALSE()) &amp; " - " &amp; VLOOKUP(1,AA14:AK17,7,FALSE())</f>
        <v>6 - 2</v>
      </c>
      <c r="P15" s="72" t="n">
        <f aca="false">L15*3+M15</f>
        <v>9</v>
      </c>
      <c r="R15" s="41" t="n">
        <f aca="false">DATE(2022,11,22)+TIME(23,0,0)+gmt_delta</f>
        <v>44888.5416666667</v>
      </c>
      <c r="S15" s="42" t="str">
        <f aca="false">IF(OR(F15="",G15=""),"",IF(F15&gt;G15,E15&amp;"_win",IF(F15&lt;G15,E15&amp;"_lose",E15&amp;"_draw")))</f>
        <v>Morocco_lose</v>
      </c>
      <c r="T15" s="42" t="str">
        <f aca="false">IF(S15="","",IF(F15&lt;G15,H15&amp;"_win",IF(F15&gt;G15,H15&amp;"_lose",H15&amp;"_draw")))</f>
        <v>Croatia_win</v>
      </c>
      <c r="U15" s="43" t="n">
        <f aca="false">IF(S15="",0,IF(VLOOKUP(E15,$AB$8:$AK$53,7,FALSE())=VLOOKUP(H15,$AB$8:$AK$53,7,FALSE()),1,0))</f>
        <v>0</v>
      </c>
      <c r="V15" s="41" t="n">
        <f aca="false">U15*F15</f>
        <v>0</v>
      </c>
      <c r="W15" s="41" t="n">
        <f aca="false">U15*G15</f>
        <v>0</v>
      </c>
      <c r="X15" s="41" t="n">
        <f aca="false">IF(OR(E15=my_team,H15=my_team),1,0)</f>
        <v>0</v>
      </c>
      <c r="Y15" s="41" t="n">
        <f aca="false">IF(OR(F15="",G15=""),"",IF(F15&gt;G15,1,IF(F15&lt;G15,-1,0)))</f>
        <v>-1</v>
      </c>
      <c r="AA15" s="41" t="n">
        <f aca="false">COUNTIF(AN14:AN17,CONCATENATE("&gt;=",AN15))</f>
        <v>4</v>
      </c>
      <c r="AB15" s="43" t="str">
        <f aca="false">VLOOKUP("Iran",T,lang,FALSE())</f>
        <v>Iran</v>
      </c>
      <c r="AC15" s="41" t="n">
        <f aca="false">COUNTIF($S$7:$T$54,"=" &amp; AB15 &amp; "_win")</f>
        <v>0</v>
      </c>
      <c r="AD15" s="41" t="n">
        <f aca="false">COUNTIF($S$7:$T$54,"=" &amp; AB15 &amp; "_draw")</f>
        <v>0</v>
      </c>
      <c r="AE15" s="41" t="n">
        <f aca="false">COUNTIF($S$7:$T$54,"=" &amp; AB15 &amp; "_lose")</f>
        <v>3</v>
      </c>
      <c r="AF15" s="41" t="n">
        <f aca="false">SUMIF($E$7:$E$54,$AB15,$F$7:$F$54) + SUMIF($H$7:$H$54,$AB15,$G$7:$G$54)</f>
        <v>0</v>
      </c>
      <c r="AG15" s="41" t="n">
        <f aca="false">SUMIF($E$7:$E$54,$AB15,$G$7:$G$54) + SUMIF($H$7:$H$54,$AB15,$F$7:$F$54)</f>
        <v>6</v>
      </c>
      <c r="AH15" s="41" t="n">
        <f aca="false">(AF15-AG15)*100+AK15*10000+AF15</f>
        <v>-600</v>
      </c>
      <c r="AI15" s="41" t="n">
        <f aca="false">AF15-AG15</f>
        <v>-6</v>
      </c>
      <c r="AJ15" s="41" t="n">
        <f aca="false">(AI15-AI19)/AI18</f>
        <v>0</v>
      </c>
      <c r="AK15" s="41" t="n">
        <f aca="false">AC15*3+AD15</f>
        <v>0</v>
      </c>
      <c r="AL15" s="41" t="n">
        <f aca="false">AP15/AP18*1000+AQ15/AQ18*100+AT15/AT18*10+AR15/AR18</f>
        <v>0</v>
      </c>
      <c r="AM15" s="41" t="n">
        <f aca="false">VLOOKUP(AB15,db_fifarank,2,FALSE())/2000000</f>
        <v>0.000782</v>
      </c>
      <c r="AN15" s="43" t="n">
        <f aca="false">1000*AK15/AK18+100*AJ15+10*AF15/AF18+1*AL15/AL18+AM15</f>
        <v>0.000782</v>
      </c>
      <c r="AO15" s="43" t="str">
        <f aca="false">IF(SUM(AC14:AE17)=12,J16,INDEX(T,73,lang))</f>
        <v>United States</v>
      </c>
      <c r="AP15" s="41" t="n">
        <f aca="false">SUMPRODUCT(($S$7:$S$54=AB15&amp;"_win")*($U$7:$U$54))+SUMPRODUCT(($T$7:$T$54=AB15&amp;"_win")*($U$7:$U$54))</f>
        <v>0</v>
      </c>
      <c r="AQ15" s="41" t="n">
        <f aca="false">SUMPRODUCT(($S$7:$S$54=AB15&amp;"_draw")*($U$7:$U$54))+SUMPRODUCT(($T$7:$T$54=AB15&amp;"_draw")*($U$7:$U$54))</f>
        <v>0</v>
      </c>
      <c r="AR15" s="41" t="n">
        <f aca="false">SUMPRODUCT(($E$7:$E$54=AB15)*($U$7:$U$54)*($F$7:$F$54))+SUMPRODUCT(($H$7:$H$54=AB15)*($U$7:$U$54)*($G$7:$G$54))</f>
        <v>0</v>
      </c>
      <c r="AS15" s="41" t="n">
        <f aca="false">SUMPRODUCT(($E$7:$E$54=AB15)*($U$7:$U$54)*($G$7:$G$54))+SUMPRODUCT(($H$7:$H$54=AB15)*($U$7:$U$54)*($F$7:$F$54))</f>
        <v>0</v>
      </c>
      <c r="AT15" s="41" t="n">
        <f aca="false">AR15-AS15</f>
        <v>0</v>
      </c>
      <c r="AY15" s="77"/>
      <c r="AZ15" s="82" t="str">
        <f aca="false">AO27</f>
        <v>France</v>
      </c>
      <c r="BA15" s="83" t="n">
        <v>1</v>
      </c>
      <c r="BB15" s="84" t="n">
        <v>0</v>
      </c>
      <c r="BC15" s="85"/>
      <c r="BD15" s="69"/>
      <c r="BE15" s="69"/>
      <c r="BF15" s="69"/>
      <c r="BG15" s="69"/>
      <c r="BH15" s="69"/>
      <c r="BI15" s="69"/>
      <c r="BJ15" s="69"/>
      <c r="BK15" s="91"/>
      <c r="BL15" s="69"/>
      <c r="BM15" s="69" t="str">
        <f aca="false">INDEX(T,24+MONTH(R76),lang) &amp; " " &amp; DAY(R76) &amp; ", " &amp; YEAR(R76) &amp; "   " &amp; (IF(HOUR(R76)&lt;10,0,"") &amp; HOUR(R76)) &amp; ":" &amp; (IF(MINUTE(R76)&lt;10,0,"") &amp; MINUTE(R76))</f>
        <v>Dec 13, 2022   22:00</v>
      </c>
      <c r="BN15" s="69"/>
      <c r="BO15" s="69"/>
      <c r="BP15" s="69"/>
      <c r="BQ15" s="87"/>
      <c r="BR15" s="69"/>
      <c r="BS15" s="69"/>
      <c r="BT15" s="69"/>
      <c r="BU15" s="69"/>
      <c r="BV15" s="69"/>
      <c r="BW15" s="69"/>
      <c r="BX15" s="69"/>
    </row>
    <row r="16" customFormat="false" ht="15" hidden="false" customHeight="true" outlineLevel="0" collapsed="false">
      <c r="A16" s="58" t="n">
        <v>10</v>
      </c>
      <c r="B16" s="59" t="str">
        <f aca="false">INDEX(T,18+INT(MOD(R16-1,7)),lang)</f>
        <v>Wed</v>
      </c>
      <c r="C16" s="60" t="str">
        <f aca="false">INDEX(T,24+MONTH(R16),lang) &amp; " " &amp; DAY(R16) &amp; ", " &amp; YEAR(R16)</f>
        <v>Nov 23, 2022</v>
      </c>
      <c r="D16" s="61" t="n">
        <f aca="false">TIME(HOUR(R16),MINUTE(R16),0)</f>
        <v>0.666666666666667</v>
      </c>
      <c r="E16" s="62" t="str">
        <f aca="false">AB34</f>
        <v>Germany</v>
      </c>
      <c r="F16" s="63" t="n">
        <v>2</v>
      </c>
      <c r="G16" s="64" t="n">
        <v>0</v>
      </c>
      <c r="H16" s="65" t="str">
        <f aca="false">AB35</f>
        <v>Japan</v>
      </c>
      <c r="J16" s="74" t="str">
        <f aca="false">VLOOKUP(2,AA14:AK17,2,FALSE())</f>
        <v>United States</v>
      </c>
      <c r="K16" s="75" t="n">
        <f aca="false">L16+M16+N16</f>
        <v>3</v>
      </c>
      <c r="L16" s="75" t="n">
        <f aca="false">VLOOKUP(2,AA14:AK17,3,FALSE())</f>
        <v>1</v>
      </c>
      <c r="M16" s="75" t="n">
        <f aca="false">VLOOKUP(2,AA14:AK17,4,FALSE())</f>
        <v>1</v>
      </c>
      <c r="N16" s="75" t="n">
        <f aca="false">VLOOKUP(2,AA14:AK17,5,FALSE())</f>
        <v>1</v>
      </c>
      <c r="O16" s="75" t="str">
        <f aca="false">VLOOKUP(2,AA14:AK17,6,FALSE()) &amp; " - " &amp; VLOOKUP(2,AA14:AK17,7,FALSE())</f>
        <v>4 - 3</v>
      </c>
      <c r="P16" s="76" t="n">
        <f aca="false">L16*3+M16</f>
        <v>4</v>
      </c>
      <c r="R16" s="41" t="n">
        <f aca="false">DATE(2022,11,23)+TIME(2,0,0)+gmt_delta</f>
        <v>44888.6666666667</v>
      </c>
      <c r="S16" s="42" t="str">
        <f aca="false">IF(OR(F16="",G16=""),"",IF(F16&gt;G16,E16&amp;"_win",IF(F16&lt;G16,E16&amp;"_lose",E16&amp;"_draw")))</f>
        <v>Germany_win</v>
      </c>
      <c r="T16" s="42" t="str">
        <f aca="false">IF(S16="","",IF(F16&lt;G16,H16&amp;"_win",IF(F16&gt;G16,H16&amp;"_lose",H16&amp;"_draw")))</f>
        <v>Japan_lose</v>
      </c>
      <c r="U16" s="43" t="n">
        <f aca="false">IF(S16="",0,IF(VLOOKUP(E16,$AB$8:$AK$53,7,FALSE())=VLOOKUP(H16,$AB$8:$AK$53,7,FALSE()),1,0))</f>
        <v>0</v>
      </c>
      <c r="V16" s="41" t="n">
        <f aca="false">U16*F16</f>
        <v>0</v>
      </c>
      <c r="W16" s="41" t="n">
        <f aca="false">U16*G16</f>
        <v>0</v>
      </c>
      <c r="X16" s="41" t="n">
        <f aca="false">IF(OR(E16=my_team,H16=my_team),1,0)</f>
        <v>0</v>
      </c>
      <c r="Y16" s="41" t="n">
        <f aca="false">IF(OR(F16="",G16=""),"",IF(F16&gt;G16,1,IF(F16&lt;G16,-1,0)))</f>
        <v>1</v>
      </c>
      <c r="AA16" s="41" t="n">
        <f aca="false">COUNTIF(AN14:AN17,CONCATENATE("&gt;=",AN16))</f>
        <v>2</v>
      </c>
      <c r="AB16" s="43" t="str">
        <f aca="false">VLOOKUP("United States",T,lang,FALSE())</f>
        <v>United States</v>
      </c>
      <c r="AC16" s="41" t="n">
        <f aca="false">COUNTIF($S$7:$T$54,"=" &amp; AB16 &amp; "_win")</f>
        <v>1</v>
      </c>
      <c r="AD16" s="41" t="n">
        <f aca="false">COUNTIF($S$7:$T$54,"=" &amp; AB16 &amp; "_draw")</f>
        <v>1</v>
      </c>
      <c r="AE16" s="41" t="n">
        <f aca="false">COUNTIF($S$7:$T$54,"=" &amp; AB16 &amp; "_lose")</f>
        <v>1</v>
      </c>
      <c r="AF16" s="41" t="n">
        <f aca="false">SUMIF($E$7:$E$54,$AB16,$F$7:$F$54) + SUMIF($H$7:$H$54,$AB16,$G$7:$G$54)</f>
        <v>4</v>
      </c>
      <c r="AG16" s="41" t="n">
        <f aca="false">SUMIF($E$7:$E$54,$AB16,$G$7:$G$54) + SUMIF($H$7:$H$54,$AB16,$F$7:$F$54)</f>
        <v>3</v>
      </c>
      <c r="AH16" s="41" t="n">
        <f aca="false">(AF16-AG16)*100+AK16*10000+AF16</f>
        <v>40104</v>
      </c>
      <c r="AI16" s="41" t="n">
        <f aca="false">AF16-AG16</f>
        <v>1</v>
      </c>
      <c r="AJ16" s="41" t="n">
        <f aca="false">(AI16-AI19)/AI18</f>
        <v>0.636363636363636</v>
      </c>
      <c r="AK16" s="41" t="n">
        <f aca="false">AC16*3+AD16</f>
        <v>4</v>
      </c>
      <c r="AL16" s="41" t="n">
        <f aca="false">AP16/AP18*1000+AQ16/AQ18*100+AT16/AT18*10+AR16/AR18</f>
        <v>50.5</v>
      </c>
      <c r="AM16" s="41" t="n">
        <f aca="false">VLOOKUP(AB16,db_fifarank,2,FALSE())/2000000</f>
        <v>0.00081686</v>
      </c>
      <c r="AN16" s="43" t="n">
        <f aca="false">1000*AK16/AK18+100*AJ16+10*AF16/AF18+1*AL16/AL18+AM16</f>
        <v>470.332048734921</v>
      </c>
      <c r="AP16" s="41" t="n">
        <f aca="false">SUMPRODUCT(($S$7:$S$54=AB16&amp;"_win")*($U$7:$U$54))+SUMPRODUCT(($T$7:$T$54=AB16&amp;"_win")*($U$7:$U$54))</f>
        <v>0</v>
      </c>
      <c r="AQ16" s="41" t="n">
        <f aca="false">SUMPRODUCT(($S$7:$S$54=AB16&amp;"_draw")*($U$7:$U$54))+SUMPRODUCT(($T$7:$T$54=AB16&amp;"_draw")*($U$7:$U$54))</f>
        <v>1</v>
      </c>
      <c r="AR16" s="41" t="n">
        <f aca="false">SUMPRODUCT(($E$7:$E$54=AB16)*($U$7:$U$54)*($F$7:$F$54))+SUMPRODUCT(($H$7:$H$54=AB16)*($U$7:$U$54)*($G$7:$G$54))</f>
        <v>1</v>
      </c>
      <c r="AS16" s="41" t="n">
        <f aca="false">SUMPRODUCT(($E$7:$E$54=AB16)*($U$7:$U$54)*($G$7:$G$54))+SUMPRODUCT(($H$7:$H$54=AB16)*($U$7:$U$54)*($F$7:$F$54))</f>
        <v>1</v>
      </c>
      <c r="AT16" s="41" t="n">
        <f aca="false">AR16-AS16</f>
        <v>0</v>
      </c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91"/>
      <c r="BL16" s="69"/>
      <c r="BM16" s="77" t="n">
        <v>61</v>
      </c>
      <c r="BN16" s="78" t="str">
        <f aca="false">T69</f>
        <v>Argentina</v>
      </c>
      <c r="BO16" s="79" t="n">
        <v>1</v>
      </c>
      <c r="BP16" s="80"/>
      <c r="BQ16" s="81"/>
      <c r="BR16" s="69"/>
      <c r="BS16" s="69"/>
      <c r="BT16" s="69"/>
      <c r="BU16" s="69"/>
      <c r="BV16" s="69"/>
      <c r="BW16" s="69"/>
      <c r="BX16" s="69"/>
    </row>
    <row r="17" customFormat="false" ht="15" hidden="false" customHeight="true" outlineLevel="0" collapsed="false">
      <c r="A17" s="58" t="n">
        <v>11</v>
      </c>
      <c r="B17" s="59" t="str">
        <f aca="false">INDEX(T,18+INT(MOD(R17-1,7)),lang)</f>
        <v>Wed</v>
      </c>
      <c r="C17" s="60" t="str">
        <f aca="false">INDEX(T,24+MONTH(R17),lang) &amp; " " &amp; DAY(R17) &amp; ", " &amp; YEAR(R17)</f>
        <v>Nov 23, 2022</v>
      </c>
      <c r="D17" s="61" t="n">
        <f aca="false">TIME(HOUR(R17),MINUTE(R17),0)</f>
        <v>0.791666666666667</v>
      </c>
      <c r="E17" s="62" t="str">
        <f aca="false">AB32</f>
        <v>Spain</v>
      </c>
      <c r="F17" s="63" t="n">
        <v>1</v>
      </c>
      <c r="G17" s="64" t="n">
        <v>2</v>
      </c>
      <c r="H17" s="65" t="str">
        <f aca="false">AB33</f>
        <v>Costa Rica</v>
      </c>
      <c r="J17" s="74" t="str">
        <f aca="false">VLOOKUP(3,AA14:AK17,2,FALSE())</f>
        <v>Wales</v>
      </c>
      <c r="K17" s="75" t="n">
        <f aca="false">L17+M17+N17</f>
        <v>3</v>
      </c>
      <c r="L17" s="75" t="n">
        <f aca="false">VLOOKUP(3,AA14:AK17,3,FALSE())</f>
        <v>1</v>
      </c>
      <c r="M17" s="75" t="n">
        <f aca="false">VLOOKUP(3,AA14:AK17,4,FALSE())</f>
        <v>1</v>
      </c>
      <c r="N17" s="75" t="n">
        <f aca="false">VLOOKUP(3,AA14:AK17,5,FALSE())</f>
        <v>1</v>
      </c>
      <c r="O17" s="75" t="str">
        <f aca="false">VLOOKUP(3,AA14:AK17,6,FALSE()) &amp; " - " &amp; VLOOKUP(3,AA14:AK17,7,FALSE())</f>
        <v>4 - 3</v>
      </c>
      <c r="P17" s="76" t="n">
        <f aca="false">L17*3+M17</f>
        <v>4</v>
      </c>
      <c r="R17" s="41" t="n">
        <f aca="false">DATE(2022,11,23)+TIME(5,0,0)+gmt_delta</f>
        <v>44888.7916666667</v>
      </c>
      <c r="S17" s="42" t="str">
        <f aca="false">IF(OR(F17="",G17=""),"",IF(F17&gt;G17,E17&amp;"_win",IF(F17&lt;G17,E17&amp;"_lose",E17&amp;"_draw")))</f>
        <v>Spain_lose</v>
      </c>
      <c r="T17" s="42" t="str">
        <f aca="false">IF(S17="","",IF(F17&lt;G17,H17&amp;"_win",IF(F17&gt;G17,H17&amp;"_lose",H17&amp;"_draw")))</f>
        <v>Costa Rica_win</v>
      </c>
      <c r="U17" s="43" t="n">
        <f aca="false">IF(S17="",0,IF(VLOOKUP(E17,$AB$8:$AK$53,7,FALSE())=VLOOKUP(H17,$AB$8:$AK$53,7,FALSE()),1,0))</f>
        <v>0</v>
      </c>
      <c r="V17" s="41" t="n">
        <f aca="false">U17*F17</f>
        <v>0</v>
      </c>
      <c r="W17" s="41" t="n">
        <f aca="false">U17*G17</f>
        <v>0</v>
      </c>
      <c r="X17" s="41" t="n">
        <f aca="false">IF(OR(E17=my_team,H17=my_team),1,0)</f>
        <v>0</v>
      </c>
      <c r="Y17" s="41" t="n">
        <f aca="false">IF(OR(F17="",G17=""),"",IF(F17&gt;G17,1,IF(F17&lt;G17,-1,0)))</f>
        <v>-1</v>
      </c>
      <c r="AA17" s="41" t="n">
        <f aca="false">COUNTIF(AN14:AN17,CONCATENATE("&gt;=",AN17))</f>
        <v>3</v>
      </c>
      <c r="AB17" s="43" t="str">
        <f aca="false">VLOOKUP("Wales",T,lang,FALSE())</f>
        <v>Wales</v>
      </c>
      <c r="AC17" s="41" t="n">
        <f aca="false">COUNTIF($S$7:$T$54,"=" &amp; AB17 &amp; "_win")</f>
        <v>1</v>
      </c>
      <c r="AD17" s="41" t="n">
        <f aca="false">COUNTIF($S$7:$T$54,"=" &amp; AB17 &amp; "_draw")</f>
        <v>1</v>
      </c>
      <c r="AE17" s="41" t="n">
        <f aca="false">COUNTIF($S$7:$T$54,"=" &amp; AB17 &amp; "_lose")</f>
        <v>1</v>
      </c>
      <c r="AF17" s="41" t="n">
        <f aca="false">SUMIF($E$7:$E$54,$AB17,$F$7:$F$54) + SUMIF($H$7:$H$54,$AB17,$G$7:$G$54)</f>
        <v>4</v>
      </c>
      <c r="AG17" s="41" t="n">
        <f aca="false">SUMIF($E$7:$E$54,$AB17,$G$7:$G$54) + SUMIF($H$7:$H$54,$AB17,$F$7:$F$54)</f>
        <v>3</v>
      </c>
      <c r="AH17" s="41" t="n">
        <f aca="false">(AF17-AG17)*100+AK17*10000+AF17</f>
        <v>40104</v>
      </c>
      <c r="AI17" s="41" t="n">
        <f aca="false">AF17-AG17</f>
        <v>1</v>
      </c>
      <c r="AJ17" s="41" t="n">
        <f aca="false">(AI17-AI19)/AI18</f>
        <v>0.636363636363636</v>
      </c>
      <c r="AK17" s="41" t="n">
        <f aca="false">AC17*3+AD17</f>
        <v>4</v>
      </c>
      <c r="AL17" s="41" t="n">
        <f aca="false">AP17/AP18*1000+AQ17/AQ18*100+AT17/AT18*10+AR17/AR18</f>
        <v>50.5</v>
      </c>
      <c r="AM17" s="41" t="n">
        <f aca="false">VLOOKUP(AB17,db_fifarank,2,FALSE())/2000000</f>
        <v>0.000791065</v>
      </c>
      <c r="AN17" s="43" t="n">
        <f aca="false">1000*AK17/AK18+100*AJ17+10*AF17/AF18+1*AL17/AL18+AM17</f>
        <v>470.332022939921</v>
      </c>
      <c r="AP17" s="41" t="n">
        <f aca="false">SUMPRODUCT(($S$7:$S$54=AB17&amp;"_win")*($U$7:$U$54))+SUMPRODUCT(($T$7:$T$54=AB17&amp;"_win")*($U$7:$U$54))</f>
        <v>0</v>
      </c>
      <c r="AQ17" s="41" t="n">
        <f aca="false">SUMPRODUCT(($S$7:$S$54=AB17&amp;"_draw")*($U$7:$U$54))+SUMPRODUCT(($T$7:$T$54=AB17&amp;"_draw")*($U$7:$U$54))</f>
        <v>1</v>
      </c>
      <c r="AR17" s="41" t="n">
        <f aca="false">SUMPRODUCT(($E$7:$E$54=AB17)*($U$7:$U$54)*($F$7:$F$54))+SUMPRODUCT(($H$7:$H$54=AB17)*($U$7:$U$54)*($G$7:$G$54))</f>
        <v>1</v>
      </c>
      <c r="AS17" s="41" t="n">
        <f aca="false">SUMPRODUCT(($E$7:$E$54=AB17)*($U$7:$U$54)*($G$7:$G$54))+SUMPRODUCT(($H$7:$H$54=AB17)*($U$7:$U$54)*($F$7:$F$54))</f>
        <v>1</v>
      </c>
      <c r="AT17" s="41" t="n">
        <f aca="false">AR17-AS17</f>
        <v>0</v>
      </c>
      <c r="AY17" s="69" t="str">
        <f aca="false">INDEX(T,24+MONTH(R62),lang) &amp; " " &amp; DAY(R62) &amp; ", " &amp; YEAR(R62) &amp; "   " &amp; (IF(HOUR(R62)&lt;10,0,"")&amp;HOUR(R62)) &amp; ":" &amp;  (IF(MINUTE(R62)&lt;10,0,"")&amp;MINUTE(R62))</f>
        <v>Dec 5, 2022   18:00</v>
      </c>
      <c r="AZ17" s="69"/>
      <c r="BA17" s="69"/>
      <c r="BB17" s="69"/>
      <c r="BC17" s="87"/>
      <c r="BD17" s="69"/>
      <c r="BE17" s="69"/>
      <c r="BF17" s="69"/>
      <c r="BG17" s="69"/>
      <c r="BH17" s="69"/>
      <c r="BI17" s="69"/>
      <c r="BJ17" s="69"/>
      <c r="BK17" s="91"/>
      <c r="BL17" s="92"/>
      <c r="BM17" s="77"/>
      <c r="BN17" s="82" t="str">
        <f aca="false">T70</f>
        <v>Brazil</v>
      </c>
      <c r="BO17" s="83" t="n">
        <v>0</v>
      </c>
      <c r="BP17" s="84"/>
      <c r="BQ17" s="85"/>
      <c r="BR17" s="86"/>
      <c r="BS17" s="94"/>
      <c r="BT17" s="69"/>
      <c r="BU17" s="69"/>
      <c r="BV17" s="69"/>
      <c r="BW17" s="69"/>
      <c r="BX17" s="69"/>
    </row>
    <row r="18" customFormat="false" ht="15" hidden="false" customHeight="true" outlineLevel="0" collapsed="false">
      <c r="A18" s="58" t="n">
        <v>12</v>
      </c>
      <c r="B18" s="59" t="str">
        <f aca="false">INDEX(T,18+INT(MOD(R18-1,7)),lang)</f>
        <v>Wed</v>
      </c>
      <c r="C18" s="60" t="str">
        <f aca="false">INDEX(T,24+MONTH(R18),lang) &amp; " " &amp; DAY(R18) &amp; ", " &amp; YEAR(R18)</f>
        <v>Nov 23, 2022</v>
      </c>
      <c r="D18" s="61" t="n">
        <f aca="false">TIME(HOUR(R18),MINUTE(R18),0)</f>
        <v>0.916666666666667</v>
      </c>
      <c r="E18" s="62" t="str">
        <f aca="false">AB38</f>
        <v>Belgium</v>
      </c>
      <c r="F18" s="63" t="n">
        <v>2</v>
      </c>
      <c r="G18" s="64" t="n">
        <v>0</v>
      </c>
      <c r="H18" s="65" t="str">
        <f aca="false">AB39</f>
        <v>Canada</v>
      </c>
      <c r="J18" s="88" t="str">
        <f aca="false">VLOOKUP(4,AA14:AK17,2,FALSE())</f>
        <v>Iran</v>
      </c>
      <c r="K18" s="89" t="n">
        <f aca="false">L18+M18+N18</f>
        <v>3</v>
      </c>
      <c r="L18" s="89" t="n">
        <f aca="false">VLOOKUP(4,AA14:AK17,3,FALSE())</f>
        <v>0</v>
      </c>
      <c r="M18" s="89" t="n">
        <f aca="false">VLOOKUP(4,AA14:AK17,4,FALSE())</f>
        <v>0</v>
      </c>
      <c r="N18" s="89" t="n">
        <f aca="false">VLOOKUP(4,AA14:AK17,5,FALSE())</f>
        <v>3</v>
      </c>
      <c r="O18" s="89" t="str">
        <f aca="false">VLOOKUP(4,AA14:AK17,6,FALSE()) &amp; " - " &amp; VLOOKUP(4,AA14:AK17,7,FALSE())</f>
        <v>0 - 6</v>
      </c>
      <c r="P18" s="90" t="n">
        <f aca="false">L18*3+M18</f>
        <v>0</v>
      </c>
      <c r="R18" s="41" t="n">
        <f aca="false">DATE(2022,11,23)+TIME(8,0,0)+gmt_delta</f>
        <v>44888.9166666667</v>
      </c>
      <c r="S18" s="42" t="str">
        <f aca="false">IF(OR(F18="",G18=""),"",IF(F18&gt;G18,E18&amp;"_win",IF(F18&lt;G18,E18&amp;"_lose",E18&amp;"_draw")))</f>
        <v>Belgium_win</v>
      </c>
      <c r="T18" s="42" t="str">
        <f aca="false">IF(S18="","",IF(F18&lt;G18,H18&amp;"_win",IF(F18&gt;G18,H18&amp;"_lose",H18&amp;"_draw")))</f>
        <v>Canada_lose</v>
      </c>
      <c r="U18" s="43" t="n">
        <f aca="false">IF(S18="",0,IF(VLOOKUP(E18,$AB$8:$AK$53,7,FALSE())=VLOOKUP(H18,$AB$8:$AK$53,7,FALSE()),1,0))</f>
        <v>0</v>
      </c>
      <c r="V18" s="41" t="n">
        <f aca="false">U18*F18</f>
        <v>0</v>
      </c>
      <c r="W18" s="41" t="n">
        <f aca="false">U18*G18</f>
        <v>0</v>
      </c>
      <c r="X18" s="41" t="n">
        <f aca="false">IF(OR(E18=my_team,H18=my_team),1,0)</f>
        <v>0</v>
      </c>
      <c r="Y18" s="41" t="n">
        <f aca="false">IF(OR(F18="",G18=""),"",IF(F18&gt;G18,1,IF(F18&lt;G18,-1,0)))</f>
        <v>1</v>
      </c>
      <c r="AC18" s="41" t="n">
        <f aca="false">MAX(AC14:AC17)-MIN(AC14:AC17)+1</f>
        <v>4</v>
      </c>
      <c r="AD18" s="41" t="n">
        <f aca="false">MAX(AD14:AD17)-MIN(AD14:AD17)+1</f>
        <v>2</v>
      </c>
      <c r="AE18" s="41" t="n">
        <f aca="false">MAX(AE14:AE17)-MIN(AE14:AE17)+1</f>
        <v>4</v>
      </c>
      <c r="AF18" s="41" t="n">
        <f aca="false">MAX(AF14:AF17)-MIN(AF14:AF17)+1</f>
        <v>7</v>
      </c>
      <c r="AG18" s="41" t="n">
        <f aca="false">MAX(AG14:AG17)-MIN(AG14:AG17)+1</f>
        <v>5</v>
      </c>
      <c r="AH18" s="41" t="n">
        <f aca="false">MAX(AH14:AH17)-AH19+1</f>
        <v>91007</v>
      </c>
      <c r="AI18" s="41" t="n">
        <f aca="false">MAX(AI14:AI17)-AI19+1</f>
        <v>11</v>
      </c>
      <c r="AK18" s="41" t="n">
        <f aca="false">MAX(AK14:AK17)-MIN(AK14:AK17)+1</f>
        <v>10</v>
      </c>
      <c r="AL18" s="41" t="n">
        <f aca="false">MAX(AL14:AL17)-MIN(AL14:AL17)+1</f>
        <v>51.5</v>
      </c>
      <c r="AP18" s="41" t="n">
        <f aca="false">MAX(AP14:AP17)-MIN(AP14:AP17)+1</f>
        <v>1</v>
      </c>
      <c r="AQ18" s="41" t="n">
        <f aca="false">MAX(AQ14:AQ17)-MIN(AQ14:AQ17)+1</f>
        <v>2</v>
      </c>
      <c r="AR18" s="41" t="n">
        <f aca="false">MAX(AR14:AR17)-MIN(AR14:AR17)+1</f>
        <v>2</v>
      </c>
      <c r="AS18" s="41" t="n">
        <f aca="false">MAX(AS14:AS17)-MIN(AS14:AS17)+1</f>
        <v>2</v>
      </c>
      <c r="AT18" s="41" t="n">
        <f aca="false">MAX(AT14:AT17)-MIN(AT14:AT17)+1</f>
        <v>1</v>
      </c>
      <c r="AY18" s="77" t="n">
        <v>53</v>
      </c>
      <c r="AZ18" s="78" t="str">
        <f aca="false">AO32</f>
        <v>Germany</v>
      </c>
      <c r="BA18" s="79" t="n">
        <v>2</v>
      </c>
      <c r="BB18" s="80"/>
      <c r="BC18" s="81"/>
      <c r="BD18" s="69"/>
      <c r="BE18" s="69"/>
      <c r="BF18" s="69"/>
      <c r="BG18" s="69"/>
      <c r="BH18" s="69"/>
      <c r="BI18" s="69"/>
      <c r="BJ18" s="69"/>
      <c r="BK18" s="91"/>
      <c r="BL18" s="69"/>
      <c r="BM18" s="69"/>
      <c r="BN18" s="69"/>
      <c r="BO18" s="69"/>
      <c r="BP18" s="69"/>
      <c r="BQ18" s="69"/>
      <c r="BR18" s="91"/>
      <c r="BS18" s="69"/>
      <c r="BT18" s="69"/>
      <c r="BU18" s="69"/>
      <c r="BV18" s="69"/>
      <c r="BW18" s="69"/>
      <c r="BX18" s="69"/>
    </row>
    <row r="19" customFormat="false" ht="15" hidden="false" customHeight="true" outlineLevel="0" collapsed="false">
      <c r="A19" s="58" t="n">
        <v>13</v>
      </c>
      <c r="B19" s="59" t="str">
        <f aca="false">INDEX(T,18+INT(MOD(R19-1,7)),lang)</f>
        <v>Thu</v>
      </c>
      <c r="C19" s="60" t="str">
        <f aca="false">INDEX(T,24+MONTH(R19),lang) &amp; " " &amp; DAY(R19) &amp; ", " &amp; YEAR(R19)</f>
        <v>Nov 24, 2022</v>
      </c>
      <c r="D19" s="61" t="n">
        <f aca="false">TIME(HOUR(R19),MINUTE(R19),0)</f>
        <v>0.541666666666667</v>
      </c>
      <c r="E19" s="62" t="str">
        <f aca="false">AB46</f>
        <v>Switzerland</v>
      </c>
      <c r="F19" s="63" t="n">
        <v>2</v>
      </c>
      <c r="G19" s="64" t="n">
        <v>1</v>
      </c>
      <c r="H19" s="65" t="str">
        <f aca="false">AB47</f>
        <v>Cameroon</v>
      </c>
      <c r="R19" s="41" t="n">
        <f aca="false">DATE(2022,11,23)+TIME(23,0,0)+gmt_delta</f>
        <v>44889.5416666667</v>
      </c>
      <c r="S19" s="42" t="str">
        <f aca="false">IF(OR(F19="",G19=""),"",IF(F19&gt;G19,E19&amp;"_win",IF(F19&lt;G19,E19&amp;"_lose",E19&amp;"_draw")))</f>
        <v>Switzerland_win</v>
      </c>
      <c r="T19" s="42" t="str">
        <f aca="false">IF(S19="","",IF(F19&lt;G19,H19&amp;"_win",IF(F19&gt;G19,H19&amp;"_lose",H19&amp;"_draw")))</f>
        <v>Cameroon_lose</v>
      </c>
      <c r="U19" s="43" t="n">
        <f aca="false">IF(S19="",0,IF(VLOOKUP(E19,$AB$8:$AK$53,7,FALSE())=VLOOKUP(H19,$AB$8:$AK$53,7,FALSE()),1,0))</f>
        <v>0</v>
      </c>
      <c r="V19" s="41" t="n">
        <f aca="false">U19*F19</f>
        <v>0</v>
      </c>
      <c r="W19" s="41" t="n">
        <f aca="false">U19*G19</f>
        <v>0</v>
      </c>
      <c r="X19" s="41" t="n">
        <f aca="false">IF(OR(E19=my_team,H19=my_team),1,0)</f>
        <v>0</v>
      </c>
      <c r="Y19" s="41" t="n">
        <f aca="false">IF(OR(F19="",G19=""),"",IF(F19&gt;G19,1,IF(F19&lt;G19,-1,0)))</f>
        <v>1</v>
      </c>
      <c r="AH19" s="41" t="n">
        <f aca="false">MIN(AH14:AH17)</f>
        <v>-600</v>
      </c>
      <c r="AI19" s="41" t="n">
        <f aca="false">MIN(AI14:AI17)</f>
        <v>-6</v>
      </c>
      <c r="AY19" s="77"/>
      <c r="AZ19" s="82" t="str">
        <f aca="false">AO39</f>
        <v>Croatia</v>
      </c>
      <c r="BA19" s="83" t="n">
        <v>1</v>
      </c>
      <c r="BB19" s="84"/>
      <c r="BC19" s="85"/>
      <c r="BD19" s="86"/>
      <c r="BE19" s="69"/>
      <c r="BF19" s="69" t="str">
        <f aca="false">INDEX(T,24+MONTH(R70),lang) &amp; " " &amp; DAY(R70) &amp; ", " &amp; YEAR(R70) &amp; "   " &amp; (IF(HOUR(R70)&lt;10,0,"") &amp; HOUR(R70)) &amp; ":" &amp; (IF(MINUTE(R70)&lt;10,0,"") &amp; MINUTE(R70))</f>
        <v>Dec 9, 2022   18:00</v>
      </c>
      <c r="BG19" s="69"/>
      <c r="BH19" s="69"/>
      <c r="BI19" s="69"/>
      <c r="BJ19" s="87"/>
      <c r="BK19" s="91"/>
      <c r="BL19" s="69"/>
      <c r="BM19" s="69"/>
      <c r="BN19" s="69"/>
      <c r="BO19" s="69"/>
      <c r="BP19" s="69"/>
      <c r="BQ19" s="69"/>
      <c r="BR19" s="91"/>
      <c r="BS19" s="69"/>
      <c r="BT19" s="69"/>
      <c r="BU19" s="69"/>
      <c r="BV19" s="69"/>
      <c r="BW19" s="69"/>
      <c r="BX19" s="69"/>
    </row>
    <row r="20" customFormat="false" ht="15" hidden="false" customHeight="true" outlineLevel="0" collapsed="false">
      <c r="A20" s="58" t="n">
        <v>14</v>
      </c>
      <c r="B20" s="59" t="str">
        <f aca="false">INDEX(T,18+INT(MOD(R20-1,7)),lang)</f>
        <v>Thu</v>
      </c>
      <c r="C20" s="60" t="str">
        <f aca="false">INDEX(T,24+MONTH(R20),lang) &amp; " " &amp; DAY(R20) &amp; ", " &amp; YEAR(R20)</f>
        <v>Nov 24, 2022</v>
      </c>
      <c r="D20" s="61" t="n">
        <f aca="false">TIME(HOUR(R20),MINUTE(R20),0)</f>
        <v>0.666666666666667</v>
      </c>
      <c r="E20" s="62" t="str">
        <f aca="false">AB52</f>
        <v>Uruguay</v>
      </c>
      <c r="F20" s="63" t="n">
        <v>2</v>
      </c>
      <c r="G20" s="64" t="n">
        <v>1</v>
      </c>
      <c r="H20" s="65" t="str">
        <f aca="false">AB53</f>
        <v>Korea Republic</v>
      </c>
      <c r="J20" s="66" t="str">
        <f aca="false">INDEX(T,9,lang) &amp; " " &amp; "C"</f>
        <v>Group C</v>
      </c>
      <c r="K20" s="67" t="str">
        <f aca="false">INDEX(T,10,lang)</f>
        <v>PL</v>
      </c>
      <c r="L20" s="67" t="str">
        <f aca="false">INDEX(T,11,lang)</f>
        <v>W</v>
      </c>
      <c r="M20" s="67" t="str">
        <f aca="false">INDEX(T,12,lang)</f>
        <v>DRAW</v>
      </c>
      <c r="N20" s="67" t="str">
        <f aca="false">INDEX(T,13,lang)</f>
        <v>L</v>
      </c>
      <c r="O20" s="67" t="str">
        <f aca="false">INDEX(T,14,lang)</f>
        <v>GF - GA</v>
      </c>
      <c r="P20" s="68" t="str">
        <f aca="false">INDEX(T,15,lang)</f>
        <v>PNT</v>
      </c>
      <c r="R20" s="41" t="n">
        <f aca="false">DATE(2022,11,24)+TIME(2,0,0)+gmt_delta</f>
        <v>44889.6666666667</v>
      </c>
      <c r="S20" s="42" t="str">
        <f aca="false">IF(OR(F20="",G20=""),"",IF(F20&gt;G20,E20&amp;"_win",IF(F20&lt;G20,E20&amp;"_lose",E20&amp;"_draw")))</f>
        <v>Uruguay_win</v>
      </c>
      <c r="T20" s="42" t="str">
        <f aca="false">IF(S20="","",IF(F20&lt;G20,H20&amp;"_win",IF(F20&gt;G20,H20&amp;"_lose",H20&amp;"_draw")))</f>
        <v>Korea Republic_lose</v>
      </c>
      <c r="U20" s="43" t="n">
        <f aca="false">IF(S20="",0,IF(VLOOKUP(E20,$AB$8:$AK$53,7,FALSE())=VLOOKUP(H20,$AB$8:$AK$53,7,FALSE()),1,0))</f>
        <v>0</v>
      </c>
      <c r="V20" s="41" t="n">
        <f aca="false">U20*F20</f>
        <v>0</v>
      </c>
      <c r="W20" s="41" t="n">
        <f aca="false">U20*G20</f>
        <v>0</v>
      </c>
      <c r="X20" s="41" t="n">
        <f aca="false">IF(OR(E20=my_team,H20=my_team),1,0)</f>
        <v>0</v>
      </c>
      <c r="Y20" s="41" t="n">
        <f aca="false">IF(OR(F20="",G20=""),"",IF(F20&gt;G20,1,IF(F20&lt;G20,-1,0)))</f>
        <v>1</v>
      </c>
      <c r="AA20" s="41" t="n">
        <f aca="false">COUNTIF(AN20:AN23,CONCATENATE("&gt;=",AN20))</f>
        <v>1</v>
      </c>
      <c r="AB20" s="43" t="str">
        <f aca="false">VLOOKUP("Argentina",T,lang,FALSE())</f>
        <v>Argentina</v>
      </c>
      <c r="AC20" s="41" t="n">
        <f aca="false">COUNTIF($S$7:$T$54,"=" &amp; AB20 &amp; "_win")</f>
        <v>3</v>
      </c>
      <c r="AD20" s="41" t="n">
        <f aca="false">COUNTIF($S$7:$T$54,"=" &amp; AB20 &amp; "_draw")</f>
        <v>0</v>
      </c>
      <c r="AE20" s="41" t="n">
        <f aca="false">COUNTIF($S$7:$T$54,"=" &amp; AB20 &amp; "_lose")</f>
        <v>0</v>
      </c>
      <c r="AF20" s="41" t="n">
        <f aca="false">SUMIF($E$7:$E$54,$AB20,$F$7:$F$54) + SUMIF($H$7:$H$54,$AB20,$G$7:$G$54)</f>
        <v>7</v>
      </c>
      <c r="AG20" s="41" t="n">
        <f aca="false">SUMIF($E$7:$E$54,$AB20,$G$7:$G$54) + SUMIF($H$7:$H$54,$AB20,$F$7:$F$54)</f>
        <v>2</v>
      </c>
      <c r="AH20" s="41" t="n">
        <f aca="false">(AF20-AG20)*100+AK20*10000+AF20</f>
        <v>90507</v>
      </c>
      <c r="AI20" s="41" t="n">
        <f aca="false">AF20-AG20</f>
        <v>5</v>
      </c>
      <c r="AJ20" s="41" t="n">
        <f aca="false">(AI20-AI25)/AI24</f>
        <v>0.916666666666667</v>
      </c>
      <c r="AK20" s="41" t="n">
        <f aca="false">AC20*3+AD20</f>
        <v>9</v>
      </c>
      <c r="AL20" s="41" t="n">
        <f aca="false">AP20/AP24*1000+AQ20/AQ24*100+AT20/AT24*10+AR20/AR24</f>
        <v>0</v>
      </c>
      <c r="AM20" s="41" t="n">
        <f aca="false">VLOOKUP(AB20,db_fifarank,2,FALSE())/2000000</f>
        <v>0.0008825</v>
      </c>
      <c r="AN20" s="43" t="n">
        <f aca="false">1000*AK20/AK24+100*AJ20+10*AF20/AF24+1*AL20/AL24+AM20</f>
        <v>1000.41754916667</v>
      </c>
      <c r="AO20" s="43" t="str">
        <f aca="false">IF(SUM(AC20:AE23)=12,J21,INDEX(T,74,lang))</f>
        <v>Argentina</v>
      </c>
      <c r="AP20" s="41" t="n">
        <f aca="false">SUMPRODUCT(($S$7:$S$54=AB20&amp;"_win")*($U$7:$U$54))+SUMPRODUCT(($T$7:$T$54=AB20&amp;"_win")*($U$7:$U$54))</f>
        <v>0</v>
      </c>
      <c r="AQ20" s="41" t="n">
        <f aca="false">SUMPRODUCT(($S$7:$S$54=AB20&amp;"_draw")*($U$7:$U$54))+SUMPRODUCT(($T$7:$T$54=AB20&amp;"_draw")*($U$7:$U$54))</f>
        <v>0</v>
      </c>
      <c r="AR20" s="41" t="n">
        <f aca="false">SUMPRODUCT(($E$7:$E$54=AB20)*($U$7:$U$54)*($F$7:$F$54))+SUMPRODUCT(($H$7:$H$54=AB20)*($U$7:$U$54)*($G$7:$G$54))</f>
        <v>0</v>
      </c>
      <c r="AS20" s="41" t="n">
        <f aca="false">SUMPRODUCT(($E$7:$E$54=AB20)*($U$7:$U$54)*($G$7:$G$54))+SUMPRODUCT(($H$7:$H$54=AB20)*($U$7:$U$54)*($F$7:$F$54))</f>
        <v>0</v>
      </c>
      <c r="AT20" s="41" t="n">
        <f aca="false">AR20-AS20</f>
        <v>0</v>
      </c>
      <c r="AY20" s="69"/>
      <c r="AZ20" s="69"/>
      <c r="BA20" s="69"/>
      <c r="BB20" s="69"/>
      <c r="BC20" s="69"/>
      <c r="BD20" s="91"/>
      <c r="BE20" s="69"/>
      <c r="BF20" s="77" t="n">
        <v>58</v>
      </c>
      <c r="BG20" s="78" t="str">
        <f aca="false">T62</f>
        <v>Germany</v>
      </c>
      <c r="BH20" s="79" t="n">
        <v>1</v>
      </c>
      <c r="BI20" s="80"/>
      <c r="BJ20" s="81"/>
      <c r="BK20" s="93"/>
      <c r="BL20" s="69"/>
      <c r="BM20" s="69"/>
      <c r="BN20" s="69"/>
      <c r="BO20" s="69"/>
      <c r="BP20" s="69"/>
      <c r="BQ20" s="69"/>
      <c r="BR20" s="91"/>
      <c r="BS20" s="69"/>
      <c r="BT20" s="69"/>
      <c r="BU20" s="69"/>
      <c r="BV20" s="69"/>
      <c r="BW20" s="69"/>
      <c r="BX20" s="69"/>
    </row>
    <row r="21" customFormat="false" ht="15" hidden="false" customHeight="true" outlineLevel="0" collapsed="false">
      <c r="A21" s="58" t="n">
        <v>15</v>
      </c>
      <c r="B21" s="59" t="str">
        <f aca="false">INDEX(T,18+INT(MOD(R21-1,7)),lang)</f>
        <v>Thu</v>
      </c>
      <c r="C21" s="60" t="str">
        <f aca="false">INDEX(T,24+MONTH(R21),lang) &amp; " " &amp; DAY(R21) &amp; ", " &amp; YEAR(R21)</f>
        <v>Nov 24, 2022</v>
      </c>
      <c r="D21" s="61" t="n">
        <f aca="false">TIME(HOUR(R21),MINUTE(R21),0)</f>
        <v>0.791666666666667</v>
      </c>
      <c r="E21" s="62" t="str">
        <f aca="false">AB50</f>
        <v>Portugal</v>
      </c>
      <c r="F21" s="63" t="n">
        <v>1</v>
      </c>
      <c r="G21" s="64" t="n">
        <v>0</v>
      </c>
      <c r="H21" s="65" t="str">
        <f aca="false">AB51</f>
        <v>Ghana</v>
      </c>
      <c r="J21" s="70" t="str">
        <f aca="false">VLOOKUP(1,AA20:AK23,2,FALSE())</f>
        <v>Argentina</v>
      </c>
      <c r="K21" s="71" t="n">
        <f aca="false">L21+M21+N21</f>
        <v>3</v>
      </c>
      <c r="L21" s="71" t="n">
        <f aca="false">VLOOKUP(1,AA20:AK23,3,FALSE())</f>
        <v>3</v>
      </c>
      <c r="M21" s="71" t="n">
        <f aca="false">VLOOKUP(1,AA20:AK23,4,FALSE())</f>
        <v>0</v>
      </c>
      <c r="N21" s="71" t="n">
        <f aca="false">VLOOKUP(1,AA20:AK23,5,FALSE())</f>
        <v>0</v>
      </c>
      <c r="O21" s="71" t="str">
        <f aca="false">VLOOKUP(1,AA20:AK23,6,FALSE()) &amp; " - " &amp; VLOOKUP(1,AA20:AK23,7,FALSE())</f>
        <v>7 - 2</v>
      </c>
      <c r="P21" s="72" t="n">
        <f aca="false">L21*3+M21</f>
        <v>9</v>
      </c>
      <c r="R21" s="41" t="n">
        <f aca="false">DATE(2022,11,24)+TIME(5,0,0)+gmt_delta</f>
        <v>44889.7916666667</v>
      </c>
      <c r="S21" s="42" t="str">
        <f aca="false">IF(OR(F21="",G21=""),"",IF(F21&gt;G21,E21&amp;"_win",IF(F21&lt;G21,E21&amp;"_lose",E21&amp;"_draw")))</f>
        <v>Portugal_win</v>
      </c>
      <c r="T21" s="42" t="str">
        <f aca="false">IF(S21="","",IF(F21&lt;G21,H21&amp;"_win",IF(F21&gt;G21,H21&amp;"_lose",H21&amp;"_draw")))</f>
        <v>Ghana_lose</v>
      </c>
      <c r="U21" s="43" t="n">
        <f aca="false">IF(S21="",0,IF(VLOOKUP(E21,$AB$8:$AK$53,7,FALSE())=VLOOKUP(H21,$AB$8:$AK$53,7,FALSE()),1,0))</f>
        <v>0</v>
      </c>
      <c r="V21" s="41" t="n">
        <f aca="false">U21*F21</f>
        <v>0</v>
      </c>
      <c r="W21" s="41" t="n">
        <f aca="false">U21*G21</f>
        <v>0</v>
      </c>
      <c r="X21" s="41" t="n">
        <f aca="false">IF(OR(E21=my_team,H21=my_team),1,0)</f>
        <v>0</v>
      </c>
      <c r="Y21" s="41" t="n">
        <f aca="false">IF(OR(F21="",G21=""),"",IF(F21&gt;G21,1,IF(F21&lt;G21,-1,0)))</f>
        <v>1</v>
      </c>
      <c r="AA21" s="41" t="n">
        <f aca="false">COUNTIF(AN20:AN23,CONCATENATE("&gt;=",AN21))</f>
        <v>4</v>
      </c>
      <c r="AB21" s="43" t="str">
        <f aca="false">VLOOKUP("Saudi Arabia",T,lang,FALSE())</f>
        <v>Saudi Arabia</v>
      </c>
      <c r="AC21" s="41" t="n">
        <f aca="false">COUNTIF($S$7:$T$54,"=" &amp; AB21 &amp; "_win")</f>
        <v>0</v>
      </c>
      <c r="AD21" s="41" t="n">
        <f aca="false">COUNTIF($S$7:$T$54,"=" &amp; AB21 &amp; "_draw")</f>
        <v>0</v>
      </c>
      <c r="AE21" s="41" t="n">
        <f aca="false">COUNTIF($S$7:$T$54,"=" &amp; AB21 &amp; "_lose")</f>
        <v>3</v>
      </c>
      <c r="AF21" s="41" t="n">
        <f aca="false">SUMIF($E$7:$E$54,$AB21,$F$7:$F$54) + SUMIF($H$7:$H$54,$AB21,$G$7:$G$54)</f>
        <v>0</v>
      </c>
      <c r="AG21" s="41" t="n">
        <f aca="false">SUMIF($E$7:$E$54,$AB21,$G$7:$G$54) + SUMIF($H$7:$H$54,$AB21,$F$7:$F$54)</f>
        <v>6</v>
      </c>
      <c r="AH21" s="41" t="n">
        <f aca="false">(AF21-AG21)*100+AK21*10000+AF21</f>
        <v>-600</v>
      </c>
      <c r="AI21" s="41" t="n">
        <f aca="false">AF21-AG21</f>
        <v>-6</v>
      </c>
      <c r="AJ21" s="41" t="n">
        <f aca="false">(AI21-AI25)/AI24</f>
        <v>0</v>
      </c>
      <c r="AK21" s="41" t="n">
        <f aca="false">AC21*3+AD21</f>
        <v>0</v>
      </c>
      <c r="AL21" s="41" t="n">
        <f aca="false">AP21/AP24*1000+AQ21/AQ24*100+AT21/AT24*10+AR21/AR24</f>
        <v>0</v>
      </c>
      <c r="AM21" s="41" t="n">
        <f aca="false">VLOOKUP(AB21,db_fifarank,2,FALSE())/2000000</f>
        <v>0.0007225</v>
      </c>
      <c r="AN21" s="43" t="n">
        <f aca="false">1000*AK21/AK24+100*AJ21+10*AF21/AF24+1*AL21/AL24+AM21</f>
        <v>0.0007225</v>
      </c>
      <c r="AO21" s="43" t="str">
        <f aca="false">IF(SUM(AC20:AE23)=12,J22,INDEX(T,75,lang))</f>
        <v>Mexico</v>
      </c>
      <c r="AP21" s="41" t="n">
        <f aca="false">SUMPRODUCT(($S$7:$S$54=AB21&amp;"_win")*($U$7:$U$54))+SUMPRODUCT(($T$7:$T$54=AB21&amp;"_win")*($U$7:$U$54))</f>
        <v>0</v>
      </c>
      <c r="AQ21" s="41" t="n">
        <f aca="false">SUMPRODUCT(($S$7:$S$54=AB21&amp;"_draw")*($U$7:$U$54))+SUMPRODUCT(($T$7:$T$54=AB21&amp;"_draw")*($U$7:$U$54))</f>
        <v>0</v>
      </c>
      <c r="AR21" s="41" t="n">
        <f aca="false">SUMPRODUCT(($E$7:$E$54=AB21)*($U$7:$U$54)*($F$7:$F$54))+SUMPRODUCT(($H$7:$H$54=AB21)*($U$7:$U$54)*($G$7:$G$54))</f>
        <v>0</v>
      </c>
      <c r="AS21" s="41" t="n">
        <f aca="false">SUMPRODUCT(($E$7:$E$54=AB21)*($U$7:$U$54)*($G$7:$G$54))+SUMPRODUCT(($H$7:$H$54=AB21)*($U$7:$U$54)*($F$7:$F$54))</f>
        <v>0</v>
      </c>
      <c r="AT21" s="41" t="n">
        <f aca="false">AR21-AS21</f>
        <v>0</v>
      </c>
      <c r="AY21" s="69" t="str">
        <f aca="false">INDEX(T,24+MONTH(R63),lang) &amp; " " &amp; DAY(R63) &amp; ", " &amp; YEAR(R63) &amp; "   " &amp;  (IF(HOUR(R63)&lt;10,0,"")&amp;HOUR(R63)) &amp; ":" &amp;  (IF(MINUTE(R63)&lt;10,0,"")&amp;MINUTE(R63))</f>
        <v>Dec 5, 2022   22:00</v>
      </c>
      <c r="AZ21" s="69"/>
      <c r="BA21" s="69"/>
      <c r="BB21" s="69"/>
      <c r="BC21" s="87"/>
      <c r="BD21" s="91"/>
      <c r="BE21" s="92"/>
      <c r="BF21" s="77"/>
      <c r="BG21" s="82" t="str">
        <f aca="false">T63</f>
        <v>Brazil</v>
      </c>
      <c r="BH21" s="83" t="n">
        <v>2</v>
      </c>
      <c r="BI21" s="84"/>
      <c r="BJ21" s="85"/>
      <c r="BK21" s="69"/>
      <c r="BL21" s="69"/>
      <c r="BM21" s="69"/>
      <c r="BN21" s="69"/>
      <c r="BO21" s="69"/>
      <c r="BP21" s="69"/>
      <c r="BQ21" s="69"/>
      <c r="BR21" s="91"/>
      <c r="BS21" s="69"/>
      <c r="BT21" s="69"/>
      <c r="BU21" s="69"/>
      <c r="BV21" s="69"/>
      <c r="BW21" s="69"/>
      <c r="BX21" s="69"/>
    </row>
    <row r="22" customFormat="false" ht="15" hidden="false" customHeight="true" outlineLevel="0" collapsed="false">
      <c r="A22" s="58" t="n">
        <v>16</v>
      </c>
      <c r="B22" s="59" t="str">
        <f aca="false">INDEX(T,18+INT(MOD(R22-1,7)),lang)</f>
        <v>Thu</v>
      </c>
      <c r="C22" s="60" t="str">
        <f aca="false">INDEX(T,24+MONTH(R22),lang) &amp; " " &amp; DAY(R22) &amp; ", " &amp; YEAR(R22)</f>
        <v>Nov 24, 2022</v>
      </c>
      <c r="D22" s="61" t="n">
        <f aca="false">TIME(HOUR(R22),MINUTE(R22),0)</f>
        <v>0.916666666666667</v>
      </c>
      <c r="E22" s="62" t="str">
        <f aca="false">AB44</f>
        <v>Brazil</v>
      </c>
      <c r="F22" s="63" t="n">
        <v>2</v>
      </c>
      <c r="G22" s="64" t="n">
        <v>0</v>
      </c>
      <c r="H22" s="65" t="str">
        <f aca="false">AB45</f>
        <v>Serbia</v>
      </c>
      <c r="J22" s="74" t="str">
        <f aca="false">VLOOKUP(2,AA20:AK23,2,FALSE())</f>
        <v>Mexico</v>
      </c>
      <c r="K22" s="75" t="n">
        <f aca="false">L22+M22+N22</f>
        <v>3</v>
      </c>
      <c r="L22" s="75" t="n">
        <f aca="false">VLOOKUP(2,AA20:AK23,3,FALSE())</f>
        <v>2</v>
      </c>
      <c r="M22" s="75" t="n">
        <f aca="false">VLOOKUP(2,AA20:AK23,4,FALSE())</f>
        <v>0</v>
      </c>
      <c r="N22" s="75" t="n">
        <f aca="false">VLOOKUP(2,AA20:AK23,5,FALSE())</f>
        <v>1</v>
      </c>
      <c r="O22" s="75" t="str">
        <f aca="false">VLOOKUP(2,AA20:AK23,6,FALSE()) &amp; " - " &amp; VLOOKUP(2,AA20:AK23,7,FALSE())</f>
        <v>5 - 3</v>
      </c>
      <c r="P22" s="76" t="n">
        <f aca="false">L22*3+M22</f>
        <v>6</v>
      </c>
      <c r="R22" s="41" t="n">
        <f aca="false">DATE(2022,11,24)+TIME(8,0,0)+gmt_delta</f>
        <v>44889.9166666667</v>
      </c>
      <c r="S22" s="42" t="str">
        <f aca="false">IF(OR(F22="",G22=""),"",IF(F22&gt;G22,E22&amp;"_win",IF(F22&lt;G22,E22&amp;"_lose",E22&amp;"_draw")))</f>
        <v>Brazil_win</v>
      </c>
      <c r="T22" s="42" t="str">
        <f aca="false">IF(S22="","",IF(F22&lt;G22,H22&amp;"_win",IF(F22&gt;G22,H22&amp;"_lose",H22&amp;"_draw")))</f>
        <v>Serbia_lose</v>
      </c>
      <c r="U22" s="43" t="n">
        <f aca="false">IF(S22="",0,IF(VLOOKUP(E22,$AB$8:$AK$53,7,FALSE())=VLOOKUP(H22,$AB$8:$AK$53,7,FALSE()),1,0))</f>
        <v>0</v>
      </c>
      <c r="V22" s="41" t="n">
        <f aca="false">U22*F22</f>
        <v>0</v>
      </c>
      <c r="W22" s="41" t="n">
        <f aca="false">U22*G22</f>
        <v>0</v>
      </c>
      <c r="X22" s="41" t="n">
        <f aca="false">IF(OR(E22=my_team,H22=my_team),1,0)</f>
        <v>0</v>
      </c>
      <c r="Y22" s="41" t="n">
        <f aca="false">IF(OR(F22="",G22=""),"",IF(F22&gt;G22,1,IF(F22&lt;G22,-1,0)))</f>
        <v>1</v>
      </c>
      <c r="AA22" s="41" t="n">
        <f aca="false">COUNTIF(AN20:AN23,CONCATENATE("&gt;=",AN22))</f>
        <v>2</v>
      </c>
      <c r="AB22" s="43" t="str">
        <f aca="false">VLOOKUP("Mexico",T,lang,FALSE())</f>
        <v>Mexico</v>
      </c>
      <c r="AC22" s="41" t="n">
        <f aca="false">COUNTIF($S$7:$T$54,"=" &amp; AB22 &amp; "_win")</f>
        <v>2</v>
      </c>
      <c r="AD22" s="41" t="n">
        <f aca="false">COUNTIF($S$7:$T$54,"=" &amp; AB22 &amp; "_draw")</f>
        <v>0</v>
      </c>
      <c r="AE22" s="41" t="n">
        <f aca="false">COUNTIF($S$7:$T$54,"=" &amp; AB22 &amp; "_lose")</f>
        <v>1</v>
      </c>
      <c r="AF22" s="41" t="n">
        <f aca="false">SUMIF($E$7:$E$54,$AB22,$F$7:$F$54) + SUMIF($H$7:$H$54,$AB22,$G$7:$G$54)</f>
        <v>5</v>
      </c>
      <c r="AG22" s="41" t="n">
        <f aca="false">SUMIF($E$7:$E$54,$AB22,$G$7:$G$54) + SUMIF($H$7:$H$54,$AB22,$F$7:$F$54)</f>
        <v>3</v>
      </c>
      <c r="AH22" s="41" t="n">
        <f aca="false">(AF22-AG22)*100+AK22*10000+AF22</f>
        <v>60205</v>
      </c>
      <c r="AI22" s="41" t="n">
        <f aca="false">AF22-AG22</f>
        <v>2</v>
      </c>
      <c r="AJ22" s="41" t="n">
        <f aca="false">(AI22-AI25)/AI24</f>
        <v>0.666666666666667</v>
      </c>
      <c r="AK22" s="41" t="n">
        <f aca="false">AC22*3+AD22</f>
        <v>6</v>
      </c>
      <c r="AL22" s="41" t="n">
        <f aca="false">AP22/AP24*1000+AQ22/AQ24*100+AT22/AT24*10+AR22/AR24</f>
        <v>0</v>
      </c>
      <c r="AM22" s="41" t="n">
        <f aca="false">VLOOKUP(AB22,db_fifarank,2,FALSE())/2000000</f>
        <v>0.00082941</v>
      </c>
      <c r="AN22" s="43" t="n">
        <f aca="false">1000*AK22/AK24+100*AJ22+10*AF22/AF24+1*AL22/AL24+AM22</f>
        <v>672.917496076667</v>
      </c>
      <c r="AP22" s="41" t="n">
        <f aca="false">SUMPRODUCT(($S$7:$S$54=AB22&amp;"_win")*($U$7:$U$54))+SUMPRODUCT(($T$7:$T$54=AB22&amp;"_win")*($U$7:$U$54))</f>
        <v>0</v>
      </c>
      <c r="AQ22" s="41" t="n">
        <f aca="false">SUMPRODUCT(($S$7:$S$54=AB22&amp;"_draw")*($U$7:$U$54))+SUMPRODUCT(($T$7:$T$54=AB22&amp;"_draw")*($U$7:$U$54))</f>
        <v>0</v>
      </c>
      <c r="AR22" s="41" t="n">
        <f aca="false">SUMPRODUCT(($E$7:$E$54=AB22)*($U$7:$U$54)*($F$7:$F$54))+SUMPRODUCT(($H$7:$H$54=AB22)*($U$7:$U$54)*($G$7:$G$54))</f>
        <v>0</v>
      </c>
      <c r="AS22" s="41" t="n">
        <f aca="false">SUMPRODUCT(($E$7:$E$54=AB22)*($U$7:$U$54)*($G$7:$G$54))+SUMPRODUCT(($H$7:$H$54=AB22)*($U$7:$U$54)*($F$7:$F$54))</f>
        <v>0</v>
      </c>
      <c r="AT22" s="41" t="n">
        <f aca="false">AR22-AS22</f>
        <v>0</v>
      </c>
      <c r="AY22" s="77" t="n">
        <v>54</v>
      </c>
      <c r="AZ22" s="95" t="str">
        <f aca="false">AO44</f>
        <v>Brazil</v>
      </c>
      <c r="BA22" s="79" t="n">
        <v>1</v>
      </c>
      <c r="BB22" s="80"/>
      <c r="BC22" s="81"/>
      <c r="BD22" s="93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91"/>
      <c r="BS22" s="69"/>
      <c r="BT22" s="69" t="str">
        <f aca="false">INDEX(T,24+MONTH(R85),lang) &amp; " " &amp; DAY(R85) &amp; ", " &amp; YEAR(R85) &amp; "   " &amp; (IF(HOUR(R85)&lt;10,0,"") &amp; HOUR(R85)) &amp; ":" &amp; (IF(MINUTE(R85)&lt;10,0,"") &amp; MINUTE(R85))</f>
        <v>Dec 18, 2022   22:00</v>
      </c>
      <c r="BU22" s="69"/>
      <c r="BV22" s="69"/>
      <c r="BW22" s="69"/>
      <c r="BX22" s="87"/>
    </row>
    <row r="23" customFormat="false" ht="15" hidden="false" customHeight="true" outlineLevel="0" collapsed="false">
      <c r="A23" s="58" t="n">
        <v>17</v>
      </c>
      <c r="B23" s="59" t="str">
        <f aca="false">INDEX(T,18+INT(MOD(R23-1,7)),lang)</f>
        <v>Fri</v>
      </c>
      <c r="C23" s="60" t="str">
        <f aca="false">INDEX(T,24+MONTH(R23),lang) &amp; " " &amp; DAY(R23) &amp; ", " &amp; YEAR(R23)</f>
        <v>Nov 25, 2022</v>
      </c>
      <c r="D23" s="61" t="n">
        <f aca="false">TIME(HOUR(R23),MINUTE(R23),0)</f>
        <v>0.541666666666667</v>
      </c>
      <c r="E23" s="62" t="str">
        <f aca="false">AB17</f>
        <v>Wales</v>
      </c>
      <c r="F23" s="63" t="n">
        <v>2</v>
      </c>
      <c r="G23" s="64" t="n">
        <v>0</v>
      </c>
      <c r="H23" s="65" t="str">
        <f aca="false">AB15</f>
        <v>Iran</v>
      </c>
      <c r="J23" s="74" t="str">
        <f aca="false">VLOOKUP(3,AA20:AK23,2,FALSE())</f>
        <v>Poland</v>
      </c>
      <c r="K23" s="75" t="n">
        <f aca="false">L23+M23+N23</f>
        <v>3</v>
      </c>
      <c r="L23" s="75" t="n">
        <f aca="false">VLOOKUP(3,AA20:AK23,3,FALSE())</f>
        <v>1</v>
      </c>
      <c r="M23" s="75" t="n">
        <f aca="false">VLOOKUP(3,AA20:AK23,4,FALSE())</f>
        <v>0</v>
      </c>
      <c r="N23" s="75" t="n">
        <f aca="false">VLOOKUP(3,AA20:AK23,5,FALSE())</f>
        <v>2</v>
      </c>
      <c r="O23" s="75" t="str">
        <f aca="false">VLOOKUP(3,AA20:AK23,6,FALSE()) &amp; " - " &amp; VLOOKUP(3,AA20:AK23,7,FALSE())</f>
        <v>4 - 5</v>
      </c>
      <c r="P23" s="76" t="n">
        <f aca="false">L23*3+M23</f>
        <v>3</v>
      </c>
      <c r="R23" s="41" t="n">
        <f aca="false">DATE(2022,11,24)+TIME(23,0,0)+gmt_delta</f>
        <v>44890.5416666667</v>
      </c>
      <c r="S23" s="42" t="str">
        <f aca="false">IF(OR(F23="",G23=""),"",IF(F23&gt;G23,E23&amp;"_win",IF(F23&lt;G23,E23&amp;"_lose",E23&amp;"_draw")))</f>
        <v>Wales_win</v>
      </c>
      <c r="T23" s="42" t="str">
        <f aca="false">IF(S23="","",IF(F23&lt;G23,H23&amp;"_win",IF(F23&gt;G23,H23&amp;"_lose",H23&amp;"_draw")))</f>
        <v>Iran_lose</v>
      </c>
      <c r="U23" s="43" t="n">
        <f aca="false">IF(S23="",0,IF(VLOOKUP(E23,$AB$8:$AK$53,7,FALSE())=VLOOKUP(H23,$AB$8:$AK$53,7,FALSE()),1,0))</f>
        <v>0</v>
      </c>
      <c r="V23" s="41" t="n">
        <f aca="false">U23*F23</f>
        <v>0</v>
      </c>
      <c r="W23" s="41" t="n">
        <f aca="false">U23*G23</f>
        <v>0</v>
      </c>
      <c r="X23" s="41" t="n">
        <f aca="false">IF(OR(E23=my_team,H23=my_team),1,0)</f>
        <v>0</v>
      </c>
      <c r="Y23" s="41" t="n">
        <f aca="false">IF(OR(F23="",G23=""),"",IF(F23&gt;G23,1,IF(F23&lt;G23,-1,0)))</f>
        <v>1</v>
      </c>
      <c r="AA23" s="41" t="n">
        <f aca="false">COUNTIF(AN20:AN23,CONCATENATE("&gt;=",AN23))</f>
        <v>3</v>
      </c>
      <c r="AB23" s="43" t="str">
        <f aca="false">VLOOKUP("Poland",T,lang,FALSE())</f>
        <v>Poland</v>
      </c>
      <c r="AC23" s="41" t="n">
        <f aca="false">COUNTIF($S$7:$T$54,"=" &amp; AB23 &amp; "_win")</f>
        <v>1</v>
      </c>
      <c r="AD23" s="41" t="n">
        <f aca="false">COUNTIF($S$7:$T$54,"=" &amp; AB23 &amp; "_draw")</f>
        <v>0</v>
      </c>
      <c r="AE23" s="41" t="n">
        <f aca="false">COUNTIF($S$7:$T$54,"=" &amp; AB23 &amp; "_lose")</f>
        <v>2</v>
      </c>
      <c r="AF23" s="41" t="n">
        <f aca="false">SUMIF($E$7:$E$54,$AB23,$F$7:$F$54) + SUMIF($H$7:$H$54,$AB23,$G$7:$G$54)</f>
        <v>4</v>
      </c>
      <c r="AG23" s="41" t="n">
        <f aca="false">SUMIF($E$7:$E$54,$AB23,$G$7:$G$54) + SUMIF($H$7:$H$54,$AB23,$F$7:$F$54)</f>
        <v>5</v>
      </c>
      <c r="AH23" s="41" t="n">
        <f aca="false">(AF23-AG23)*100+AK23*10000+AF23</f>
        <v>29904</v>
      </c>
      <c r="AI23" s="41" t="n">
        <f aca="false">AF23-AG23</f>
        <v>-1</v>
      </c>
      <c r="AJ23" s="41" t="n">
        <f aca="false">(AI23-AI25)/AI24</f>
        <v>0.416666666666667</v>
      </c>
      <c r="AK23" s="41" t="n">
        <f aca="false">AC23*3+AD23</f>
        <v>3</v>
      </c>
      <c r="AL23" s="41" t="n">
        <f aca="false">AP23/AP24*1000+AQ23/AQ24*100+AT23/AT24*10+AR23/AR24</f>
        <v>0</v>
      </c>
      <c r="AM23" s="41" t="n">
        <f aca="false">VLOOKUP(AB23,db_fifarank,2,FALSE())/2000000</f>
        <v>0.000772</v>
      </c>
      <c r="AN23" s="43" t="n">
        <f aca="false">1000*AK23/AK24+100*AJ23+10*AF23/AF24+1*AL23/AL24+AM23</f>
        <v>346.667438666667</v>
      </c>
      <c r="AP23" s="41" t="n">
        <f aca="false">SUMPRODUCT(($S$7:$S$54=AB23&amp;"_win")*($U$7:$U$54))+SUMPRODUCT(($T$7:$T$54=AB23&amp;"_win")*($U$7:$U$54))</f>
        <v>0</v>
      </c>
      <c r="AQ23" s="41" t="n">
        <f aca="false">SUMPRODUCT(($S$7:$S$54=AB23&amp;"_draw")*($U$7:$U$54))+SUMPRODUCT(($T$7:$T$54=AB23&amp;"_draw")*($U$7:$U$54))</f>
        <v>0</v>
      </c>
      <c r="AR23" s="41" t="n">
        <f aca="false">SUMPRODUCT(($E$7:$E$54=AB23)*($U$7:$U$54)*($F$7:$F$54))+SUMPRODUCT(($H$7:$H$54=AB23)*($U$7:$U$54)*($G$7:$G$54))</f>
        <v>0</v>
      </c>
      <c r="AS23" s="41" t="n">
        <f aca="false">SUMPRODUCT(($E$7:$E$54=AB23)*($U$7:$U$54)*($G$7:$G$54))+SUMPRODUCT(($H$7:$H$54=AB23)*($U$7:$U$54)*($F$7:$F$54))</f>
        <v>0</v>
      </c>
      <c r="AT23" s="41" t="n">
        <f aca="false">AR23-AS23</f>
        <v>0</v>
      </c>
      <c r="AY23" s="77"/>
      <c r="AZ23" s="82" t="str">
        <f aca="false">AO51</f>
        <v>Portugal</v>
      </c>
      <c r="BA23" s="83" t="n">
        <v>0</v>
      </c>
      <c r="BB23" s="84"/>
      <c r="BC23" s="85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91"/>
      <c r="BS23" s="69"/>
      <c r="BT23" s="77" t="n">
        <v>64</v>
      </c>
      <c r="BU23" s="78" t="str">
        <f aca="false">T76</f>
        <v>Argentina</v>
      </c>
      <c r="BV23" s="79" t="n">
        <v>1</v>
      </c>
      <c r="BW23" s="80"/>
      <c r="BX23" s="81"/>
    </row>
    <row r="24" customFormat="false" ht="15" hidden="false" customHeight="true" outlineLevel="0" collapsed="false">
      <c r="A24" s="58" t="n">
        <v>18</v>
      </c>
      <c r="B24" s="59" t="str">
        <f aca="false">INDEX(T,18+INT(MOD(R24-1,7)),lang)</f>
        <v>Fri</v>
      </c>
      <c r="C24" s="60" t="str">
        <f aca="false">INDEX(T,24+MONTH(R24),lang) &amp; " " &amp; DAY(R24) &amp; ", " &amp; YEAR(R24)</f>
        <v>Nov 25, 2022</v>
      </c>
      <c r="D24" s="61" t="n">
        <f aca="false">TIME(HOUR(R24),MINUTE(R24),0)</f>
        <v>0.666666666666667</v>
      </c>
      <c r="E24" s="62" t="str">
        <f aca="false">AB9</f>
        <v>Qatar</v>
      </c>
      <c r="F24" s="63" t="n">
        <v>0</v>
      </c>
      <c r="G24" s="64" t="n">
        <v>2</v>
      </c>
      <c r="H24" s="65" t="str">
        <f aca="false">AB8</f>
        <v>Senegal</v>
      </c>
      <c r="J24" s="88" t="str">
        <f aca="false">VLOOKUP(4,AA20:AK23,2,FALSE())</f>
        <v>Saudi Arabia</v>
      </c>
      <c r="K24" s="89" t="n">
        <f aca="false">L24+M24+N24</f>
        <v>3</v>
      </c>
      <c r="L24" s="89" t="n">
        <f aca="false">VLOOKUP(4,AA20:AK23,3,FALSE())</f>
        <v>0</v>
      </c>
      <c r="M24" s="89" t="n">
        <f aca="false">VLOOKUP(4,AA20:AK23,4,FALSE())</f>
        <v>0</v>
      </c>
      <c r="N24" s="89" t="n">
        <f aca="false">VLOOKUP(4,AA20:AK23,5,FALSE())</f>
        <v>3</v>
      </c>
      <c r="O24" s="89" t="str">
        <f aca="false">VLOOKUP(4,AA20:AK23,6,FALSE()) &amp; " - " &amp; VLOOKUP(4,AA20:AK23,7,FALSE())</f>
        <v>0 - 6</v>
      </c>
      <c r="P24" s="90" t="n">
        <f aca="false">L24*3+M24</f>
        <v>0</v>
      </c>
      <c r="R24" s="41" t="n">
        <f aca="false">DATE(2022,11,25)+TIME(2,0,0)+gmt_delta</f>
        <v>44890.6666666667</v>
      </c>
      <c r="S24" s="42" t="str">
        <f aca="false">IF(OR(F24="",G24=""),"",IF(F24&gt;G24,E24&amp;"_win",IF(F24&lt;G24,E24&amp;"_lose",E24&amp;"_draw")))</f>
        <v>Qatar_lose</v>
      </c>
      <c r="T24" s="42" t="str">
        <f aca="false">IF(S24="","",IF(F24&lt;G24,H24&amp;"_win",IF(F24&gt;G24,H24&amp;"_lose",H24&amp;"_draw")))</f>
        <v>Senegal_win</v>
      </c>
      <c r="U24" s="43" t="n">
        <f aca="false">IF(S24="",0,IF(VLOOKUP(E24,$AB$8:$AK$53,7,FALSE())=VLOOKUP(H24,$AB$8:$AK$53,7,FALSE()),1,0))</f>
        <v>0</v>
      </c>
      <c r="V24" s="41" t="n">
        <f aca="false">U24*F24</f>
        <v>0</v>
      </c>
      <c r="W24" s="41" t="n">
        <f aca="false">U24*G24</f>
        <v>0</v>
      </c>
      <c r="X24" s="41" t="n">
        <f aca="false">IF(OR(E24=my_team,H24=my_team),1,0)</f>
        <v>0</v>
      </c>
      <c r="Y24" s="41" t="n">
        <f aca="false">IF(OR(F24="",G24=""),"",IF(F24&gt;G24,1,IF(F24&lt;G24,-1,0)))</f>
        <v>-1</v>
      </c>
      <c r="AC24" s="41" t="n">
        <f aca="false">MAX(AC20:AC23)-MIN(AC20:AC23)+1</f>
        <v>4</v>
      </c>
      <c r="AD24" s="41" t="n">
        <f aca="false">MAX(AD20:AD23)-MIN(AD20:AD23)+1</f>
        <v>1</v>
      </c>
      <c r="AE24" s="41" t="n">
        <f aca="false">MAX(AE20:AE23)-MIN(AE20:AE23)+1</f>
        <v>4</v>
      </c>
      <c r="AF24" s="41" t="n">
        <f aca="false">MAX(AF20:AF23)-MIN(AF20:AF23)+1</f>
        <v>8</v>
      </c>
      <c r="AG24" s="41" t="n">
        <f aca="false">MAX(AG20:AG23)-MIN(AG20:AG23)+1</f>
        <v>5</v>
      </c>
      <c r="AH24" s="41" t="n">
        <f aca="false">MAX(AH20:AH23)-AH25+1</f>
        <v>91108</v>
      </c>
      <c r="AI24" s="41" t="n">
        <f aca="false">MAX(AI20:AI23)-AI25+1</f>
        <v>12</v>
      </c>
      <c r="AK24" s="41" t="n">
        <f aca="false">MAX(AK20:AK23)-MIN(AK20:AK23)+1</f>
        <v>10</v>
      </c>
      <c r="AL24" s="41" t="n">
        <f aca="false">MAX(AL20:AL23)-MIN(AL20:AL23)+1</f>
        <v>1</v>
      </c>
      <c r="AP24" s="41" t="n">
        <f aca="false">MAX(AP20:AP23)-MIN(AP20:AP23)+1</f>
        <v>1</v>
      </c>
      <c r="AQ24" s="41" t="n">
        <f aca="false">MAX(AQ20:AQ23)-MIN(AQ20:AQ23)+1</f>
        <v>1</v>
      </c>
      <c r="AR24" s="41" t="n">
        <f aca="false">MAX(AR20:AR23)-MIN(AR20:AR23)+1</f>
        <v>1</v>
      </c>
      <c r="AS24" s="41" t="n">
        <f aca="false">MAX(AS20:AS23)-MIN(AS20:AS23)+1</f>
        <v>1</v>
      </c>
      <c r="AT24" s="41" t="n">
        <f aca="false">MAX(AT20:AT23)-MIN(AT20:AT23)+1</f>
        <v>1</v>
      </c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91"/>
      <c r="BS24" s="92"/>
      <c r="BT24" s="77"/>
      <c r="BU24" s="82" t="str">
        <f aca="false">T77</f>
        <v>Belgium</v>
      </c>
      <c r="BV24" s="83" t="n">
        <v>0</v>
      </c>
      <c r="BW24" s="84"/>
      <c r="BX24" s="85"/>
    </row>
    <row r="25" customFormat="false" ht="15" hidden="false" customHeight="true" outlineLevel="0" collapsed="false">
      <c r="A25" s="58" t="n">
        <v>19</v>
      </c>
      <c r="B25" s="59" t="str">
        <f aca="false">INDEX(T,18+INT(MOD(R25-1,7)),lang)</f>
        <v>Fri</v>
      </c>
      <c r="C25" s="60" t="str">
        <f aca="false">INDEX(T,24+MONTH(R25),lang) &amp; " " &amp; DAY(R25) &amp; ", " &amp; YEAR(R25)</f>
        <v>Nov 25, 2022</v>
      </c>
      <c r="D25" s="61" t="n">
        <f aca="false">TIME(HOUR(R25),MINUTE(R25),0)</f>
        <v>0.791666666666667</v>
      </c>
      <c r="E25" s="62" t="str">
        <f aca="false">AB11</f>
        <v>Netherlands</v>
      </c>
      <c r="F25" s="63" t="n">
        <v>2</v>
      </c>
      <c r="G25" s="64" t="n">
        <v>1</v>
      </c>
      <c r="H25" s="65" t="str">
        <f aca="false">AB10</f>
        <v>Ecuador</v>
      </c>
      <c r="R25" s="41" t="n">
        <f aca="false">DATE(2022,11,25)+TIME(5,0,0)+gmt_delta</f>
        <v>44890.7916666667</v>
      </c>
      <c r="S25" s="42" t="str">
        <f aca="false">IF(OR(F25="",G25=""),"",IF(F25&gt;G25,E25&amp;"_win",IF(F25&lt;G25,E25&amp;"_lose",E25&amp;"_draw")))</f>
        <v>Netherlands_win</v>
      </c>
      <c r="T25" s="42" t="str">
        <f aca="false">IF(S25="","",IF(F25&lt;G25,H25&amp;"_win",IF(F25&gt;G25,H25&amp;"_lose",H25&amp;"_draw")))</f>
        <v>Ecuador_lose</v>
      </c>
      <c r="U25" s="43" t="n">
        <f aca="false">IF(S25="",0,IF(VLOOKUP(E25,$AB$8:$AK$53,7,FALSE())=VLOOKUP(H25,$AB$8:$AK$53,7,FALSE()),1,0))</f>
        <v>0</v>
      </c>
      <c r="V25" s="41" t="n">
        <f aca="false">U25*F25</f>
        <v>0</v>
      </c>
      <c r="W25" s="41" t="n">
        <f aca="false">U25*G25</f>
        <v>0</v>
      </c>
      <c r="X25" s="41" t="n">
        <f aca="false">IF(OR(E25=my_team,H25=my_team),1,0)</f>
        <v>0</v>
      </c>
      <c r="Y25" s="41" t="n">
        <f aca="false">IF(OR(F25="",G25=""),"",IF(F25&gt;G25,1,IF(F25&lt;G25,-1,0)))</f>
        <v>1</v>
      </c>
      <c r="AH25" s="41" t="n">
        <f aca="false">MIN(AH20:AH23)</f>
        <v>-600</v>
      </c>
      <c r="AI25" s="41" t="n">
        <f aca="false">MIN(AI20:AI23)</f>
        <v>-6</v>
      </c>
      <c r="AY25" s="69" t="str">
        <f aca="false">INDEX(T,24+MONTH(R60),lang) &amp; " " &amp; DAY(R60) &amp; ", " &amp; YEAR(R60) &amp; "   " &amp; (IF(HOUR(R60)&lt;10,0,"")&amp;HOUR(R60)) &amp; ":" &amp;  (IF(MINUTE(R60)&lt;10,0,"")&amp;MINUTE(R60))</f>
        <v>Dec 4, 2022   22:00</v>
      </c>
      <c r="AZ25" s="69"/>
      <c r="BA25" s="69"/>
      <c r="BB25" s="69"/>
      <c r="BC25" s="96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91"/>
      <c r="BS25" s="69"/>
      <c r="BT25" s="69"/>
      <c r="BU25" s="69"/>
      <c r="BV25" s="69"/>
      <c r="BW25" s="69"/>
      <c r="BX25" s="69"/>
    </row>
    <row r="26" customFormat="false" ht="15" hidden="false" customHeight="true" outlineLevel="0" collapsed="false">
      <c r="A26" s="58" t="n">
        <v>20</v>
      </c>
      <c r="B26" s="59" t="str">
        <f aca="false">INDEX(T,18+INT(MOD(R26-1,7)),lang)</f>
        <v>Fri</v>
      </c>
      <c r="C26" s="60" t="str">
        <f aca="false">INDEX(T,24+MONTH(R26),lang) &amp; " " &amp; DAY(R26) &amp; ", " &amp; YEAR(R26)</f>
        <v>Nov 25, 2022</v>
      </c>
      <c r="D26" s="61" t="n">
        <f aca="false">TIME(HOUR(R26),MINUTE(R26),0)</f>
        <v>0.916666666666667</v>
      </c>
      <c r="E26" s="62" t="str">
        <f aca="false">AB14</f>
        <v>England</v>
      </c>
      <c r="F26" s="63" t="n">
        <v>2</v>
      </c>
      <c r="G26" s="64" t="n">
        <v>1</v>
      </c>
      <c r="H26" s="65" t="str">
        <f aca="false">AB16</f>
        <v>United States</v>
      </c>
      <c r="J26" s="66" t="str">
        <f aca="false">INDEX(T,9,lang) &amp; " " &amp; "D"</f>
        <v>Group D</v>
      </c>
      <c r="K26" s="67" t="str">
        <f aca="false">INDEX(T,10,lang)</f>
        <v>PL</v>
      </c>
      <c r="L26" s="67" t="str">
        <f aca="false">INDEX(T,11,lang)</f>
        <v>W</v>
      </c>
      <c r="M26" s="67" t="str">
        <f aca="false">INDEX(T,12,lang)</f>
        <v>DRAW</v>
      </c>
      <c r="N26" s="67" t="str">
        <f aca="false">INDEX(T,13,lang)</f>
        <v>L</v>
      </c>
      <c r="O26" s="67" t="str">
        <f aca="false">INDEX(T,14,lang)</f>
        <v>GF - GA</v>
      </c>
      <c r="P26" s="68" t="str">
        <f aca="false">INDEX(T,15,lang)</f>
        <v>PNT</v>
      </c>
      <c r="R26" s="41" t="n">
        <f aca="false">DATE(2022,11,25)+TIME(8,0,0)+gmt_delta</f>
        <v>44890.9166666667</v>
      </c>
      <c r="S26" s="42" t="str">
        <f aca="false">IF(OR(F26="",G26=""),"",IF(F26&gt;G26,E26&amp;"_win",IF(F26&lt;G26,E26&amp;"_lose",E26&amp;"_draw")))</f>
        <v>England_win</v>
      </c>
      <c r="T26" s="42" t="str">
        <f aca="false">IF(S26="","",IF(F26&lt;G26,H26&amp;"_win",IF(F26&gt;G26,H26&amp;"_lose",H26&amp;"_draw")))</f>
        <v>United States_lose</v>
      </c>
      <c r="U26" s="43" t="n">
        <f aca="false">IF(S26="",0,IF(VLOOKUP(E26,$AB$8:$AK$53,7,FALSE())=VLOOKUP(H26,$AB$8:$AK$53,7,FALSE()),1,0))</f>
        <v>0</v>
      </c>
      <c r="V26" s="41" t="n">
        <f aca="false">U26*F26</f>
        <v>0</v>
      </c>
      <c r="W26" s="41" t="n">
        <f aca="false">U26*G26</f>
        <v>0</v>
      </c>
      <c r="X26" s="41" t="n">
        <f aca="false">IF(OR(E26=my_team,H26=my_team),1,0)</f>
        <v>0</v>
      </c>
      <c r="Y26" s="41" t="n">
        <f aca="false">IF(OR(F26="",G26=""),"",IF(F26&gt;G26,1,IF(F26&lt;G26,-1,0)))</f>
        <v>1</v>
      </c>
      <c r="AA26" s="41" t="n">
        <f aca="false">COUNTIF(AN26:AN29,CONCATENATE("&gt;=",AN26))</f>
        <v>2</v>
      </c>
      <c r="AB26" s="43" t="str">
        <f aca="false">VLOOKUP("France",T,lang,FALSE())</f>
        <v>France</v>
      </c>
      <c r="AC26" s="41" t="n">
        <f aca="false">COUNTIF($S$7:$T$54,"=" &amp; AB26 &amp; "_win")</f>
        <v>1</v>
      </c>
      <c r="AD26" s="41" t="n">
        <f aca="false">COUNTIF($S$7:$T$54,"=" &amp; AB26 &amp; "_draw")</f>
        <v>1</v>
      </c>
      <c r="AE26" s="41" t="n">
        <f aca="false">COUNTIF($S$7:$T$54,"=" &amp; AB26 &amp; "_lose")</f>
        <v>1</v>
      </c>
      <c r="AF26" s="41" t="n">
        <f aca="false">SUMIF($E$7:$E$54,$AB26,$F$7:$F$54) + SUMIF($H$7:$H$54,$AB26,$G$7:$G$54)</f>
        <v>4</v>
      </c>
      <c r="AG26" s="41" t="n">
        <f aca="false">SUMIF($E$7:$E$54,$AB26,$G$7:$G$54) + SUMIF($H$7:$H$54,$AB26,$F$7:$F$54)</f>
        <v>4</v>
      </c>
      <c r="AH26" s="41" t="n">
        <f aca="false">(AF26-AG26)*100+AK26*10000+AF26</f>
        <v>40004</v>
      </c>
      <c r="AI26" s="41" t="n">
        <f aca="false">AF26-AG26</f>
        <v>0</v>
      </c>
      <c r="AJ26" s="41" t="n">
        <f aca="false">(AI26-AI31)/AI30</f>
        <v>0.375</v>
      </c>
      <c r="AK26" s="41" t="n">
        <f aca="false">AC26*3+AD26</f>
        <v>4</v>
      </c>
      <c r="AL26" s="41" t="n">
        <f aca="false">AP26/AP30*1000+AQ26/AQ30*100+AT26/AT30*10+AR26/AR30</f>
        <v>0</v>
      </c>
      <c r="AM26" s="41" t="n">
        <f aca="false">VLOOKUP(AB26,db_fifarank,2,FALSE())/2000000</f>
        <v>0.000895</v>
      </c>
      <c r="AN26" s="43" t="n">
        <f aca="false">1000*AK26/AK30+100*AJ26+10*AF26/AF30+1*AL26/AL30+AM26</f>
        <v>445.500895</v>
      </c>
      <c r="AO26" s="43" t="str">
        <f aca="false">IF(SUM(AC26:AE29)=12,J27,INDEX(T,76,lang))</f>
        <v>Denmark</v>
      </c>
      <c r="AP26" s="41" t="n">
        <f aca="false">SUMPRODUCT(($S$7:$S$54=AB26&amp;"_win")*($U$7:$U$54))+SUMPRODUCT(($T$7:$T$54=AB26&amp;"_win")*($U$7:$U$54))</f>
        <v>0</v>
      </c>
      <c r="AQ26" s="41" t="n">
        <f aca="false">SUMPRODUCT(($S$7:$S$54=AB26&amp;"_draw")*($U$7:$U$54))+SUMPRODUCT(($T$7:$T$54=AB26&amp;"_draw")*($U$7:$U$54))</f>
        <v>0</v>
      </c>
      <c r="AR26" s="41" t="n">
        <f aca="false">SUMPRODUCT(($E$7:$E$54=AB26)*($U$7:$U$54)*($F$7:$F$54))+SUMPRODUCT(($H$7:$H$54=AB26)*($U$7:$U$54)*($G$7:$G$54))</f>
        <v>0</v>
      </c>
      <c r="AS26" s="41" t="n">
        <f aca="false">SUMPRODUCT(($E$7:$E$54=AB26)*($U$7:$U$54)*($G$7:$G$54))+SUMPRODUCT(($H$7:$H$54=AB26)*($U$7:$U$54)*($F$7:$F$54))</f>
        <v>0</v>
      </c>
      <c r="AT26" s="41" t="n">
        <f aca="false">AR26-AS26</f>
        <v>0</v>
      </c>
      <c r="AY26" s="77" t="n">
        <v>51</v>
      </c>
      <c r="AZ26" s="78" t="str">
        <f aca="false">AO14</f>
        <v>England</v>
      </c>
      <c r="BA26" s="79" t="n">
        <v>1</v>
      </c>
      <c r="BB26" s="80"/>
      <c r="BC26" s="81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91"/>
      <c r="BS26" s="69"/>
      <c r="BT26" s="69"/>
      <c r="BU26" s="69"/>
      <c r="BV26" s="69"/>
      <c r="BW26" s="69"/>
      <c r="BX26" s="69"/>
    </row>
    <row r="27" customFormat="false" ht="15" hidden="false" customHeight="true" outlineLevel="0" collapsed="false">
      <c r="A27" s="58" t="n">
        <v>21</v>
      </c>
      <c r="B27" s="59" t="str">
        <f aca="false">INDEX(T,18+INT(MOD(R27-1,7)),lang)</f>
        <v>Sat</v>
      </c>
      <c r="C27" s="60" t="str">
        <f aca="false">INDEX(T,24+MONTH(R27),lang) &amp; " " &amp; DAY(R27) &amp; ", " &amp; YEAR(R27)</f>
        <v>Nov 26, 2022</v>
      </c>
      <c r="D27" s="61" t="n">
        <f aca="false">TIME(HOUR(R27),MINUTE(R27),0)</f>
        <v>0.541666666666667</v>
      </c>
      <c r="E27" s="62" t="str">
        <f aca="false">AB29</f>
        <v>Tunisia</v>
      </c>
      <c r="F27" s="63" t="n">
        <v>1</v>
      </c>
      <c r="G27" s="64" t="n">
        <v>2</v>
      </c>
      <c r="H27" s="65" t="str">
        <f aca="false">AB27</f>
        <v>Australia</v>
      </c>
      <c r="J27" s="97" t="str">
        <f aca="false">VLOOKUP(1,AA26:AK29,2,FALSE())</f>
        <v>Denmark</v>
      </c>
      <c r="K27" s="71" t="n">
        <f aca="false">L27+M27+N27</f>
        <v>3</v>
      </c>
      <c r="L27" s="71" t="n">
        <f aca="false">VLOOKUP(1,AA26:AK29,3,FALSE())</f>
        <v>3</v>
      </c>
      <c r="M27" s="71" t="n">
        <f aca="false">VLOOKUP(1,AA26:AK29,4,FALSE())</f>
        <v>0</v>
      </c>
      <c r="N27" s="71" t="n">
        <f aca="false">VLOOKUP(1,AA26:AK29,5,FALSE())</f>
        <v>0</v>
      </c>
      <c r="O27" s="98" t="str">
        <f aca="false">VLOOKUP(1,AA26:AK29,6,FALSE()) &amp; " - " &amp; VLOOKUP(1,AA26:AK29,7,FALSE())</f>
        <v>7 - 3</v>
      </c>
      <c r="P27" s="72" t="n">
        <f aca="false">L27*3+M27</f>
        <v>9</v>
      </c>
      <c r="R27" s="41" t="n">
        <f aca="false">DATE(2022,11,25)+TIME(23,0,0)+gmt_delta</f>
        <v>44891.5416666667</v>
      </c>
      <c r="S27" s="42" t="str">
        <f aca="false">IF(OR(F27="",G27=""),"",IF(F27&gt;G27,E27&amp;"_win",IF(F27&lt;G27,E27&amp;"_lose",E27&amp;"_draw")))</f>
        <v>Tunisia_lose</v>
      </c>
      <c r="T27" s="42" t="str">
        <f aca="false">IF(S27="","",IF(F27&lt;G27,H27&amp;"_win",IF(F27&gt;G27,H27&amp;"_lose",H27&amp;"_draw")))</f>
        <v>Australia_win</v>
      </c>
      <c r="U27" s="43" t="n">
        <f aca="false">IF(S27="",0,IF(VLOOKUP(E27,$AB$8:$AK$53,7,FALSE())=VLOOKUP(H27,$AB$8:$AK$53,7,FALSE()),1,0))</f>
        <v>0</v>
      </c>
      <c r="V27" s="41" t="n">
        <f aca="false">U27*F27</f>
        <v>0</v>
      </c>
      <c r="W27" s="41" t="n">
        <f aca="false">U27*G27</f>
        <v>0</v>
      </c>
      <c r="X27" s="41" t="n">
        <f aca="false">IF(OR(E27=my_team,H27=my_team),1,0)</f>
        <v>0</v>
      </c>
      <c r="Y27" s="41" t="n">
        <f aca="false">IF(OR(F27="",G27=""),"",IF(F27&gt;G27,1,IF(F27&lt;G27,-1,0)))</f>
        <v>-1</v>
      </c>
      <c r="AA27" s="41" t="n">
        <f aca="false">COUNTIF(AN26:AN29,CONCATENATE("&gt;=",AN27))</f>
        <v>3</v>
      </c>
      <c r="AB27" s="43" t="str">
        <f aca="false">VLOOKUP("Australia",T,lang,FALSE())</f>
        <v>Australia</v>
      </c>
      <c r="AC27" s="41" t="n">
        <f aca="false">COUNTIF($S$7:$T$54,"=" &amp; AB27 &amp; "_win")</f>
        <v>1</v>
      </c>
      <c r="AD27" s="41" t="n">
        <f aca="false">COUNTIF($S$7:$T$54,"=" &amp; AB27 &amp; "_draw")</f>
        <v>1</v>
      </c>
      <c r="AE27" s="41" t="n">
        <f aca="false">COUNTIF($S$7:$T$54,"=" &amp; AB27 &amp; "_lose")</f>
        <v>1</v>
      </c>
      <c r="AF27" s="41" t="n">
        <f aca="false">SUMIF($E$7:$E$54,$AB27,$F$7:$F$54) + SUMIF($H$7:$H$54,$AB27,$G$7:$G$54)</f>
        <v>4</v>
      </c>
      <c r="AG27" s="41" t="n">
        <f aca="false">SUMIF($E$7:$E$54,$AB27,$G$7:$G$54) + SUMIF($H$7:$H$54,$AB27,$F$7:$F$54)</f>
        <v>5</v>
      </c>
      <c r="AH27" s="41" t="n">
        <f aca="false">(AF27-AG27)*100+AK27*10000+AF27</f>
        <v>39904</v>
      </c>
      <c r="AI27" s="41" t="n">
        <f aca="false">AF27-AG27</f>
        <v>-1</v>
      </c>
      <c r="AJ27" s="41" t="n">
        <f aca="false">(AI27-AI31)/AI30</f>
        <v>0.25</v>
      </c>
      <c r="AK27" s="41" t="n">
        <f aca="false">AC27*3+AD27</f>
        <v>4</v>
      </c>
      <c r="AL27" s="41" t="n">
        <f aca="false">AP27/AP30*1000+AQ27/AQ30*100+AT27/AT30*10+AR27/AR30</f>
        <v>0</v>
      </c>
      <c r="AM27" s="41" t="n">
        <f aca="false">VLOOKUP(AB27,db_fifarank,2,FALSE())/2000000</f>
        <v>0.000741865</v>
      </c>
      <c r="AN27" s="43" t="n">
        <f aca="false">1000*AK27/AK30+100*AJ27+10*AF27/AF30+1*AL27/AL30+AM27</f>
        <v>433.000741865</v>
      </c>
      <c r="AO27" s="43" t="str">
        <f aca="false">IF(SUM(AC26:AE29)=12,J28,INDEX(T,77,lang))</f>
        <v>France</v>
      </c>
      <c r="AP27" s="41" t="n">
        <f aca="false">SUMPRODUCT(($S$7:$S$54=AB27&amp;"_win")*($U$7:$U$54))+SUMPRODUCT(($T$7:$T$54=AB27&amp;"_win")*($U$7:$U$54))</f>
        <v>0</v>
      </c>
      <c r="AQ27" s="41" t="n">
        <f aca="false">SUMPRODUCT(($S$7:$S$54=AB27&amp;"_draw")*($U$7:$U$54))+SUMPRODUCT(($T$7:$T$54=AB27&amp;"_draw")*($U$7:$U$54))</f>
        <v>0</v>
      </c>
      <c r="AR27" s="41" t="n">
        <f aca="false">SUMPRODUCT(($E$7:$E$54=AB27)*($U$7:$U$54)*($F$7:$F$54))+SUMPRODUCT(($H$7:$H$54=AB27)*($U$7:$U$54)*($G$7:$G$54))</f>
        <v>0</v>
      </c>
      <c r="AS27" s="41" t="n">
        <f aca="false">SUMPRODUCT(($E$7:$E$54=AB27)*($U$7:$U$54)*($G$7:$G$54))+SUMPRODUCT(($H$7:$H$54=AB27)*($U$7:$U$54)*($F$7:$F$54))</f>
        <v>0</v>
      </c>
      <c r="AT27" s="41" t="n">
        <f aca="false">AR27-AS27</f>
        <v>0</v>
      </c>
      <c r="AY27" s="77"/>
      <c r="AZ27" s="82" t="str">
        <f aca="false">AO9</f>
        <v>Ecuador</v>
      </c>
      <c r="BA27" s="83" t="n">
        <v>0</v>
      </c>
      <c r="BB27" s="84"/>
      <c r="BC27" s="85"/>
      <c r="BD27" s="86"/>
      <c r="BE27" s="69"/>
      <c r="BF27" s="69" t="str">
        <f aca="false">INDEX(T,24+MONTH(R71),lang) &amp; " " &amp; DAY(R71) &amp; ", " &amp; YEAR(R71) &amp; "   " &amp;  (IF(HOUR(R71)&lt;10,0,"") &amp; HOUR(R71)) &amp; ":" &amp; (IF(MINUTE(R71)&lt;10,0,"") &amp; MINUTE(R71))</f>
        <v>Dec 10, 2022   22:00</v>
      </c>
      <c r="BG27" s="69"/>
      <c r="BH27" s="69"/>
      <c r="BI27" s="69"/>
      <c r="BJ27" s="87"/>
      <c r="BK27" s="69"/>
      <c r="BL27" s="69"/>
      <c r="BM27" s="69"/>
      <c r="BN27" s="69"/>
      <c r="BO27" s="69"/>
      <c r="BP27" s="69"/>
      <c r="BQ27" s="69"/>
      <c r="BR27" s="91"/>
      <c r="BS27" s="69"/>
      <c r="BT27" s="69"/>
      <c r="BU27" s="69"/>
      <c r="BV27" s="69"/>
      <c r="BW27" s="69"/>
      <c r="BX27" s="69"/>
    </row>
    <row r="28" customFormat="false" ht="15" hidden="false" customHeight="true" outlineLevel="0" collapsed="false">
      <c r="A28" s="58" t="n">
        <v>22</v>
      </c>
      <c r="B28" s="59" t="str">
        <f aca="false">INDEX(T,18+INT(MOD(R28-1,7)),lang)</f>
        <v>Sat</v>
      </c>
      <c r="C28" s="60" t="str">
        <f aca="false">INDEX(T,24+MONTH(R28),lang) &amp; " " &amp; DAY(R28) &amp; ", " &amp; YEAR(R28)</f>
        <v>Nov 26, 2022</v>
      </c>
      <c r="D28" s="61" t="n">
        <f aca="false">TIME(HOUR(R28),MINUTE(R28),0)</f>
        <v>0.666666666666667</v>
      </c>
      <c r="E28" s="62" t="str">
        <f aca="false">AB23</f>
        <v>Poland</v>
      </c>
      <c r="F28" s="63" t="n">
        <v>2</v>
      </c>
      <c r="G28" s="64" t="n">
        <v>0</v>
      </c>
      <c r="H28" s="65" t="str">
        <f aca="false">AB21</f>
        <v>Saudi Arabia</v>
      </c>
      <c r="J28" s="74" t="str">
        <f aca="false">VLOOKUP(2,AA26:AK29,2,FALSE())</f>
        <v>France</v>
      </c>
      <c r="K28" s="75" t="n">
        <f aca="false">L28+M28+N28</f>
        <v>3</v>
      </c>
      <c r="L28" s="75" t="n">
        <f aca="false">VLOOKUP(2,AA26:AK29,3,FALSE())</f>
        <v>1</v>
      </c>
      <c r="M28" s="75" t="n">
        <f aca="false">VLOOKUP(2,AA26:AK29,4,FALSE())</f>
        <v>1</v>
      </c>
      <c r="N28" s="75" t="n">
        <f aca="false">VLOOKUP(2,AA26:AK29,5,FALSE())</f>
        <v>1</v>
      </c>
      <c r="O28" s="75" t="str">
        <f aca="false">VLOOKUP(2,AA26:AK29,6,FALSE()) &amp; " - " &amp; VLOOKUP(2,AA26:AK29,7,FALSE())</f>
        <v>4 - 4</v>
      </c>
      <c r="P28" s="76" t="n">
        <f aca="false">L28*3+M28</f>
        <v>4</v>
      </c>
      <c r="R28" s="41" t="n">
        <f aca="false">DATE(2022,11,26)+TIME(2,0,0)+gmt_delta</f>
        <v>44891.6666666667</v>
      </c>
      <c r="S28" s="42" t="str">
        <f aca="false">IF(OR(F28="",G28=""),"",IF(F28&gt;G28,E28&amp;"_win",IF(F28&lt;G28,E28&amp;"_lose",E28&amp;"_draw")))</f>
        <v>Poland_win</v>
      </c>
      <c r="T28" s="42" t="str">
        <f aca="false">IF(S28="","",IF(F28&lt;G28,H28&amp;"_win",IF(F28&gt;G28,H28&amp;"_lose",H28&amp;"_draw")))</f>
        <v>Saudi Arabia_lose</v>
      </c>
      <c r="U28" s="43" t="n">
        <f aca="false">IF(S28="",0,IF(VLOOKUP(E28,$AB$8:$AK$53,7,FALSE())=VLOOKUP(H28,$AB$8:$AK$53,7,FALSE()),1,0))</f>
        <v>0</v>
      </c>
      <c r="V28" s="41" t="n">
        <f aca="false">U28*F28</f>
        <v>0</v>
      </c>
      <c r="W28" s="41" t="n">
        <f aca="false">U28*G28</f>
        <v>0</v>
      </c>
      <c r="X28" s="41" t="n">
        <f aca="false">IF(OR(E28=my_team,H28=my_team),1,0)</f>
        <v>0</v>
      </c>
      <c r="Y28" s="41" t="n">
        <f aca="false">IF(OR(F28="",G28=""),"",IF(F28&gt;G28,1,IF(F28&lt;G28,-1,0)))</f>
        <v>1</v>
      </c>
      <c r="AA28" s="41" t="n">
        <f aca="false">COUNTIF(AN26:AN29,CONCATENATE("&gt;=",AN28))</f>
        <v>1</v>
      </c>
      <c r="AB28" s="43" t="str">
        <f aca="false">VLOOKUP("Denmark",T,lang,FALSE())</f>
        <v>Denmark</v>
      </c>
      <c r="AC28" s="41" t="n">
        <f aca="false">COUNTIF($S$7:$T$54,"=" &amp; AB28 &amp; "_win")</f>
        <v>3</v>
      </c>
      <c r="AD28" s="41" t="n">
        <f aca="false">COUNTIF($S$7:$T$54,"=" &amp; AB28 &amp; "_draw")</f>
        <v>0</v>
      </c>
      <c r="AE28" s="41" t="n">
        <f aca="false">COUNTIF($S$7:$T$54,"=" &amp; AB28 &amp; "_lose")</f>
        <v>0</v>
      </c>
      <c r="AF28" s="41" t="n">
        <f aca="false">SUMIF($E$7:$E$54,$AB28,$F$7:$F$54) + SUMIF($H$7:$H$54,$AB28,$G$7:$G$54)</f>
        <v>7</v>
      </c>
      <c r="AG28" s="41" t="n">
        <f aca="false">SUMIF($E$7:$E$54,$AB28,$G$7:$G$54) + SUMIF($H$7:$H$54,$AB28,$F$7:$F$54)</f>
        <v>3</v>
      </c>
      <c r="AH28" s="41" t="n">
        <f aca="false">(AF28-AG28)*100+AK28*10000+AF28</f>
        <v>90407</v>
      </c>
      <c r="AI28" s="41" t="n">
        <f aca="false">AF28-AG28</f>
        <v>4</v>
      </c>
      <c r="AJ28" s="41" t="n">
        <f aca="false">(AI28-AI31)/AI30</f>
        <v>0.875</v>
      </c>
      <c r="AK28" s="41" t="n">
        <f aca="false">AC28*3+AD28</f>
        <v>9</v>
      </c>
      <c r="AL28" s="41" t="n">
        <f aca="false">AP28/AP30*1000+AQ28/AQ30*100+AT28/AT30*10+AR28/AR30</f>
        <v>0</v>
      </c>
      <c r="AM28" s="41" t="n">
        <f aca="false">VLOOKUP(AB28,db_fifarank,2,FALSE())/2000000</f>
        <v>0.0008268</v>
      </c>
      <c r="AN28" s="43" t="n">
        <f aca="false">1000*AK28/AK30+100*AJ28+10*AF28/AF30+1*AL28/AL30+AM28</f>
        <v>1001.5008268</v>
      </c>
      <c r="AP28" s="41" t="n">
        <f aca="false">SUMPRODUCT(($S$7:$S$54=AB28&amp;"_win")*($U$7:$U$54))+SUMPRODUCT(($T$7:$T$54=AB28&amp;"_win")*($U$7:$U$54))</f>
        <v>0</v>
      </c>
      <c r="AQ28" s="41" t="n">
        <f aca="false">SUMPRODUCT(($S$7:$S$54=AB28&amp;"_draw")*($U$7:$U$54))+SUMPRODUCT(($T$7:$T$54=AB28&amp;"_draw")*($U$7:$U$54))</f>
        <v>0</v>
      </c>
      <c r="AR28" s="41" t="n">
        <f aca="false">SUMPRODUCT(($E$7:$E$54=AB28)*($U$7:$U$54)*($F$7:$F$54))+SUMPRODUCT(($H$7:$H$54=AB28)*($U$7:$U$54)*($G$7:$G$54))</f>
        <v>0</v>
      </c>
      <c r="AS28" s="41" t="n">
        <f aca="false">SUMPRODUCT(($E$7:$E$54=AB28)*($U$7:$U$54)*($G$7:$G$54))+SUMPRODUCT(($H$7:$H$54=AB28)*($U$7:$U$54)*($F$7:$F$54))</f>
        <v>0</v>
      </c>
      <c r="AT28" s="41" t="n">
        <f aca="false">AR28-AS28</f>
        <v>0</v>
      </c>
      <c r="AY28" s="69"/>
      <c r="AZ28" s="69"/>
      <c r="BA28" s="69"/>
      <c r="BB28" s="69"/>
      <c r="BC28" s="69"/>
      <c r="BD28" s="91"/>
      <c r="BE28" s="69"/>
      <c r="BF28" s="77" t="n">
        <v>59</v>
      </c>
      <c r="BG28" s="78" t="str">
        <f aca="false">T60</f>
        <v>England</v>
      </c>
      <c r="BH28" s="79" t="n">
        <v>1</v>
      </c>
      <c r="BI28" s="80"/>
      <c r="BJ28" s="81"/>
      <c r="BK28" s="69"/>
      <c r="BL28" s="69"/>
      <c r="BM28" s="69"/>
      <c r="BN28" s="69"/>
      <c r="BO28" s="69"/>
      <c r="BP28" s="69"/>
      <c r="BQ28" s="69"/>
      <c r="BR28" s="91"/>
      <c r="BS28" s="69"/>
      <c r="BT28" s="69"/>
      <c r="BU28" s="69"/>
      <c r="BV28" s="69"/>
      <c r="BW28" s="69"/>
      <c r="BX28" s="69"/>
    </row>
    <row r="29" customFormat="false" ht="15" hidden="false" customHeight="true" outlineLevel="0" collapsed="false">
      <c r="A29" s="58" t="n">
        <v>23</v>
      </c>
      <c r="B29" s="59" t="str">
        <f aca="false">INDEX(T,18+INT(MOD(R29-1,7)),lang)</f>
        <v>Sat</v>
      </c>
      <c r="C29" s="60" t="str">
        <f aca="false">INDEX(T,24+MONTH(R29),lang) &amp; " " &amp; DAY(R29) &amp; ", " &amp; YEAR(R29)</f>
        <v>Nov 26, 2022</v>
      </c>
      <c r="D29" s="61" t="n">
        <f aca="false">TIME(HOUR(R29),MINUTE(R29),0)</f>
        <v>0.791666666666667</v>
      </c>
      <c r="E29" s="62" t="str">
        <f aca="false">AB26</f>
        <v>France</v>
      </c>
      <c r="F29" s="63" t="n">
        <v>1</v>
      </c>
      <c r="G29" s="64" t="n">
        <v>2</v>
      </c>
      <c r="H29" s="65" t="str">
        <f aca="false">AB28</f>
        <v>Denmark</v>
      </c>
      <c r="J29" s="74" t="str">
        <f aca="false">VLOOKUP(3,AA26:AK29,2,FALSE())</f>
        <v>Australia</v>
      </c>
      <c r="K29" s="75" t="n">
        <f aca="false">L29+M29+N29</f>
        <v>3</v>
      </c>
      <c r="L29" s="75" t="n">
        <f aca="false">VLOOKUP(3,AA26:AK29,3,FALSE())</f>
        <v>1</v>
      </c>
      <c r="M29" s="75" t="n">
        <f aca="false">VLOOKUP(3,AA26:AK29,4,FALSE())</f>
        <v>1</v>
      </c>
      <c r="N29" s="75" t="n">
        <f aca="false">VLOOKUP(3,AA26:AK29,5,FALSE())</f>
        <v>1</v>
      </c>
      <c r="O29" s="75" t="str">
        <f aca="false">VLOOKUP(3,AA26:AK29,6,FALSE()) &amp; " - " &amp; VLOOKUP(3,AA26:AK29,7,FALSE())</f>
        <v>4 - 5</v>
      </c>
      <c r="P29" s="76" t="n">
        <f aca="false">L29*3+M29</f>
        <v>4</v>
      </c>
      <c r="R29" s="41" t="n">
        <f aca="false">DATE(2022,11,26)+TIME(5,0,0)+gmt_delta</f>
        <v>44891.7916666667</v>
      </c>
      <c r="S29" s="42" t="str">
        <f aca="false">IF(OR(F29="",G29=""),"",IF(F29&gt;G29,E29&amp;"_win",IF(F29&lt;G29,E29&amp;"_lose",E29&amp;"_draw")))</f>
        <v>France_lose</v>
      </c>
      <c r="T29" s="42" t="str">
        <f aca="false">IF(S29="","",IF(F29&lt;G29,H29&amp;"_win",IF(F29&gt;G29,H29&amp;"_lose",H29&amp;"_draw")))</f>
        <v>Denmark_win</v>
      </c>
      <c r="U29" s="43" t="n">
        <f aca="false">IF(S29="",0,IF(VLOOKUP(E29,$AB$8:$AK$53,7,FALSE())=VLOOKUP(H29,$AB$8:$AK$53,7,FALSE()),1,0))</f>
        <v>0</v>
      </c>
      <c r="V29" s="41" t="n">
        <f aca="false">U29*F29</f>
        <v>0</v>
      </c>
      <c r="W29" s="41" t="n">
        <f aca="false">U29*G29</f>
        <v>0</v>
      </c>
      <c r="X29" s="41" t="n">
        <f aca="false">IF(OR(E29=my_team,H29=my_team),1,0)</f>
        <v>0</v>
      </c>
      <c r="Y29" s="41" t="n">
        <f aca="false">IF(OR(F29="",G29=""),"",IF(F29&gt;G29,1,IF(F29&lt;G29,-1,0)))</f>
        <v>-1</v>
      </c>
      <c r="AA29" s="41" t="n">
        <f aca="false">COUNTIF(AN26:AN29,CONCATENATE("&gt;=",AN29))</f>
        <v>4</v>
      </c>
      <c r="AB29" s="43" t="str">
        <f aca="false">VLOOKUP("Tunisia",T,lang,FALSE())</f>
        <v>Tunisia</v>
      </c>
      <c r="AC29" s="41" t="n">
        <f aca="false">COUNTIF($S$7:$T$54,"=" &amp; AB29 &amp; "_win")</f>
        <v>0</v>
      </c>
      <c r="AD29" s="41" t="n">
        <f aca="false">COUNTIF($S$7:$T$54,"=" &amp; AB29 &amp; "_draw")</f>
        <v>0</v>
      </c>
      <c r="AE29" s="41" t="n">
        <f aca="false">COUNTIF($S$7:$T$54,"=" &amp; AB29 &amp; "_lose")</f>
        <v>3</v>
      </c>
      <c r="AF29" s="41" t="n">
        <f aca="false">SUMIF($E$7:$E$54,$AB29,$F$7:$F$54) + SUMIF($H$7:$H$54,$AB29,$G$7:$G$54)</f>
        <v>3</v>
      </c>
      <c r="AG29" s="41" t="n">
        <f aca="false">SUMIF($E$7:$E$54,$AB29,$G$7:$G$54) + SUMIF($H$7:$H$54,$AB29,$F$7:$F$54)</f>
        <v>6</v>
      </c>
      <c r="AH29" s="41" t="n">
        <f aca="false">(AF29-AG29)*100+AK29*10000+AF29</f>
        <v>-297</v>
      </c>
      <c r="AI29" s="41" t="n">
        <f aca="false">AF29-AG29</f>
        <v>-3</v>
      </c>
      <c r="AJ29" s="41" t="n">
        <f aca="false">(AI29-AI31)/AI30</f>
        <v>0</v>
      </c>
      <c r="AK29" s="41" t="n">
        <f aca="false">AC29*3+AD29</f>
        <v>0</v>
      </c>
      <c r="AL29" s="41" t="n">
        <f aca="false">AP29/AP30*1000+AQ29/AQ30*100+AT29/AT30*10+AR29/AR30</f>
        <v>0</v>
      </c>
      <c r="AM29" s="41" t="n">
        <f aca="false">VLOOKUP(AB29,db_fifarank,2,FALSE())/2000000</f>
        <v>0.0007499</v>
      </c>
      <c r="AN29" s="43" t="n">
        <f aca="false">1000*AK29/AK30+100*AJ29+10*AF29/AF30+1*AL29/AL30+AM29</f>
        <v>6.0007499</v>
      </c>
      <c r="AP29" s="41" t="n">
        <f aca="false">SUMPRODUCT(($S$7:$S$54=AB29&amp;"_win")*($U$7:$U$54))+SUMPRODUCT(($T$7:$T$54=AB29&amp;"_win")*($U$7:$U$54))</f>
        <v>0</v>
      </c>
      <c r="AQ29" s="41" t="n">
        <f aca="false">SUMPRODUCT(($S$7:$S$54=AB29&amp;"_draw")*($U$7:$U$54))+SUMPRODUCT(($T$7:$T$54=AB29&amp;"_draw")*($U$7:$U$54))</f>
        <v>0</v>
      </c>
      <c r="AR29" s="41" t="n">
        <f aca="false">SUMPRODUCT(($E$7:$E$54=AB29)*($U$7:$U$54)*($F$7:$F$54))+SUMPRODUCT(($H$7:$H$54=AB29)*($U$7:$U$54)*($G$7:$G$54))</f>
        <v>0</v>
      </c>
      <c r="AS29" s="41" t="n">
        <f aca="false">SUMPRODUCT(($E$7:$E$54=AB29)*($U$7:$U$54)*($G$7:$G$54))+SUMPRODUCT(($H$7:$H$54=AB29)*($U$7:$U$54)*($F$7:$F$54))</f>
        <v>0</v>
      </c>
      <c r="AT29" s="41" t="n">
        <f aca="false">AR29-AS29</f>
        <v>0</v>
      </c>
      <c r="AY29" s="69" t="str">
        <f aca="false">INDEX(T,24+MONTH(R61),lang) &amp; " " &amp; DAY(R61) &amp; ", " &amp; YEAR(R61) &amp; "   " &amp;  (IF(HOUR(R61)&lt;10,0,"")&amp;HOUR(R61)) &amp; ":" &amp;  (IF(MINUTE(R61)&lt;10,0,"")&amp;MINUTE(R61))</f>
        <v>Dec 4, 2022   18:00</v>
      </c>
      <c r="AZ29" s="69"/>
      <c r="BA29" s="69"/>
      <c r="BB29" s="69"/>
      <c r="BC29" s="87"/>
      <c r="BD29" s="91"/>
      <c r="BE29" s="92"/>
      <c r="BF29" s="77"/>
      <c r="BG29" s="82" t="str">
        <f aca="false">T61</f>
        <v>Denmark</v>
      </c>
      <c r="BH29" s="83" t="n">
        <v>2</v>
      </c>
      <c r="BI29" s="84"/>
      <c r="BJ29" s="85"/>
      <c r="BK29" s="86"/>
      <c r="BL29" s="69"/>
      <c r="BM29" s="69"/>
      <c r="BN29" s="69"/>
      <c r="BO29" s="69"/>
      <c r="BP29" s="69"/>
      <c r="BQ29" s="69"/>
      <c r="BR29" s="91"/>
      <c r="BS29" s="69"/>
      <c r="BT29" s="69"/>
      <c r="BU29" s="69"/>
      <c r="BV29" s="69"/>
      <c r="BW29" s="69"/>
      <c r="BX29" s="69"/>
    </row>
    <row r="30" customFormat="false" ht="15" hidden="false" customHeight="true" outlineLevel="0" collapsed="false">
      <c r="A30" s="58" t="n">
        <v>24</v>
      </c>
      <c r="B30" s="59" t="str">
        <f aca="false">INDEX(T,18+INT(MOD(R30-1,7)),lang)</f>
        <v>Sat</v>
      </c>
      <c r="C30" s="60" t="str">
        <f aca="false">INDEX(T,24+MONTH(R30),lang) &amp; " " &amp; DAY(R30) &amp; ", " &amp; YEAR(R30)</f>
        <v>Nov 26, 2022</v>
      </c>
      <c r="D30" s="61" t="n">
        <f aca="false">TIME(HOUR(R30),MINUTE(R30),0)</f>
        <v>0.916666666666667</v>
      </c>
      <c r="E30" s="62" t="str">
        <f aca="false">AB20</f>
        <v>Argentina</v>
      </c>
      <c r="F30" s="63" t="n">
        <v>2</v>
      </c>
      <c r="G30" s="64" t="n">
        <v>1</v>
      </c>
      <c r="H30" s="65" t="str">
        <f aca="false">AB22</f>
        <v>Mexico</v>
      </c>
      <c r="J30" s="88" t="str">
        <f aca="false">VLOOKUP(4,AA26:AK29,2,FALSE())</f>
        <v>Tunisia</v>
      </c>
      <c r="K30" s="89" t="n">
        <f aca="false">L30+M30+N30</f>
        <v>3</v>
      </c>
      <c r="L30" s="89" t="n">
        <f aca="false">VLOOKUP(4,AA26:AK29,3,FALSE())</f>
        <v>0</v>
      </c>
      <c r="M30" s="89" t="n">
        <f aca="false">VLOOKUP(4,AA26:AK29,4,FALSE())</f>
        <v>0</v>
      </c>
      <c r="N30" s="89" t="n">
        <f aca="false">VLOOKUP(4,AA26:AK29,5,FALSE())</f>
        <v>3</v>
      </c>
      <c r="O30" s="89" t="str">
        <f aca="false">VLOOKUP(4,AA26:AK29,6,FALSE()) &amp; " - " &amp; VLOOKUP(4,AA26:AK29,7,FALSE())</f>
        <v>3 - 6</v>
      </c>
      <c r="P30" s="90" t="n">
        <f aca="false">L30*3+M30</f>
        <v>0</v>
      </c>
      <c r="R30" s="41" t="n">
        <f aca="false">DATE(2022,11,26)+TIME(8,0,0)+gmt_delta</f>
        <v>44891.9166666667</v>
      </c>
      <c r="S30" s="42" t="str">
        <f aca="false">IF(OR(F30="",G30=""),"",IF(F30&gt;G30,E30&amp;"_win",IF(F30&lt;G30,E30&amp;"_lose",E30&amp;"_draw")))</f>
        <v>Argentina_win</v>
      </c>
      <c r="T30" s="42" t="str">
        <f aca="false">IF(S30="","",IF(F30&lt;G30,H30&amp;"_win",IF(F30&gt;G30,H30&amp;"_lose",H30&amp;"_draw")))</f>
        <v>Mexico_lose</v>
      </c>
      <c r="U30" s="43" t="n">
        <f aca="false">IF(S30="",0,IF(VLOOKUP(E30,$AB$8:$AK$53,7,FALSE())=VLOOKUP(H30,$AB$8:$AK$53,7,FALSE()),1,0))</f>
        <v>0</v>
      </c>
      <c r="V30" s="41" t="n">
        <f aca="false">U30*F30</f>
        <v>0</v>
      </c>
      <c r="W30" s="41" t="n">
        <f aca="false">U30*G30</f>
        <v>0</v>
      </c>
      <c r="X30" s="41" t="n">
        <f aca="false">IF(OR(E30=my_team,H30=my_team),1,0)</f>
        <v>1</v>
      </c>
      <c r="Y30" s="41" t="n">
        <f aca="false">IF(OR(F30="",G30=""),"",IF(F30&gt;G30,1,IF(F30&lt;G30,-1,0)))</f>
        <v>1</v>
      </c>
      <c r="AC30" s="41" t="n">
        <f aca="false">MAX(AC26:AC29)-MIN(AC26:AC29)+1</f>
        <v>4</v>
      </c>
      <c r="AD30" s="41" t="n">
        <f aca="false">MAX(AD26:AD29)-MIN(AD26:AD29)+1</f>
        <v>2</v>
      </c>
      <c r="AE30" s="41" t="n">
        <f aca="false">MAX(AE26:AE29)-MIN(AE26:AE29)+1</f>
        <v>4</v>
      </c>
      <c r="AF30" s="41" t="n">
        <f aca="false">MAX(AF26:AF29)-MIN(AF26:AF29)+1</f>
        <v>5</v>
      </c>
      <c r="AG30" s="41" t="n">
        <f aca="false">MAX(AG26:AG29)-MIN(AG26:AG29)+1</f>
        <v>4</v>
      </c>
      <c r="AH30" s="41" t="n">
        <f aca="false">MAX(AH26:AH29)-AH31+1</f>
        <v>90705</v>
      </c>
      <c r="AI30" s="41" t="n">
        <f aca="false">MAX(AI26:AI29)-AI31+1</f>
        <v>8</v>
      </c>
      <c r="AK30" s="41" t="n">
        <f aca="false">MAX(AK26:AK29)-MIN(AK26:AK29)+1</f>
        <v>10</v>
      </c>
      <c r="AL30" s="41" t="n">
        <f aca="false">MAX(AL26:AL29)-MIN(AL26:AL29)+1</f>
        <v>1</v>
      </c>
      <c r="AP30" s="41" t="n">
        <f aca="false">MAX(AP26:AP29)-MIN(AP26:AP29)+1</f>
        <v>1</v>
      </c>
      <c r="AQ30" s="41" t="n">
        <f aca="false">MAX(AQ26:AQ29)-MIN(AQ26:AQ29)+1</f>
        <v>1</v>
      </c>
      <c r="AR30" s="41" t="n">
        <f aca="false">MAX(AR26:AR29)-MIN(AR26:AR29)+1</f>
        <v>1</v>
      </c>
      <c r="AS30" s="41" t="n">
        <f aca="false">MAX(AS26:AS29)-MIN(AS26:AS29)+1</f>
        <v>1</v>
      </c>
      <c r="AT30" s="41" t="n">
        <f aca="false">MAX(AT26:AT29)-MIN(AT26:AT29)+1</f>
        <v>1</v>
      </c>
      <c r="AY30" s="77" t="n">
        <v>52</v>
      </c>
      <c r="AZ30" s="95" t="str">
        <f aca="false">AO26</f>
        <v>Denmark</v>
      </c>
      <c r="BA30" s="79" t="n">
        <v>2</v>
      </c>
      <c r="BB30" s="80"/>
      <c r="BC30" s="81"/>
      <c r="BD30" s="93"/>
      <c r="BE30" s="69"/>
      <c r="BF30" s="69"/>
      <c r="BG30" s="69"/>
      <c r="BH30" s="69"/>
      <c r="BI30" s="69"/>
      <c r="BJ30" s="69"/>
      <c r="BK30" s="91"/>
      <c r="BL30" s="69"/>
      <c r="BM30" s="69"/>
      <c r="BN30" s="69"/>
      <c r="BO30" s="69"/>
      <c r="BP30" s="69"/>
      <c r="BQ30" s="69"/>
      <c r="BR30" s="91"/>
      <c r="BS30" s="69"/>
      <c r="BT30" s="69"/>
      <c r="BU30" s="69"/>
      <c r="BV30" s="69"/>
      <c r="BW30" s="69"/>
      <c r="BX30" s="69"/>
    </row>
    <row r="31" customFormat="false" ht="15" hidden="false" customHeight="true" outlineLevel="0" collapsed="false">
      <c r="A31" s="58" t="n">
        <v>25</v>
      </c>
      <c r="B31" s="59" t="str">
        <f aca="false">INDEX(T,18+INT(MOD(R31-1,7)),lang)</f>
        <v>Sun</v>
      </c>
      <c r="C31" s="60" t="str">
        <f aca="false">INDEX(T,24+MONTH(R31),lang) &amp; " " &amp; DAY(R31) &amp; ", " &amp; YEAR(R31)</f>
        <v>Nov 27, 2022</v>
      </c>
      <c r="D31" s="61" t="n">
        <f aca="false">TIME(HOUR(R31),MINUTE(R31),0)</f>
        <v>0.541666666666667</v>
      </c>
      <c r="E31" s="62" t="str">
        <f aca="false">AB35</f>
        <v>Japan</v>
      </c>
      <c r="F31" s="63" t="n">
        <v>1</v>
      </c>
      <c r="G31" s="64" t="n">
        <v>2</v>
      </c>
      <c r="H31" s="65" t="str">
        <f aca="false">AB33</f>
        <v>Costa Rica</v>
      </c>
      <c r="R31" s="41" t="n">
        <f aca="false">DATE(2022,11,26)+TIME(23,0,0)+gmt_delta</f>
        <v>44892.5416666667</v>
      </c>
      <c r="S31" s="42" t="str">
        <f aca="false">IF(OR(F31="",G31=""),"",IF(F31&gt;G31,E31&amp;"_win",IF(F31&lt;G31,E31&amp;"_lose",E31&amp;"_draw")))</f>
        <v>Japan_lose</v>
      </c>
      <c r="T31" s="42" t="str">
        <f aca="false">IF(S31="","",IF(F31&lt;G31,H31&amp;"_win",IF(F31&gt;G31,H31&amp;"_lose",H31&amp;"_draw")))</f>
        <v>Costa Rica_win</v>
      </c>
      <c r="U31" s="43" t="n">
        <f aca="false">IF(S31="",0,IF(VLOOKUP(E31,$AB$8:$AK$53,7,FALSE())=VLOOKUP(H31,$AB$8:$AK$53,7,FALSE()),1,0))</f>
        <v>0</v>
      </c>
      <c r="V31" s="41" t="n">
        <f aca="false">U31*F31</f>
        <v>0</v>
      </c>
      <c r="W31" s="41" t="n">
        <f aca="false">U31*G31</f>
        <v>0</v>
      </c>
      <c r="X31" s="41" t="n">
        <f aca="false">IF(OR(E31=my_team,H31=my_team),1,0)</f>
        <v>0</v>
      </c>
      <c r="Y31" s="41" t="n">
        <f aca="false">IF(OR(F31="",G31=""),"",IF(F31&gt;G31,1,IF(F31&lt;G31,-1,0)))</f>
        <v>-1</v>
      </c>
      <c r="AH31" s="41" t="n">
        <f aca="false">MIN(AH26:AH29)</f>
        <v>-297</v>
      </c>
      <c r="AI31" s="41" t="n">
        <f aca="false">MIN(AI26:AI29)</f>
        <v>-3</v>
      </c>
      <c r="AY31" s="77"/>
      <c r="AZ31" s="82" t="str">
        <f aca="false">AO21</f>
        <v>Mexico</v>
      </c>
      <c r="BA31" s="83" t="n">
        <v>1</v>
      </c>
      <c r="BB31" s="84"/>
      <c r="BC31" s="85"/>
      <c r="BD31" s="69"/>
      <c r="BE31" s="69"/>
      <c r="BF31" s="69"/>
      <c r="BG31" s="69"/>
      <c r="BH31" s="69"/>
      <c r="BI31" s="69"/>
      <c r="BJ31" s="69"/>
      <c r="BK31" s="91"/>
      <c r="BL31" s="69"/>
      <c r="BM31" s="69" t="str">
        <f aca="false">INDEX(T,24+MONTH(R77),lang) &amp; " " &amp; DAY(R77) &amp; ", " &amp; YEAR(R77) &amp; "   " &amp; (IF(HOUR(R77)&lt;10,0,"") &amp; HOUR(R77)) &amp; ":" &amp; (IF(MINUTE(R77)&lt;10,0,"") &amp; MINUTE(R77))</f>
        <v>Dec 14, 2022   22:00</v>
      </c>
      <c r="BN31" s="69"/>
      <c r="BO31" s="69"/>
      <c r="BP31" s="69"/>
      <c r="BQ31" s="87"/>
      <c r="BR31" s="91"/>
      <c r="BS31" s="69"/>
      <c r="BT31" s="99" t="str">
        <f aca="false">INDEX(T,7,lang)</f>
        <v>Third-Place Play-Off</v>
      </c>
      <c r="BU31" s="99"/>
      <c r="BV31" s="99"/>
      <c r="BW31" s="99"/>
      <c r="BX31" s="99"/>
    </row>
    <row r="32" customFormat="false" ht="15" hidden="false" customHeight="true" outlineLevel="0" collapsed="false">
      <c r="A32" s="58" t="n">
        <v>26</v>
      </c>
      <c r="B32" s="59" t="str">
        <f aca="false">INDEX(T,18+INT(MOD(R32-1,7)),lang)</f>
        <v>Sun</v>
      </c>
      <c r="C32" s="60" t="str">
        <f aca="false">INDEX(T,24+MONTH(R32),lang) &amp; " " &amp; DAY(R32) &amp; ", " &amp; YEAR(R32)</f>
        <v>Nov 27, 2022</v>
      </c>
      <c r="D32" s="61" t="n">
        <f aca="false">TIME(HOUR(R32),MINUTE(R32),0)</f>
        <v>0.666666666666667</v>
      </c>
      <c r="E32" s="62" t="str">
        <f aca="false">AB38</f>
        <v>Belgium</v>
      </c>
      <c r="F32" s="63" t="n">
        <v>2</v>
      </c>
      <c r="G32" s="64" t="n">
        <v>0</v>
      </c>
      <c r="H32" s="65" t="str">
        <f aca="false">AB40</f>
        <v>Morocco</v>
      </c>
      <c r="J32" s="66" t="str">
        <f aca="false">INDEX(T,9,lang) &amp; " " &amp; "E"</f>
        <v>Group E</v>
      </c>
      <c r="K32" s="67" t="str">
        <f aca="false">INDEX(T,10,lang)</f>
        <v>PL</v>
      </c>
      <c r="L32" s="67" t="str">
        <f aca="false">INDEX(T,11,lang)</f>
        <v>W</v>
      </c>
      <c r="M32" s="67" t="str">
        <f aca="false">INDEX(T,12,lang)</f>
        <v>DRAW</v>
      </c>
      <c r="N32" s="67" t="str">
        <f aca="false">INDEX(T,13,lang)</f>
        <v>L</v>
      </c>
      <c r="O32" s="67" t="str">
        <f aca="false">INDEX(T,14,lang)</f>
        <v>GF - GA</v>
      </c>
      <c r="P32" s="68" t="str">
        <f aca="false">INDEX(T,15,lang)</f>
        <v>PNT</v>
      </c>
      <c r="R32" s="41" t="n">
        <f aca="false">DATE(2022,11,27)+TIME(2,0,0)+gmt_delta</f>
        <v>44892.6666666667</v>
      </c>
      <c r="S32" s="42" t="str">
        <f aca="false">IF(OR(F32="",G32=""),"",IF(F32&gt;G32,E32&amp;"_win",IF(F32&lt;G32,E32&amp;"_lose",E32&amp;"_draw")))</f>
        <v>Belgium_win</v>
      </c>
      <c r="T32" s="42" t="str">
        <f aca="false">IF(S32="","",IF(F32&lt;G32,H32&amp;"_win",IF(F32&gt;G32,H32&amp;"_lose",H32&amp;"_draw")))</f>
        <v>Morocco_lose</v>
      </c>
      <c r="U32" s="43" t="n">
        <f aca="false">IF(S32="",0,IF(VLOOKUP(E32,$AB$8:$AK$53,7,FALSE())=VLOOKUP(H32,$AB$8:$AK$53,7,FALSE()),1,0))</f>
        <v>0</v>
      </c>
      <c r="V32" s="41" t="n">
        <f aca="false">U32*F32</f>
        <v>0</v>
      </c>
      <c r="W32" s="41" t="n">
        <f aca="false">U32*G32</f>
        <v>0</v>
      </c>
      <c r="X32" s="41" t="n">
        <f aca="false">IF(OR(E32=my_team,H32=my_team),1,0)</f>
        <v>0</v>
      </c>
      <c r="Y32" s="41" t="n">
        <f aca="false">IF(OR(F32="",G32=""),"",IF(F32&gt;G32,1,IF(F32&lt;G32,-1,0)))</f>
        <v>1</v>
      </c>
      <c r="AA32" s="41" t="n">
        <f aca="false">COUNTIF(AN32:AN35,CONCATENATE("&gt;=",AN32))</f>
        <v>3</v>
      </c>
      <c r="AB32" s="43" t="str">
        <f aca="false">VLOOKUP("Spain",T,lang,FALSE())</f>
        <v>Spain</v>
      </c>
      <c r="AC32" s="41" t="n">
        <f aca="false">COUNTIF($S$7:$T$54,"=" &amp; AB32 &amp; "_win")</f>
        <v>1</v>
      </c>
      <c r="AD32" s="41" t="n">
        <f aca="false">COUNTIF($S$7:$T$54,"=" &amp; AB32 &amp; "_draw")</f>
        <v>0</v>
      </c>
      <c r="AE32" s="41" t="n">
        <f aca="false">COUNTIF($S$7:$T$54,"=" &amp; AB32 &amp; "_lose")</f>
        <v>2</v>
      </c>
      <c r="AF32" s="41" t="n">
        <f aca="false">SUMIF($E$7:$E$54,$AB32,$F$7:$F$54) + SUMIF($H$7:$H$54,$AB32,$G$7:$G$54)</f>
        <v>4</v>
      </c>
      <c r="AG32" s="41" t="n">
        <f aca="false">SUMIF($E$7:$E$54,$AB32,$G$7:$G$54) + SUMIF($H$7:$H$54,$AB32,$F$7:$F$54)</f>
        <v>4</v>
      </c>
      <c r="AH32" s="41" t="n">
        <f aca="false">(AF32-AG32)*100+AK32*10000+AF32</f>
        <v>30004</v>
      </c>
      <c r="AI32" s="41" t="n">
        <f aca="false">AF32-AG32</f>
        <v>0</v>
      </c>
      <c r="AJ32" s="41" t="n">
        <f aca="false">(AI32-AI37)/AI36</f>
        <v>0.454545454545455</v>
      </c>
      <c r="AK32" s="41" t="n">
        <f aca="false">AC32*3+AD32</f>
        <v>3</v>
      </c>
      <c r="AL32" s="41" t="n">
        <f aca="false">AP32/AP36*1000+AQ32/AQ36*100+AT32/AT36*10+AR32/AR36</f>
        <v>0</v>
      </c>
      <c r="AM32" s="41" t="n">
        <f aca="false">VLOOKUP(AB32,db_fifarank,2,FALSE())/2000000</f>
        <v>0.0008545</v>
      </c>
      <c r="AN32" s="43" t="n">
        <f aca="false">1000*AK32/AK36+100*AJ32+10*AF32/AF36+1*AL32/AL36+AM32</f>
        <v>351.169685668831</v>
      </c>
      <c r="AO32" s="43" t="str">
        <f aca="false">IF(SUM(AC32:AE35)=12,J33,INDEX(T,78,lang))</f>
        <v>Germany</v>
      </c>
      <c r="AP32" s="41" t="n">
        <f aca="false">SUMPRODUCT(($S$7:$S$54=AB32&amp;"_win")*($U$7:$U$54))+SUMPRODUCT(($T$7:$T$54=AB32&amp;"_win")*($U$7:$U$54))</f>
        <v>0</v>
      </c>
      <c r="AQ32" s="41" t="n">
        <f aca="false">SUMPRODUCT(($S$7:$S$54=AB32&amp;"_draw")*($U$7:$U$54))+SUMPRODUCT(($T$7:$T$54=AB32&amp;"_draw")*($U$7:$U$54))</f>
        <v>0</v>
      </c>
      <c r="AR32" s="41" t="n">
        <f aca="false">SUMPRODUCT(($E$7:$E$54=AB32)*($U$7:$U$54)*($F$7:$F$54))+SUMPRODUCT(($H$7:$H$54=AB32)*($U$7:$U$54)*($G$7:$G$54))</f>
        <v>0</v>
      </c>
      <c r="AS32" s="41" t="n">
        <f aca="false">SUMPRODUCT(($E$7:$E$54=AB32)*($U$7:$U$54)*($G$7:$G$54))+SUMPRODUCT(($H$7:$H$54=AB32)*($U$7:$U$54)*($F$7:$F$54))</f>
        <v>0</v>
      </c>
      <c r="AT32" s="41" t="n">
        <f aca="false">AR32-AS32</f>
        <v>0</v>
      </c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91"/>
      <c r="BL32" s="69"/>
      <c r="BM32" s="77" t="n">
        <v>62</v>
      </c>
      <c r="BN32" s="78" t="str">
        <f aca="false">T71</f>
        <v>Denmark</v>
      </c>
      <c r="BO32" s="79" t="n">
        <v>0</v>
      </c>
      <c r="BP32" s="80"/>
      <c r="BQ32" s="81"/>
      <c r="BR32" s="93"/>
      <c r="BS32" s="69"/>
      <c r="BT32" s="99"/>
      <c r="BU32" s="99"/>
      <c r="BV32" s="99"/>
      <c r="BW32" s="99"/>
      <c r="BX32" s="99"/>
    </row>
    <row r="33" customFormat="false" ht="15" hidden="false" customHeight="true" outlineLevel="0" collapsed="false">
      <c r="A33" s="58" t="n">
        <v>27</v>
      </c>
      <c r="B33" s="59" t="str">
        <f aca="false">INDEX(T,18+INT(MOD(R33-1,7)),lang)</f>
        <v>Sun</v>
      </c>
      <c r="C33" s="60" t="str">
        <f aca="false">INDEX(T,24+MONTH(R33),lang) &amp; " " &amp; DAY(R33) &amp; ", " &amp; YEAR(R33)</f>
        <v>Nov 27, 2022</v>
      </c>
      <c r="D33" s="61" t="n">
        <f aca="false">TIME(HOUR(R33),MINUTE(R33),0)</f>
        <v>0.791666666666667</v>
      </c>
      <c r="E33" s="62" t="str">
        <f aca="false">AB41</f>
        <v>Croatia</v>
      </c>
      <c r="F33" s="63" t="n">
        <v>1</v>
      </c>
      <c r="G33" s="64" t="n">
        <v>0</v>
      </c>
      <c r="H33" s="65" t="str">
        <f aca="false">AB39</f>
        <v>Canada</v>
      </c>
      <c r="J33" s="70" t="str">
        <f aca="false">VLOOKUP(1,AA32:AK35,2,FALSE())</f>
        <v>Germany</v>
      </c>
      <c r="K33" s="71" t="n">
        <f aca="false">L33+M33+N33</f>
        <v>3</v>
      </c>
      <c r="L33" s="71" t="n">
        <f aca="false">VLOOKUP(1,AA32:AK35,3,FALSE())</f>
        <v>3</v>
      </c>
      <c r="M33" s="71" t="n">
        <f aca="false">VLOOKUP(1,AA32:AK35,4,FALSE())</f>
        <v>0</v>
      </c>
      <c r="N33" s="71" t="n">
        <f aca="false">VLOOKUP(1,AA32:AK35,5,FALSE())</f>
        <v>0</v>
      </c>
      <c r="O33" s="71" t="str">
        <f aca="false">VLOOKUP(1,AA32:AK35,6,FALSE()) &amp; " - " &amp; VLOOKUP(1,AA32:AK35,7,FALSE())</f>
        <v>7 - 2</v>
      </c>
      <c r="P33" s="72" t="n">
        <f aca="false">L33*3+M33</f>
        <v>9</v>
      </c>
      <c r="R33" s="41" t="n">
        <f aca="false">DATE(2022,11,27)+TIME(5,0,0)+gmt_delta</f>
        <v>44892.7916666667</v>
      </c>
      <c r="S33" s="42" t="str">
        <f aca="false">IF(OR(F33="",G33=""),"",IF(F33&gt;G33,E33&amp;"_win",IF(F33&lt;G33,E33&amp;"_lose",E33&amp;"_draw")))</f>
        <v>Croatia_win</v>
      </c>
      <c r="T33" s="42" t="str">
        <f aca="false">IF(S33="","",IF(F33&lt;G33,H33&amp;"_win",IF(F33&gt;G33,H33&amp;"_lose",H33&amp;"_draw")))</f>
        <v>Canada_lose</v>
      </c>
      <c r="U33" s="43" t="n">
        <f aca="false">IF(S33="",0,IF(VLOOKUP(E33,$AB$8:$AK$53,7,FALSE())=VLOOKUP(H33,$AB$8:$AK$53,7,FALSE()),1,0))</f>
        <v>0</v>
      </c>
      <c r="V33" s="41" t="n">
        <f aca="false">U33*F33</f>
        <v>0</v>
      </c>
      <c r="W33" s="41" t="n">
        <f aca="false">U33*G33</f>
        <v>0</v>
      </c>
      <c r="X33" s="41" t="n">
        <f aca="false">IF(OR(E33=my_team,H33=my_team),1,0)</f>
        <v>0</v>
      </c>
      <c r="Y33" s="41" t="n">
        <f aca="false">IF(OR(F33="",G33=""),"",IF(F33&gt;G33,1,IF(F33&lt;G33,-1,0)))</f>
        <v>1</v>
      </c>
      <c r="AA33" s="41" t="n">
        <f aca="false">COUNTIF(AN32:AN35,CONCATENATE("&gt;=",AN33))</f>
        <v>2</v>
      </c>
      <c r="AB33" s="43" t="str">
        <f aca="false">VLOOKUP("Costa Rica",T,lang,FALSE())</f>
        <v>Costa Rica</v>
      </c>
      <c r="AC33" s="41" t="n">
        <f aca="false">COUNTIF($S$7:$T$54,"=" &amp; AB33 &amp; "_win")</f>
        <v>2</v>
      </c>
      <c r="AD33" s="41" t="n">
        <f aca="false">COUNTIF($S$7:$T$54,"=" &amp; AB33 &amp; "_draw")</f>
        <v>0</v>
      </c>
      <c r="AE33" s="41" t="n">
        <f aca="false">COUNTIF($S$7:$T$54,"=" &amp; AB33 &amp; "_lose")</f>
        <v>1</v>
      </c>
      <c r="AF33" s="41" t="n">
        <f aca="false">SUMIF($E$7:$E$54,$AB33,$F$7:$F$54) + SUMIF($H$7:$H$54,$AB33,$G$7:$G$54)</f>
        <v>5</v>
      </c>
      <c r="AG33" s="41" t="n">
        <f aca="false">SUMIF($E$7:$E$54,$AB33,$G$7:$G$54) + SUMIF($H$7:$H$54,$AB33,$F$7:$F$54)</f>
        <v>5</v>
      </c>
      <c r="AH33" s="41" t="n">
        <f aca="false">(AF33-AG33)*100+AK33*10000+AF33</f>
        <v>60005</v>
      </c>
      <c r="AI33" s="41" t="n">
        <f aca="false">AF33-AG33</f>
        <v>0</v>
      </c>
      <c r="AJ33" s="41" t="n">
        <f aca="false">(AI33-AI37)/AI36</f>
        <v>0.454545454545455</v>
      </c>
      <c r="AK33" s="41" t="n">
        <f aca="false">AC33*3+AD33</f>
        <v>6</v>
      </c>
      <c r="AL33" s="41" t="n">
        <f aca="false">AP33/AP36*1000+AQ33/AQ36*100+AT33/AT36*10+AR33/AR36</f>
        <v>0</v>
      </c>
      <c r="AM33" s="41" t="n">
        <f aca="false">VLOOKUP(AB33,db_fifarank,2,FALSE())/2000000</f>
        <v>0.00075003</v>
      </c>
      <c r="AN33" s="43" t="n">
        <f aca="false">1000*AK33/AK36+100*AJ33+10*AF33/AF36+1*AL33/AL36+AM33</f>
        <v>652.598152627403</v>
      </c>
      <c r="AO33" s="43" t="str">
        <f aca="false">IF(SUM(AC32:AE35)=12,J34,INDEX(T,79,lang))</f>
        <v>Costa Rica</v>
      </c>
      <c r="AP33" s="41" t="n">
        <f aca="false">SUMPRODUCT(($S$7:$S$54=AB33&amp;"_win")*($U$7:$U$54))+SUMPRODUCT(($T$7:$T$54=AB33&amp;"_win")*($U$7:$U$54))</f>
        <v>0</v>
      </c>
      <c r="AQ33" s="41" t="n">
        <f aca="false">SUMPRODUCT(($S$7:$S$54=AB33&amp;"_draw")*($U$7:$U$54))+SUMPRODUCT(($T$7:$T$54=AB33&amp;"_draw")*($U$7:$U$54))</f>
        <v>0</v>
      </c>
      <c r="AR33" s="41" t="n">
        <f aca="false">SUMPRODUCT(($E$7:$E$54=AB33)*($U$7:$U$54)*($F$7:$F$54))+SUMPRODUCT(($H$7:$H$54=AB33)*($U$7:$U$54)*($G$7:$G$54))</f>
        <v>0</v>
      </c>
      <c r="AS33" s="41" t="n">
        <f aca="false">SUMPRODUCT(($E$7:$E$54=AB33)*($U$7:$U$54)*($G$7:$G$54))+SUMPRODUCT(($H$7:$H$54=AB33)*($U$7:$U$54)*($F$7:$F$54))</f>
        <v>0</v>
      </c>
      <c r="AT33" s="41" t="n">
        <f aca="false">AR33-AS33</f>
        <v>0</v>
      </c>
      <c r="AY33" s="69" t="str">
        <f aca="false">INDEX(T,24+MONTH(R64),lang) &amp; " " &amp; DAY(R64) &amp; ", " &amp; YEAR(R64) &amp; "   " &amp;  (IF(HOUR(R64)&lt;10,0,"")&amp;HOUR(R64)) &amp; ":" &amp;  (IF(MINUTE(R64)&lt;10,0,"")&amp;MINUTE(R64))</f>
        <v>Dec 6, 2022   18:00</v>
      </c>
      <c r="AZ33" s="69"/>
      <c r="BA33" s="69"/>
      <c r="BB33" s="69"/>
      <c r="BC33" s="87"/>
      <c r="BD33" s="69"/>
      <c r="BE33" s="69"/>
      <c r="BF33" s="69"/>
      <c r="BG33" s="69"/>
      <c r="BH33" s="69"/>
      <c r="BI33" s="69"/>
      <c r="BJ33" s="69"/>
      <c r="BK33" s="91"/>
      <c r="BL33" s="92"/>
      <c r="BM33" s="77"/>
      <c r="BN33" s="82" t="str">
        <f aca="false">T72</f>
        <v>Belgium</v>
      </c>
      <c r="BO33" s="83" t="n">
        <v>1</v>
      </c>
      <c r="BP33" s="84"/>
      <c r="BQ33" s="85"/>
      <c r="BR33" s="69"/>
      <c r="BS33" s="69"/>
      <c r="BT33" s="69"/>
      <c r="BU33" s="69"/>
      <c r="BV33" s="69"/>
      <c r="BW33" s="69"/>
      <c r="BX33" s="69"/>
    </row>
    <row r="34" customFormat="false" ht="15" hidden="false" customHeight="true" outlineLevel="0" collapsed="false">
      <c r="A34" s="58" t="n">
        <v>28</v>
      </c>
      <c r="B34" s="59" t="str">
        <f aca="false">INDEX(T,18+INT(MOD(R34-1,7)),lang)</f>
        <v>Sun</v>
      </c>
      <c r="C34" s="60" t="str">
        <f aca="false">INDEX(T,24+MONTH(R34),lang) &amp; " " &amp; DAY(R34) &amp; ", " &amp; YEAR(R34)</f>
        <v>Nov 27, 2022</v>
      </c>
      <c r="D34" s="61" t="n">
        <f aca="false">TIME(HOUR(R34),MINUTE(R34),0)</f>
        <v>0.916666666666667</v>
      </c>
      <c r="E34" s="62" t="str">
        <f aca="false">AB32</f>
        <v>Spain</v>
      </c>
      <c r="F34" s="63" t="n">
        <v>1</v>
      </c>
      <c r="G34" s="64" t="n">
        <v>2</v>
      </c>
      <c r="H34" s="65" t="str">
        <f aca="false">AB34</f>
        <v>Germany</v>
      </c>
      <c r="J34" s="74" t="str">
        <f aca="false">VLOOKUP(2,AA32:AK35,2,FALSE())</f>
        <v>Costa Rica</v>
      </c>
      <c r="K34" s="75" t="n">
        <f aca="false">L34+M34+N34</f>
        <v>3</v>
      </c>
      <c r="L34" s="75" t="n">
        <f aca="false">VLOOKUP(2,AA32:AK35,3,FALSE())</f>
        <v>2</v>
      </c>
      <c r="M34" s="75" t="n">
        <f aca="false">VLOOKUP(2,AA32:AK35,4,FALSE())</f>
        <v>0</v>
      </c>
      <c r="N34" s="75" t="n">
        <f aca="false">VLOOKUP(2,AA32:AK35,5,FALSE())</f>
        <v>1</v>
      </c>
      <c r="O34" s="75" t="str">
        <f aca="false">VLOOKUP(2,AA32:AK35,6,FALSE()) &amp; " - " &amp; VLOOKUP(2,AA32:AK35,7,FALSE())</f>
        <v>5 - 5</v>
      </c>
      <c r="P34" s="76" t="n">
        <f aca="false">L34*3+M34</f>
        <v>6</v>
      </c>
      <c r="R34" s="41" t="n">
        <f aca="false">DATE(2022,11,27)+TIME(8,0,0)+gmt_delta</f>
        <v>44892.9166666667</v>
      </c>
      <c r="S34" s="42" t="str">
        <f aca="false">IF(OR(F34="",G34=""),"",IF(F34&gt;G34,E34&amp;"_win",IF(F34&lt;G34,E34&amp;"_lose",E34&amp;"_draw")))</f>
        <v>Spain_lose</v>
      </c>
      <c r="T34" s="42" t="str">
        <f aca="false">IF(S34="","",IF(F34&lt;G34,H34&amp;"_win",IF(F34&gt;G34,H34&amp;"_lose",H34&amp;"_draw")))</f>
        <v>Germany_win</v>
      </c>
      <c r="U34" s="43" t="n">
        <f aca="false">IF(S34="",0,IF(VLOOKUP(E34,$AB$8:$AK$53,7,FALSE())=VLOOKUP(H34,$AB$8:$AK$53,7,FALSE()),1,0))</f>
        <v>0</v>
      </c>
      <c r="V34" s="41" t="n">
        <f aca="false">U34*F34</f>
        <v>0</v>
      </c>
      <c r="W34" s="41" t="n">
        <f aca="false">U34*G34</f>
        <v>0</v>
      </c>
      <c r="X34" s="41" t="n">
        <f aca="false">IF(OR(E34=my_team,H34=my_team),1,0)</f>
        <v>0</v>
      </c>
      <c r="Y34" s="41" t="n">
        <f aca="false">IF(OR(F34="",G34=""),"",IF(F34&gt;G34,1,IF(F34&lt;G34,-1,0)))</f>
        <v>-1</v>
      </c>
      <c r="AA34" s="41" t="n">
        <f aca="false">COUNTIF(AN32:AN35,CONCATENATE("&gt;=",AN34))</f>
        <v>1</v>
      </c>
      <c r="AB34" s="43" t="str">
        <f aca="false">VLOOKUP("Germany",T,lang,FALSE())</f>
        <v>Germany</v>
      </c>
      <c r="AC34" s="41" t="n">
        <f aca="false">COUNTIF($S$7:$T$54,"=" &amp; AB34 &amp; "_win")</f>
        <v>3</v>
      </c>
      <c r="AD34" s="41" t="n">
        <f aca="false">COUNTIF($S$7:$T$54,"=" &amp; AB34 &amp; "_draw")</f>
        <v>0</v>
      </c>
      <c r="AE34" s="41" t="n">
        <f aca="false">COUNTIF($S$7:$T$54,"=" &amp; AB34 &amp; "_lose")</f>
        <v>0</v>
      </c>
      <c r="AF34" s="41" t="n">
        <f aca="false">SUMIF($E$7:$E$54,$AB34,$F$7:$F$54) + SUMIF($H$7:$H$54,$AB34,$G$7:$G$54)</f>
        <v>7</v>
      </c>
      <c r="AG34" s="41" t="n">
        <f aca="false">SUMIF($E$7:$E$54,$AB34,$G$7:$G$54) + SUMIF($H$7:$H$54,$AB34,$F$7:$F$54)</f>
        <v>2</v>
      </c>
      <c r="AH34" s="41" t="n">
        <f aca="false">(AF34-AG34)*100+AK34*10000+AF34</f>
        <v>90507</v>
      </c>
      <c r="AI34" s="41" t="n">
        <f aca="false">AF34-AG34</f>
        <v>5</v>
      </c>
      <c r="AJ34" s="41" t="n">
        <f aca="false">(AI34-AI37)/AI36</f>
        <v>0.909090909090909</v>
      </c>
      <c r="AK34" s="41" t="n">
        <f aca="false">AC34*3+AD34</f>
        <v>9</v>
      </c>
      <c r="AL34" s="41" t="n">
        <f aca="false">AP34/AP36*1000+AQ34/AQ36*100+AT34/AT36*10+AR34/AR36</f>
        <v>0</v>
      </c>
      <c r="AM34" s="41" t="n">
        <f aca="false">VLOOKUP(AB34,db_fifarank,2,FALSE())/2000000</f>
        <v>0.000825265</v>
      </c>
      <c r="AN34" s="43" t="n">
        <f aca="false">1000*AK34/AK36+100*AJ34+10*AF34/AF36+1*AL34/AL36+AM34</f>
        <v>1000.90991617409</v>
      </c>
      <c r="AP34" s="41" t="n">
        <f aca="false">SUMPRODUCT(($S$7:$S$54=AB34&amp;"_win")*($U$7:$U$54))+SUMPRODUCT(($T$7:$T$54=AB34&amp;"_win")*($U$7:$U$54))</f>
        <v>0</v>
      </c>
      <c r="AQ34" s="41" t="n">
        <f aca="false">SUMPRODUCT(($S$7:$S$54=AB34&amp;"_draw")*($U$7:$U$54))+SUMPRODUCT(($T$7:$T$54=AB34&amp;"_draw")*($U$7:$U$54))</f>
        <v>0</v>
      </c>
      <c r="AR34" s="41" t="n">
        <f aca="false">SUMPRODUCT(($E$7:$E$54=AB34)*($U$7:$U$54)*($F$7:$F$54))+SUMPRODUCT(($H$7:$H$54=AB34)*($U$7:$U$54)*($G$7:$G$54))</f>
        <v>0</v>
      </c>
      <c r="AS34" s="41" t="n">
        <f aca="false">SUMPRODUCT(($E$7:$E$54=AB34)*($U$7:$U$54)*($G$7:$G$54))+SUMPRODUCT(($H$7:$H$54=AB34)*($U$7:$U$54)*($F$7:$F$54))</f>
        <v>0</v>
      </c>
      <c r="AT34" s="41" t="n">
        <f aca="false">AR34-AS34</f>
        <v>0</v>
      </c>
      <c r="AY34" s="77" t="n">
        <v>55</v>
      </c>
      <c r="AZ34" s="78" t="str">
        <f aca="false">AO38</f>
        <v>Belgium</v>
      </c>
      <c r="BA34" s="79" t="n">
        <v>1</v>
      </c>
      <c r="BB34" s="80"/>
      <c r="BC34" s="81"/>
      <c r="BD34" s="69"/>
      <c r="BE34" s="69"/>
      <c r="BF34" s="69"/>
      <c r="BG34" s="69"/>
      <c r="BH34" s="69"/>
      <c r="BI34" s="69"/>
      <c r="BJ34" s="69"/>
      <c r="BK34" s="91"/>
      <c r="BL34" s="69"/>
      <c r="BM34" s="69"/>
      <c r="BN34" s="69"/>
      <c r="BO34" s="69"/>
      <c r="BP34" s="69"/>
      <c r="BQ34" s="69"/>
      <c r="BR34" s="69"/>
      <c r="BS34" s="69"/>
      <c r="BT34" s="69" t="str">
        <f aca="false">INDEX(T,24+MONTH(R81),lang) &amp; " " &amp; DAY(R81) &amp; ", " &amp; YEAR(R81) &amp; "   " &amp;  (IF(HOUR(R81)&lt;10,0,"") &amp; HOUR(R81)) &amp; ":" &amp; (IF(MINUTE(R81)&lt;10,0,"") &amp; MINUTE(R81))</f>
        <v>Dec 17, 2022   22:00</v>
      </c>
      <c r="BU34" s="69"/>
      <c r="BV34" s="69"/>
      <c r="BW34" s="69"/>
      <c r="BX34" s="87"/>
    </row>
    <row r="35" customFormat="false" ht="15" hidden="false" customHeight="true" outlineLevel="0" collapsed="false">
      <c r="A35" s="58" t="n">
        <v>29</v>
      </c>
      <c r="B35" s="59" t="str">
        <f aca="false">INDEX(T,18+INT(MOD(R35-1,7)),lang)</f>
        <v>Mon</v>
      </c>
      <c r="C35" s="60" t="str">
        <f aca="false">INDEX(T,24+MONTH(R35),lang) &amp; " " &amp; DAY(R35) &amp; ", " &amp; YEAR(R35)</f>
        <v>Nov 28, 2022</v>
      </c>
      <c r="D35" s="61" t="n">
        <f aca="false">TIME(HOUR(R35),MINUTE(R35),0)</f>
        <v>0.541666666666667</v>
      </c>
      <c r="E35" s="62" t="str">
        <f aca="false">AB47</f>
        <v>Cameroon</v>
      </c>
      <c r="F35" s="63" t="n">
        <v>1</v>
      </c>
      <c r="G35" s="64" t="n">
        <v>1</v>
      </c>
      <c r="H35" s="65" t="str">
        <f aca="false">AB45</f>
        <v>Serbia</v>
      </c>
      <c r="J35" s="74" t="str">
        <f aca="false">VLOOKUP(3,AA32:AK35,2,FALSE())</f>
        <v>Spain</v>
      </c>
      <c r="K35" s="75" t="n">
        <f aca="false">L35+M35+N35</f>
        <v>3</v>
      </c>
      <c r="L35" s="75" t="n">
        <f aca="false">VLOOKUP(3,AA32:AK35,3,FALSE())</f>
        <v>1</v>
      </c>
      <c r="M35" s="75" t="n">
        <f aca="false">VLOOKUP(3,AA32:AK35,4,FALSE())</f>
        <v>0</v>
      </c>
      <c r="N35" s="75" t="n">
        <f aca="false">VLOOKUP(3,AA32:AK35,5,FALSE())</f>
        <v>2</v>
      </c>
      <c r="O35" s="75" t="str">
        <f aca="false">VLOOKUP(3,AA32:AK35,6,FALSE()) &amp; " - " &amp; VLOOKUP(3,AA32:AK35,7,FALSE())</f>
        <v>4 - 4</v>
      </c>
      <c r="P35" s="76" t="n">
        <f aca="false">L35*3+M35</f>
        <v>3</v>
      </c>
      <c r="R35" s="41" t="n">
        <f aca="false">DATE(2022,11,27)+TIME(23,0,0)+gmt_delta</f>
        <v>44893.5416666667</v>
      </c>
      <c r="S35" s="42" t="str">
        <f aca="false">IF(OR(F35="",G35=""),"",IF(F35&gt;G35,E35&amp;"_win",IF(F35&lt;G35,E35&amp;"_lose",E35&amp;"_draw")))</f>
        <v>Cameroon_draw</v>
      </c>
      <c r="T35" s="42" t="str">
        <f aca="false">IF(S35="","",IF(F35&lt;G35,H35&amp;"_win",IF(F35&gt;G35,H35&amp;"_lose",H35&amp;"_draw")))</f>
        <v>Serbia_draw</v>
      </c>
      <c r="U35" s="43" t="n">
        <f aca="false">IF(S35="",0,IF(VLOOKUP(E35,$AB$8:$AK$53,7,FALSE())=VLOOKUP(H35,$AB$8:$AK$53,7,FALSE()),1,0))</f>
        <v>0</v>
      </c>
      <c r="V35" s="41" t="n">
        <f aca="false">U35*F35</f>
        <v>0</v>
      </c>
      <c r="W35" s="41" t="n">
        <f aca="false">U35*G35</f>
        <v>0</v>
      </c>
      <c r="X35" s="41" t="n">
        <f aca="false">IF(OR(E35=my_team,H35=my_team),1,0)</f>
        <v>0</v>
      </c>
      <c r="Y35" s="41" t="n">
        <f aca="false">IF(OR(F35="",G35=""),"",IF(F35&gt;G35,1,IF(F35&lt;G35,-1,0)))</f>
        <v>0</v>
      </c>
      <c r="AA35" s="41" t="n">
        <f aca="false">COUNTIF(AN32:AN35,CONCATENATE("&gt;=",AN35))</f>
        <v>4</v>
      </c>
      <c r="AB35" s="43" t="str">
        <f aca="false">VLOOKUP("Japan",T,lang,FALSE())</f>
        <v>Japan</v>
      </c>
      <c r="AC35" s="41" t="n">
        <f aca="false">COUNTIF($S$7:$T$54,"=" &amp; AB35 &amp; "_win")</f>
        <v>0</v>
      </c>
      <c r="AD35" s="41" t="n">
        <f aca="false">COUNTIF($S$7:$T$54,"=" &amp; AB35 &amp; "_draw")</f>
        <v>0</v>
      </c>
      <c r="AE35" s="41" t="n">
        <f aca="false">COUNTIF($S$7:$T$54,"=" &amp; AB35 &amp; "_lose")</f>
        <v>3</v>
      </c>
      <c r="AF35" s="41" t="n">
        <f aca="false">SUMIF($E$7:$E$54,$AB35,$F$7:$F$54) + SUMIF($H$7:$H$54,$AB35,$G$7:$G$54)</f>
        <v>1</v>
      </c>
      <c r="AG35" s="41" t="n">
        <f aca="false">SUMIF($E$7:$E$54,$AB35,$G$7:$G$54) + SUMIF($H$7:$H$54,$AB35,$F$7:$F$54)</f>
        <v>6</v>
      </c>
      <c r="AH35" s="41" t="n">
        <f aca="false">(AF35-AG35)*100+AK35*10000+AF35</f>
        <v>-499</v>
      </c>
      <c r="AI35" s="41" t="n">
        <f aca="false">AF35-AG35</f>
        <v>-5</v>
      </c>
      <c r="AJ35" s="41" t="n">
        <f aca="false">(AI35-AI37)/AI36</f>
        <v>0</v>
      </c>
      <c r="AK35" s="41" t="n">
        <f aca="false">AC35*3+AD35</f>
        <v>0</v>
      </c>
      <c r="AL35" s="41" t="n">
        <f aca="false">AP35/AP36*1000+AQ35/AQ36*100+AT35/AT36*10+AR35/AR36</f>
        <v>0</v>
      </c>
      <c r="AM35" s="41" t="n">
        <f aca="false">VLOOKUP(AB35,db_fifarank,2,FALSE())/2000000</f>
        <v>0.00077672</v>
      </c>
      <c r="AN35" s="43" t="n">
        <f aca="false">1000*AK35/AK36+100*AJ35+10*AF35/AF36+1*AL35/AL36+AM35</f>
        <v>1.42934814857143</v>
      </c>
      <c r="AP35" s="41" t="n">
        <f aca="false">SUMPRODUCT(($S$7:$S$54=AB35&amp;"_win")*($U$7:$U$54))+SUMPRODUCT(($T$7:$T$54=AB35&amp;"_win")*($U$7:$U$54))</f>
        <v>0</v>
      </c>
      <c r="AQ35" s="41" t="n">
        <f aca="false">SUMPRODUCT(($S$7:$S$54=AB35&amp;"_draw")*($U$7:$U$54))+SUMPRODUCT(($T$7:$T$54=AB35&amp;"_draw")*($U$7:$U$54))</f>
        <v>0</v>
      </c>
      <c r="AR35" s="41" t="n">
        <f aca="false">SUMPRODUCT(($E$7:$E$54=AB35)*($U$7:$U$54)*($F$7:$F$54))+SUMPRODUCT(($H$7:$H$54=AB35)*($U$7:$U$54)*($G$7:$G$54))</f>
        <v>0</v>
      </c>
      <c r="AS35" s="41" t="n">
        <f aca="false">SUMPRODUCT(($E$7:$E$54=AB35)*($U$7:$U$54)*($G$7:$G$54))+SUMPRODUCT(($H$7:$H$54=AB35)*($U$7:$U$54)*($F$7:$F$54))</f>
        <v>0</v>
      </c>
      <c r="AT35" s="41" t="n">
        <f aca="false">AR35-AS35</f>
        <v>0</v>
      </c>
      <c r="AY35" s="77"/>
      <c r="AZ35" s="82" t="str">
        <f aca="false">AO33</f>
        <v>Costa Rica</v>
      </c>
      <c r="BA35" s="83" t="n">
        <v>0</v>
      </c>
      <c r="BB35" s="84"/>
      <c r="BC35" s="85"/>
      <c r="BD35" s="86"/>
      <c r="BE35" s="69"/>
      <c r="BF35" s="69" t="str">
        <f aca="false">INDEX(T,24+MONTH(R72),lang) &amp; " " &amp; DAY(R72) &amp; ", " &amp; YEAR(R72) &amp; "   " &amp; (IF(HOUR(R72)&lt;10,0,"") &amp; HOUR(R72)) &amp; ":" &amp; (IF(MINUTE(R72)&lt;10,0,"") &amp; MINUTE(R72))</f>
        <v>Dec 10, 2022   18:00</v>
      </c>
      <c r="BG35" s="69"/>
      <c r="BH35" s="69"/>
      <c r="BI35" s="69"/>
      <c r="BJ35" s="87"/>
      <c r="BK35" s="91"/>
      <c r="BL35" s="69"/>
      <c r="BM35" s="69"/>
      <c r="BN35" s="69"/>
      <c r="BO35" s="69"/>
      <c r="BP35" s="69"/>
      <c r="BQ35" s="69"/>
      <c r="BR35" s="69"/>
      <c r="BS35" s="69"/>
      <c r="BT35" s="77" t="n">
        <v>63</v>
      </c>
      <c r="BU35" s="78" t="str">
        <f aca="false">Z76</f>
        <v>Brazil</v>
      </c>
      <c r="BV35" s="79" t="n">
        <v>1</v>
      </c>
      <c r="BW35" s="80"/>
      <c r="BX35" s="81"/>
    </row>
    <row r="36" customFormat="false" ht="15" hidden="false" customHeight="true" outlineLevel="0" collapsed="false">
      <c r="A36" s="58" t="n">
        <v>30</v>
      </c>
      <c r="B36" s="59" t="str">
        <f aca="false">INDEX(T,18+INT(MOD(R36-1,7)),lang)</f>
        <v>Mon</v>
      </c>
      <c r="C36" s="60" t="str">
        <f aca="false">INDEX(T,24+MONTH(R36),lang) &amp; " " &amp; DAY(R36) &amp; ", " &amp; YEAR(R36)</f>
        <v>Nov 28, 2022</v>
      </c>
      <c r="D36" s="61" t="n">
        <f aca="false">TIME(HOUR(R36),MINUTE(R36),0)</f>
        <v>0.666666666666667</v>
      </c>
      <c r="E36" s="62" t="str">
        <f aca="false">AB53</f>
        <v>Korea Republic</v>
      </c>
      <c r="F36" s="63" t="n">
        <v>1</v>
      </c>
      <c r="G36" s="64" t="n">
        <v>0</v>
      </c>
      <c r="H36" s="65" t="str">
        <f aca="false">AB51</f>
        <v>Ghana</v>
      </c>
      <c r="J36" s="88" t="str">
        <f aca="false">VLOOKUP(4,AA32:AK35,2,FALSE())</f>
        <v>Japan</v>
      </c>
      <c r="K36" s="89" t="n">
        <f aca="false">L36+M36+N36</f>
        <v>3</v>
      </c>
      <c r="L36" s="89" t="n">
        <f aca="false">VLOOKUP(4,AA32:AK35,3,FALSE())</f>
        <v>0</v>
      </c>
      <c r="M36" s="89" t="n">
        <f aca="false">VLOOKUP(4,AA32:AK35,4,FALSE())</f>
        <v>0</v>
      </c>
      <c r="N36" s="89" t="n">
        <f aca="false">VLOOKUP(4,AA32:AK35,5,FALSE())</f>
        <v>3</v>
      </c>
      <c r="O36" s="89" t="str">
        <f aca="false">VLOOKUP(4,AA32:AK35,6,FALSE()) &amp; " - " &amp; VLOOKUP(4,AA32:AK35,7,FALSE())</f>
        <v>1 - 6</v>
      </c>
      <c r="P36" s="90" t="n">
        <f aca="false">L36*3+M36</f>
        <v>0</v>
      </c>
      <c r="R36" s="41" t="n">
        <f aca="false">DATE(2022,11,28)+TIME(2,0,0)+gmt_delta</f>
        <v>44893.6666666667</v>
      </c>
      <c r="S36" s="42" t="str">
        <f aca="false">IF(OR(F36="",G36=""),"",IF(F36&gt;G36,E36&amp;"_win",IF(F36&lt;G36,E36&amp;"_lose",E36&amp;"_draw")))</f>
        <v>Korea Republic_win</v>
      </c>
      <c r="T36" s="42" t="str">
        <f aca="false">IF(S36="","",IF(F36&lt;G36,H36&amp;"_win",IF(F36&gt;G36,H36&amp;"_lose",H36&amp;"_draw")))</f>
        <v>Ghana_lose</v>
      </c>
      <c r="U36" s="43" t="n">
        <f aca="false">IF(S36="",0,IF(VLOOKUP(E36,$AB$8:$AK$53,7,FALSE())=VLOOKUP(H36,$AB$8:$AK$53,7,FALSE()),1,0))</f>
        <v>0</v>
      </c>
      <c r="V36" s="41" t="n">
        <f aca="false">U36*F36</f>
        <v>0</v>
      </c>
      <c r="W36" s="41" t="n">
        <f aca="false">U36*G36</f>
        <v>0</v>
      </c>
      <c r="X36" s="41" t="n">
        <f aca="false">IF(OR(E36=my_team,H36=my_team),1,0)</f>
        <v>0</v>
      </c>
      <c r="Y36" s="41" t="n">
        <f aca="false">IF(OR(F36="",G36=""),"",IF(F36&gt;G36,1,IF(F36&lt;G36,-1,0)))</f>
        <v>1</v>
      </c>
      <c r="AC36" s="41" t="n">
        <f aca="false">MAX(AC32:AC35)-MIN(AC32:AC35)+1</f>
        <v>4</v>
      </c>
      <c r="AD36" s="41" t="n">
        <f aca="false">MAX(AD32:AD35)-MIN(AD32:AD35)+1</f>
        <v>1</v>
      </c>
      <c r="AE36" s="41" t="n">
        <f aca="false">MAX(AE32:AE35)-MIN(AE32:AE35)+1</f>
        <v>4</v>
      </c>
      <c r="AF36" s="41" t="n">
        <f aca="false">MAX(AF32:AF35)-MIN(AF32:AF35)+1</f>
        <v>7</v>
      </c>
      <c r="AG36" s="41" t="n">
        <f aca="false">MAX(AG32:AG35)-MIN(AG32:AG35)+1</f>
        <v>5</v>
      </c>
      <c r="AH36" s="41" t="n">
        <f aca="false">MAX(AH32:AH35)-AH37+1</f>
        <v>91007</v>
      </c>
      <c r="AI36" s="41" t="n">
        <f aca="false">MAX(AI32:AI35)-AI37+1</f>
        <v>11</v>
      </c>
      <c r="AK36" s="41" t="n">
        <f aca="false">MAX(AK32:AK35)-MIN(AK32:AK35)+1</f>
        <v>10</v>
      </c>
      <c r="AL36" s="41" t="n">
        <f aca="false">MAX(AL32:AL35)-MIN(AL32:AL35)+1</f>
        <v>1</v>
      </c>
      <c r="AP36" s="41" t="n">
        <f aca="false">MAX(AP32:AP35)-MIN(AP32:AP35)+1</f>
        <v>1</v>
      </c>
      <c r="AQ36" s="41" t="n">
        <f aca="false">MAX(AQ32:AQ35)-MIN(AQ32:AQ35)+1</f>
        <v>1</v>
      </c>
      <c r="AR36" s="41" t="n">
        <f aca="false">MAX(AR32:AR35)-MIN(AR32:AR35)+1</f>
        <v>1</v>
      </c>
      <c r="AS36" s="41" t="n">
        <f aca="false">MAX(AS32:AS35)-MIN(AS32:AS35)+1</f>
        <v>1</v>
      </c>
      <c r="AT36" s="41" t="n">
        <f aca="false">MAX(AT32:AT35)-MIN(AT32:AT35)+1</f>
        <v>1</v>
      </c>
      <c r="AY36" s="69"/>
      <c r="AZ36" s="69"/>
      <c r="BA36" s="69"/>
      <c r="BB36" s="69"/>
      <c r="BC36" s="69"/>
      <c r="BD36" s="91"/>
      <c r="BE36" s="69"/>
      <c r="BF36" s="77" t="n">
        <v>60</v>
      </c>
      <c r="BG36" s="78" t="str">
        <f aca="false">T64</f>
        <v>Belgium</v>
      </c>
      <c r="BH36" s="79" t="n">
        <v>1</v>
      </c>
      <c r="BI36" s="80"/>
      <c r="BJ36" s="81"/>
      <c r="BK36" s="93"/>
      <c r="BL36" s="69"/>
      <c r="BM36" s="69"/>
      <c r="BN36" s="69"/>
      <c r="BO36" s="69"/>
      <c r="BP36" s="69"/>
      <c r="BQ36" s="69"/>
      <c r="BR36" s="69"/>
      <c r="BS36" s="69"/>
      <c r="BT36" s="77"/>
      <c r="BU36" s="82" t="str">
        <f aca="false">Z77</f>
        <v>Denmark</v>
      </c>
      <c r="BV36" s="83" t="n">
        <v>2</v>
      </c>
      <c r="BW36" s="84"/>
      <c r="BX36" s="85"/>
    </row>
    <row r="37" customFormat="false" ht="15" hidden="false" customHeight="true" outlineLevel="0" collapsed="false">
      <c r="A37" s="58" t="n">
        <v>31</v>
      </c>
      <c r="B37" s="59" t="str">
        <f aca="false">INDEX(T,18+INT(MOD(R37-1,7)),lang)</f>
        <v>Mon</v>
      </c>
      <c r="C37" s="60" t="str">
        <f aca="false">INDEX(T,24+MONTH(R37),lang) &amp; " " &amp; DAY(R37) &amp; ", " &amp; YEAR(R37)</f>
        <v>Nov 28, 2022</v>
      </c>
      <c r="D37" s="61" t="n">
        <f aca="false">TIME(HOUR(R37),MINUTE(R37),0)</f>
        <v>0.791666666666667</v>
      </c>
      <c r="E37" s="62" t="str">
        <f aca="false">AB44</f>
        <v>Brazil</v>
      </c>
      <c r="F37" s="63" t="n">
        <v>2</v>
      </c>
      <c r="G37" s="64" t="n">
        <v>1</v>
      </c>
      <c r="H37" s="65" t="str">
        <f aca="false">AB46</f>
        <v>Switzerland</v>
      </c>
      <c r="R37" s="41" t="n">
        <f aca="false">DATE(2022,11,28)+TIME(5,0,0)+gmt_delta</f>
        <v>44893.7916666667</v>
      </c>
      <c r="S37" s="42" t="str">
        <f aca="false">IF(OR(F37="",G37=""),"",IF(F37&gt;G37,E37&amp;"_win",IF(F37&lt;G37,E37&amp;"_lose",E37&amp;"_draw")))</f>
        <v>Brazil_win</v>
      </c>
      <c r="T37" s="42" t="str">
        <f aca="false">IF(S37="","",IF(F37&lt;G37,H37&amp;"_win",IF(F37&gt;G37,H37&amp;"_lose",H37&amp;"_draw")))</f>
        <v>Switzerland_lose</v>
      </c>
      <c r="U37" s="43" t="n">
        <f aca="false">IF(S37="",0,IF(VLOOKUP(E37,$AB$8:$AK$53,7,FALSE())=VLOOKUP(H37,$AB$8:$AK$53,7,FALSE()),1,0))</f>
        <v>0</v>
      </c>
      <c r="V37" s="41" t="n">
        <f aca="false">U37*F37</f>
        <v>0</v>
      </c>
      <c r="W37" s="41" t="n">
        <f aca="false">U37*G37</f>
        <v>0</v>
      </c>
      <c r="X37" s="41" t="n">
        <f aca="false">IF(OR(E37=my_team,H37=my_team),1,0)</f>
        <v>0</v>
      </c>
      <c r="Y37" s="41" t="n">
        <f aca="false">IF(OR(F37="",G37=""),"",IF(F37&gt;G37,1,IF(F37&lt;G37,-1,0)))</f>
        <v>1</v>
      </c>
      <c r="AH37" s="41" t="n">
        <f aca="false">MIN(AH32:AH35)</f>
        <v>-499</v>
      </c>
      <c r="AI37" s="41" t="n">
        <f aca="false">MIN(AI32:AI35)</f>
        <v>-5</v>
      </c>
      <c r="AY37" s="69" t="str">
        <f aca="false">INDEX(T,24+MONTH(R65),lang) &amp; " " &amp; DAY(R65) &amp; ", " &amp; YEAR(R65) &amp; "   " &amp;  (IF(HOUR(R65)&lt;10,0,"")&amp;HOUR(R65)) &amp; ":" &amp;  (IF(MINUTE(R65)&lt;10,0,"")&amp;MINUTE(R65))</f>
        <v>Dec 6, 2022   22:00</v>
      </c>
      <c r="AZ37" s="69"/>
      <c r="BA37" s="69"/>
      <c r="BB37" s="69"/>
      <c r="BC37" s="87"/>
      <c r="BD37" s="91"/>
      <c r="BE37" s="92"/>
      <c r="BF37" s="77"/>
      <c r="BG37" s="82" t="str">
        <f aca="false">T65</f>
        <v>Uruguay</v>
      </c>
      <c r="BH37" s="83" t="n">
        <v>0</v>
      </c>
      <c r="BI37" s="84"/>
      <c r="BJ37" s="85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</row>
    <row r="38" customFormat="false" ht="15" hidden="false" customHeight="true" outlineLevel="0" collapsed="false">
      <c r="A38" s="58" t="n">
        <v>32</v>
      </c>
      <c r="B38" s="59" t="str">
        <f aca="false">INDEX(T,18+INT(MOD(R38-1,7)),lang)</f>
        <v>Mon</v>
      </c>
      <c r="C38" s="60" t="str">
        <f aca="false">INDEX(T,24+MONTH(R38),lang) &amp; " " &amp; DAY(R38) &amp; ", " &amp; YEAR(R38)</f>
        <v>Nov 28, 2022</v>
      </c>
      <c r="D38" s="61" t="n">
        <f aca="false">TIME(HOUR(R38),MINUTE(R38),0)</f>
        <v>0.916666666666667</v>
      </c>
      <c r="E38" s="62" t="str">
        <f aca="false">AB50</f>
        <v>Portugal</v>
      </c>
      <c r="F38" s="63" t="n">
        <v>1</v>
      </c>
      <c r="G38" s="64" t="n">
        <v>1</v>
      </c>
      <c r="H38" s="65" t="str">
        <f aca="false">AB52</f>
        <v>Uruguay</v>
      </c>
      <c r="J38" s="66" t="str">
        <f aca="false">INDEX(T,9,lang) &amp; " " &amp; "F"</f>
        <v>Group F</v>
      </c>
      <c r="K38" s="67" t="str">
        <f aca="false">INDEX(T,10,lang)</f>
        <v>PL</v>
      </c>
      <c r="L38" s="67" t="str">
        <f aca="false">INDEX(T,11,lang)</f>
        <v>W</v>
      </c>
      <c r="M38" s="67" t="str">
        <f aca="false">INDEX(T,12,lang)</f>
        <v>DRAW</v>
      </c>
      <c r="N38" s="67" t="str">
        <f aca="false">INDEX(T,13,lang)</f>
        <v>L</v>
      </c>
      <c r="O38" s="67" t="str">
        <f aca="false">INDEX(T,14,lang)</f>
        <v>GF - GA</v>
      </c>
      <c r="P38" s="68" t="str">
        <f aca="false">INDEX(T,15,lang)</f>
        <v>PNT</v>
      </c>
      <c r="R38" s="41" t="n">
        <f aca="false">DATE(2022,11,28)+TIME(8,0,0)+gmt_delta</f>
        <v>44893.9166666667</v>
      </c>
      <c r="S38" s="42" t="str">
        <f aca="false">IF(OR(F38="",G38=""),"",IF(F38&gt;G38,E38&amp;"_win",IF(F38&lt;G38,E38&amp;"_lose",E38&amp;"_draw")))</f>
        <v>Portugal_draw</v>
      </c>
      <c r="T38" s="42" t="str">
        <f aca="false">IF(S38="","",IF(F38&lt;G38,H38&amp;"_win",IF(F38&gt;G38,H38&amp;"_lose",H38&amp;"_draw")))</f>
        <v>Uruguay_draw</v>
      </c>
      <c r="U38" s="43" t="n">
        <f aca="false">IF(S38="",0,IF(VLOOKUP(E38,$AB$8:$AK$53,7,FALSE())=VLOOKUP(H38,$AB$8:$AK$53,7,FALSE()),1,0))</f>
        <v>0</v>
      </c>
      <c r="V38" s="41" t="n">
        <f aca="false">U38*F38</f>
        <v>0</v>
      </c>
      <c r="W38" s="41" t="n">
        <f aca="false">U38*G38</f>
        <v>0</v>
      </c>
      <c r="X38" s="41" t="n">
        <f aca="false">IF(OR(E38=my_team,H38=my_team),1,0)</f>
        <v>0</v>
      </c>
      <c r="Y38" s="41" t="n">
        <f aca="false">IF(OR(F38="",G38=""),"",IF(F38&gt;G38,1,IF(F38&lt;G38,-1,0)))</f>
        <v>0</v>
      </c>
      <c r="AA38" s="41" t="n">
        <f aca="false">COUNTIF(AN38:AN41,CONCATENATE("&gt;=",AN38))</f>
        <v>1</v>
      </c>
      <c r="AB38" s="43" t="str">
        <f aca="false">VLOOKUP("Belgium",T,lang,FALSE())</f>
        <v>Belgium</v>
      </c>
      <c r="AC38" s="41" t="n">
        <f aca="false">COUNTIF($S$7:$T$54,"=" &amp; AB38 &amp; "_win")</f>
        <v>3</v>
      </c>
      <c r="AD38" s="41" t="n">
        <f aca="false">COUNTIF($S$7:$T$54,"=" &amp; AB38 &amp; "_draw")</f>
        <v>0</v>
      </c>
      <c r="AE38" s="41" t="n">
        <f aca="false">COUNTIF($S$7:$T$54,"=" &amp; AB38 &amp; "_lose")</f>
        <v>0</v>
      </c>
      <c r="AF38" s="41" t="n">
        <f aca="false">SUMIF($E$7:$E$54,$AB38,$F$7:$F$54) + SUMIF($H$7:$H$54,$AB38,$G$7:$G$54)</f>
        <v>6</v>
      </c>
      <c r="AG38" s="41" t="n">
        <f aca="false">SUMIF($E$7:$E$54,$AB38,$G$7:$G$54) + SUMIF($H$7:$H$54,$AB38,$F$7:$F$54)</f>
        <v>1</v>
      </c>
      <c r="AH38" s="41" t="n">
        <f aca="false">(AF38-AG38)*100+AK38*10000+AF38</f>
        <v>90506</v>
      </c>
      <c r="AI38" s="41" t="n">
        <f aca="false">AF38-AG38</f>
        <v>5</v>
      </c>
      <c r="AJ38" s="41" t="n">
        <f aca="false">(AI38-AI43)/AI42</f>
        <v>0.888888888888889</v>
      </c>
      <c r="AK38" s="41" t="n">
        <f aca="false">AC38*3+AD38</f>
        <v>9</v>
      </c>
      <c r="AL38" s="41" t="n">
        <f aca="false">AP38/AP42*1000+AQ38/AQ42*100+AT38/AT42*10+AR38/AR42</f>
        <v>0</v>
      </c>
      <c r="AM38" s="41" t="n">
        <f aca="false">VLOOKUP(AB38,db_fifarank,2,FALSE())/2000000</f>
        <v>0.0009135</v>
      </c>
      <c r="AN38" s="43" t="n">
        <f aca="false">1000*AK38/AK42+100*AJ38+10*AF38/AF42+1*AL38/AL42+AM38</f>
        <v>1098.88980238889</v>
      </c>
      <c r="AO38" s="43" t="str">
        <f aca="false">IF(SUM(AC38:AE41)=12,J39,INDEX(T,80,lang))</f>
        <v>Belgium</v>
      </c>
      <c r="AP38" s="41" t="n">
        <f aca="false">SUMPRODUCT(($S$7:$S$54=AB38&amp;"_win")*($U$7:$U$54))+SUMPRODUCT(($T$7:$T$54=AB38&amp;"_win")*($U$7:$U$54))</f>
        <v>0</v>
      </c>
      <c r="AQ38" s="41" t="n">
        <f aca="false">SUMPRODUCT(($S$7:$S$54=AB38&amp;"_draw")*($U$7:$U$54))+SUMPRODUCT(($T$7:$T$54=AB38&amp;"_draw")*($U$7:$U$54))</f>
        <v>0</v>
      </c>
      <c r="AR38" s="41" t="n">
        <f aca="false">SUMPRODUCT(($E$7:$E$54=AB38)*($U$7:$U$54)*($F$7:$F$54))+SUMPRODUCT(($H$7:$H$54=AB38)*($U$7:$U$54)*($G$7:$G$54))</f>
        <v>0</v>
      </c>
      <c r="AS38" s="41" t="n">
        <f aca="false">SUMPRODUCT(($E$7:$E$54=AB38)*($U$7:$U$54)*($G$7:$G$54))+SUMPRODUCT(($H$7:$H$54=AB38)*($U$7:$U$54)*($F$7:$F$54))</f>
        <v>0</v>
      </c>
      <c r="AT38" s="41" t="n">
        <f aca="false">AR38-AS38</f>
        <v>0</v>
      </c>
      <c r="AY38" s="77" t="n">
        <v>56</v>
      </c>
      <c r="AZ38" s="78" t="str">
        <f aca="false">AO50</f>
        <v>Uruguay</v>
      </c>
      <c r="BA38" s="79" t="n">
        <v>1</v>
      </c>
      <c r="BB38" s="80" t="n">
        <v>0</v>
      </c>
      <c r="BC38" s="81" t="n">
        <v>4</v>
      </c>
      <c r="BD38" s="93"/>
      <c r="BE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</row>
    <row r="39" customFormat="false" ht="15" hidden="false" customHeight="true" outlineLevel="0" collapsed="false">
      <c r="A39" s="58" t="n">
        <v>33</v>
      </c>
      <c r="B39" s="59" t="str">
        <f aca="false">INDEX(T,18+INT(MOD(R39-1,7)),lang)</f>
        <v>Tue</v>
      </c>
      <c r="C39" s="60" t="str">
        <f aca="false">INDEX(T,24+MONTH(R39),lang) &amp; " " &amp; DAY(R39) &amp; ", " &amp; YEAR(R39)</f>
        <v>Nov 29, 2022</v>
      </c>
      <c r="D39" s="61" t="n">
        <f aca="false">TIME(HOUR(R39),MINUTE(R39),0)</f>
        <v>0.75</v>
      </c>
      <c r="E39" s="62" t="str">
        <f aca="false">AB10</f>
        <v>Ecuador</v>
      </c>
      <c r="F39" s="63" t="n">
        <v>2</v>
      </c>
      <c r="G39" s="64" t="n">
        <v>1</v>
      </c>
      <c r="H39" s="65" t="str">
        <f aca="false">AB8</f>
        <v>Senegal</v>
      </c>
      <c r="J39" s="70" t="str">
        <f aca="false">VLOOKUP(1,AA38:AK41,2,FALSE())</f>
        <v>Belgium</v>
      </c>
      <c r="K39" s="71" t="n">
        <f aca="false">L39+M39+N39</f>
        <v>3</v>
      </c>
      <c r="L39" s="71" t="n">
        <f aca="false">VLOOKUP(1,AA38:AK41,3,FALSE())</f>
        <v>3</v>
      </c>
      <c r="M39" s="71" t="n">
        <f aca="false">VLOOKUP(1,AA38:AK41,4,FALSE())</f>
        <v>0</v>
      </c>
      <c r="N39" s="71" t="n">
        <f aca="false">VLOOKUP(1,AA38:AK41,5,FALSE())</f>
        <v>0</v>
      </c>
      <c r="O39" s="71" t="str">
        <f aca="false">VLOOKUP(1,AA38:AK41,6,FALSE()) &amp; " - " &amp; VLOOKUP(1,AA38:AK41,7,FALSE())</f>
        <v>6 - 1</v>
      </c>
      <c r="P39" s="72" t="n">
        <f aca="false">L39*3+M39</f>
        <v>9</v>
      </c>
      <c r="R39" s="41" t="n">
        <f aca="false">DATE(2022,11,29)+TIME(4,0,0)+gmt_delta</f>
        <v>44894.75</v>
      </c>
      <c r="S39" s="42" t="str">
        <f aca="false">IF(OR(F39="",G39=""),"",IF(F39&gt;G39,E39&amp;"_win",IF(F39&lt;G39,E39&amp;"_lose",E39&amp;"_draw")))</f>
        <v>Ecuador_win</v>
      </c>
      <c r="T39" s="42" t="str">
        <f aca="false">IF(S39="","",IF(F39&lt;G39,H39&amp;"_win",IF(F39&gt;G39,H39&amp;"_lose",H39&amp;"_draw")))</f>
        <v>Senegal_lose</v>
      </c>
      <c r="U39" s="43" t="n">
        <f aca="false">IF(S39="",0,IF(VLOOKUP(E39,$AB$8:$AK$53,7,FALSE())=VLOOKUP(H39,$AB$8:$AK$53,7,FALSE()),1,0))</f>
        <v>0</v>
      </c>
      <c r="V39" s="41" t="n">
        <f aca="false">U39*F39</f>
        <v>0</v>
      </c>
      <c r="W39" s="41" t="n">
        <f aca="false">U39*G39</f>
        <v>0</v>
      </c>
      <c r="X39" s="41" t="n">
        <f aca="false">IF(OR(E39=my_team,H39=my_team),1,0)</f>
        <v>0</v>
      </c>
      <c r="Y39" s="41" t="n">
        <f aca="false">IF(OR(F39="",G39=""),"",IF(F39&gt;G39,1,IF(F39&lt;G39,-1,0)))</f>
        <v>1</v>
      </c>
      <c r="AA39" s="41" t="n">
        <f aca="false">COUNTIF(AN38:AN41,CONCATENATE("&gt;=",AN39))</f>
        <v>4</v>
      </c>
      <c r="AB39" s="43" t="str">
        <f aca="false">VLOOKUP("Canada",T,lang,FALSE())</f>
        <v>Canada</v>
      </c>
      <c r="AC39" s="41" t="n">
        <f aca="false">COUNTIF($S$7:$T$54,"=" &amp; AB39 &amp; "_win")</f>
        <v>0</v>
      </c>
      <c r="AD39" s="41" t="n">
        <f aca="false">COUNTIF($S$7:$T$54,"=" &amp; AB39 &amp; "_draw")</f>
        <v>1</v>
      </c>
      <c r="AE39" s="41" t="n">
        <f aca="false">COUNTIF($S$7:$T$54,"=" &amp; AB39 &amp; "_lose")</f>
        <v>2</v>
      </c>
      <c r="AF39" s="41" t="n">
        <f aca="false">SUMIF($E$7:$E$54,$AB39,$F$7:$F$54) + SUMIF($H$7:$H$54,$AB39,$G$7:$G$54)</f>
        <v>1</v>
      </c>
      <c r="AG39" s="41" t="n">
        <f aca="false">SUMIF($E$7:$E$54,$AB39,$G$7:$G$54) + SUMIF($H$7:$H$54,$AB39,$F$7:$F$54)</f>
        <v>4</v>
      </c>
      <c r="AH39" s="41" t="n">
        <f aca="false">(AF39-AG39)*100+AK39*10000+AF39</f>
        <v>9701</v>
      </c>
      <c r="AI39" s="41" t="n">
        <f aca="false">AF39-AG39</f>
        <v>-3</v>
      </c>
      <c r="AJ39" s="41" t="n">
        <f aca="false">(AI39-AI43)/AI42</f>
        <v>0</v>
      </c>
      <c r="AK39" s="41" t="n">
        <f aca="false">AC39*3+AD39</f>
        <v>1</v>
      </c>
      <c r="AL39" s="41" t="n">
        <f aca="false">AP39/AP42*1000+AQ39/AQ42*100+AT39/AT42*10+AR39/AR42</f>
        <v>0</v>
      </c>
      <c r="AM39" s="41" t="n">
        <f aca="false">VLOOKUP(AB39,db_fifarank,2,FALSE())/2000000</f>
        <v>0.0007395</v>
      </c>
      <c r="AN39" s="43" t="n">
        <f aca="false">1000*AK39/AK42+100*AJ39+10*AF39/AF42+1*AL39/AL42+AM39</f>
        <v>112.778517277778</v>
      </c>
      <c r="AO39" s="43" t="str">
        <f aca="false">IF(SUM(AC38:AE41)=12,J40,INDEX(T,81,lang))</f>
        <v>Croatia</v>
      </c>
      <c r="AP39" s="41" t="n">
        <f aca="false">SUMPRODUCT(($S$7:$S$54=AB39&amp;"_win")*($U$7:$U$54))+SUMPRODUCT(($T$7:$T$54=AB39&amp;"_win")*($U$7:$U$54))</f>
        <v>0</v>
      </c>
      <c r="AQ39" s="41" t="n">
        <f aca="false">SUMPRODUCT(($S$7:$S$54=AB39&amp;"_draw")*($U$7:$U$54))+SUMPRODUCT(($T$7:$T$54=AB39&amp;"_draw")*($U$7:$U$54))</f>
        <v>0</v>
      </c>
      <c r="AR39" s="41" t="n">
        <f aca="false">SUMPRODUCT(($E$7:$E$54=AB39)*($U$7:$U$54)*($F$7:$F$54))+SUMPRODUCT(($H$7:$H$54=AB39)*($U$7:$U$54)*($G$7:$G$54))</f>
        <v>0</v>
      </c>
      <c r="AS39" s="41" t="n">
        <f aca="false">SUMPRODUCT(($E$7:$E$54=AB39)*($U$7:$U$54)*($G$7:$G$54))+SUMPRODUCT(($H$7:$H$54=AB39)*($U$7:$U$54)*($F$7:$F$54))</f>
        <v>0</v>
      </c>
      <c r="AT39" s="41" t="n">
        <f aca="false">AR39-AS39</f>
        <v>0</v>
      </c>
      <c r="AY39" s="77"/>
      <c r="AZ39" s="82" t="str">
        <f aca="false">AO45</f>
        <v>Switzerland</v>
      </c>
      <c r="BA39" s="83" t="n">
        <v>1</v>
      </c>
      <c r="BB39" s="84" t="n">
        <v>0</v>
      </c>
      <c r="BC39" s="85" t="n">
        <v>3</v>
      </c>
      <c r="BD39" s="69"/>
      <c r="BE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</row>
    <row r="40" customFormat="false" ht="15" hidden="false" customHeight="true" outlineLevel="0" collapsed="false">
      <c r="A40" s="58" t="n">
        <v>34</v>
      </c>
      <c r="B40" s="59" t="str">
        <f aca="false">INDEX(T,18+INT(MOD(R40-1,7)),lang)</f>
        <v>Tue</v>
      </c>
      <c r="C40" s="60" t="str">
        <f aca="false">INDEX(T,24+MONTH(R40),lang) &amp; " " &amp; DAY(R40) &amp; ", " &amp; YEAR(R40)</f>
        <v>Nov 29, 2022</v>
      </c>
      <c r="D40" s="61" t="n">
        <f aca="false">TIME(HOUR(R40),MINUTE(R40),0)</f>
        <v>0.75</v>
      </c>
      <c r="E40" s="62" t="str">
        <f aca="false">AB11</f>
        <v>Netherlands</v>
      </c>
      <c r="F40" s="63" t="n">
        <v>2</v>
      </c>
      <c r="G40" s="64" t="n">
        <v>0</v>
      </c>
      <c r="H40" s="65" t="str">
        <f aca="false">AB9</f>
        <v>Qatar</v>
      </c>
      <c r="J40" s="74" t="str">
        <f aca="false">VLOOKUP(2,AA38:AK41,2,FALSE())</f>
        <v>Croatia</v>
      </c>
      <c r="K40" s="75" t="n">
        <f aca="false">L40+M40+N40</f>
        <v>3</v>
      </c>
      <c r="L40" s="75" t="n">
        <f aca="false">VLOOKUP(2,AA38:AK41,3,FALSE())</f>
        <v>2</v>
      </c>
      <c r="M40" s="75" t="n">
        <f aca="false">VLOOKUP(2,AA38:AK41,4,FALSE())</f>
        <v>0</v>
      </c>
      <c r="N40" s="75" t="n">
        <f aca="false">VLOOKUP(2,AA38:AK41,5,FALSE())</f>
        <v>1</v>
      </c>
      <c r="O40" s="75" t="str">
        <f aca="false">VLOOKUP(2,AA38:AK41,6,FALSE()) &amp; " - " &amp; VLOOKUP(2,AA38:AK41,7,FALSE())</f>
        <v>4 - 3</v>
      </c>
      <c r="P40" s="76" t="n">
        <f aca="false">L40*3+M40</f>
        <v>6</v>
      </c>
      <c r="R40" s="41" t="n">
        <f aca="false">DATE(2022,11,29)+TIME(4,0,0)+gmt_delta</f>
        <v>44894.75</v>
      </c>
      <c r="S40" s="42" t="str">
        <f aca="false">IF(OR(F40="",G40=""),"",IF(F40&gt;G40,E40&amp;"_win",IF(F40&lt;G40,E40&amp;"_lose",E40&amp;"_draw")))</f>
        <v>Netherlands_win</v>
      </c>
      <c r="T40" s="42" t="str">
        <f aca="false">IF(S40="","",IF(F40&lt;G40,H40&amp;"_win",IF(F40&gt;G40,H40&amp;"_lose",H40&amp;"_draw")))</f>
        <v>Qatar_lose</v>
      </c>
      <c r="U40" s="43" t="n">
        <f aca="false">IF(S40="",0,IF(VLOOKUP(E40,$AB$8:$AK$53,7,FALSE())=VLOOKUP(H40,$AB$8:$AK$53,7,FALSE()),1,0))</f>
        <v>0</v>
      </c>
      <c r="V40" s="41" t="n">
        <f aca="false">U40*F40</f>
        <v>0</v>
      </c>
      <c r="W40" s="41" t="n">
        <f aca="false">U40*G40</f>
        <v>0</v>
      </c>
      <c r="X40" s="41" t="n">
        <f aca="false">IF(OR(E40=my_team,H40=my_team),1,0)</f>
        <v>0</v>
      </c>
      <c r="Y40" s="41" t="n">
        <f aca="false">IF(OR(F40="",G40=""),"",IF(F40&gt;G40,1,IF(F40&lt;G40,-1,0)))</f>
        <v>1</v>
      </c>
      <c r="AA40" s="41" t="n">
        <f aca="false">COUNTIF(AN38:AN41,CONCATENATE("&gt;=",AN40))</f>
        <v>3</v>
      </c>
      <c r="AB40" s="43" t="str">
        <f aca="false">VLOOKUP("Morocco",T,lang,FALSE())</f>
        <v>Morocco</v>
      </c>
      <c r="AC40" s="41" t="n">
        <f aca="false">COUNTIF($S$7:$T$54,"=" &amp; AB40 &amp; "_win")</f>
        <v>0</v>
      </c>
      <c r="AD40" s="41" t="n">
        <f aca="false">COUNTIF($S$7:$T$54,"=" &amp; AB40 &amp; "_draw")</f>
        <v>1</v>
      </c>
      <c r="AE40" s="41" t="n">
        <f aca="false">COUNTIF($S$7:$T$54,"=" &amp; AB40 &amp; "_lose")</f>
        <v>2</v>
      </c>
      <c r="AF40" s="41" t="n">
        <f aca="false">SUMIF($E$7:$E$54,$AB40,$F$7:$F$54) + SUMIF($H$7:$H$54,$AB40,$G$7:$G$54)</f>
        <v>2</v>
      </c>
      <c r="AG40" s="41" t="n">
        <f aca="false">SUMIF($E$7:$E$54,$AB40,$G$7:$G$54) + SUMIF($H$7:$H$54,$AB40,$F$7:$F$54)</f>
        <v>5</v>
      </c>
      <c r="AH40" s="41" t="n">
        <f aca="false">(AF40-AG40)*100+AK40*10000+AF40</f>
        <v>9702</v>
      </c>
      <c r="AI40" s="41" t="n">
        <f aca="false">AF40-AG40</f>
        <v>-3</v>
      </c>
      <c r="AJ40" s="41" t="n">
        <f aca="false">(AI40-AI43)/AI42</f>
        <v>0</v>
      </c>
      <c r="AK40" s="41" t="n">
        <f aca="false">AC40*3+AD40</f>
        <v>1</v>
      </c>
      <c r="AL40" s="41" t="n">
        <f aca="false">AP40/AP42*1000+AQ40/AQ42*100+AT40/AT42*10+AR40/AR42</f>
        <v>0</v>
      </c>
      <c r="AM40" s="41" t="n">
        <f aca="false">VLOOKUP(AB40,db_fifarank,2,FALSE())/2000000</f>
        <v>0.00077594</v>
      </c>
      <c r="AN40" s="43" t="n">
        <f aca="false">1000*AK40/AK42+100*AJ40+10*AF40/AF42+1*AL40/AL42+AM40</f>
        <v>114.445220384444</v>
      </c>
      <c r="AP40" s="41" t="n">
        <f aca="false">SUMPRODUCT(($S$7:$S$54=AB40&amp;"_win")*($U$7:$U$54))+SUMPRODUCT(($T$7:$T$54=AB40&amp;"_win")*($U$7:$U$54))</f>
        <v>0</v>
      </c>
      <c r="AQ40" s="41" t="n">
        <f aca="false">SUMPRODUCT(($S$7:$S$54=AB40&amp;"_draw")*($U$7:$U$54))+SUMPRODUCT(($T$7:$T$54=AB40&amp;"_draw")*($U$7:$U$54))</f>
        <v>0</v>
      </c>
      <c r="AR40" s="41" t="n">
        <f aca="false">SUMPRODUCT(($E$7:$E$54=AB40)*($U$7:$U$54)*($F$7:$F$54))+SUMPRODUCT(($H$7:$H$54=AB40)*($U$7:$U$54)*($G$7:$G$54))</f>
        <v>0</v>
      </c>
      <c r="AS40" s="41" t="n">
        <f aca="false">SUMPRODUCT(($E$7:$E$54=AB40)*($U$7:$U$54)*($G$7:$G$54))+SUMPRODUCT(($H$7:$H$54=AB40)*($U$7:$U$54)*($F$7:$F$54))</f>
        <v>0</v>
      </c>
      <c r="AT40" s="41" t="n">
        <f aca="false">AR40-AS40</f>
        <v>0</v>
      </c>
    </row>
    <row r="41" customFormat="false" ht="15" hidden="false" customHeight="true" outlineLevel="0" collapsed="false">
      <c r="A41" s="58" t="n">
        <v>35</v>
      </c>
      <c r="B41" s="59" t="str">
        <f aca="false">INDEX(T,18+INT(MOD(R41-1,7)),lang)</f>
        <v>Tue</v>
      </c>
      <c r="C41" s="60" t="str">
        <f aca="false">INDEX(T,24+MONTH(R41),lang) &amp; " " &amp; DAY(R41) &amp; ", " &amp; YEAR(R41)</f>
        <v>Nov 29, 2022</v>
      </c>
      <c r="D41" s="61" t="n">
        <f aca="false">TIME(HOUR(R41),MINUTE(R41),0)</f>
        <v>0.916666666666667</v>
      </c>
      <c r="E41" s="62" t="str">
        <f aca="false">AB17</f>
        <v>Wales</v>
      </c>
      <c r="F41" s="63" t="n">
        <v>1</v>
      </c>
      <c r="G41" s="64" t="n">
        <v>2</v>
      </c>
      <c r="H41" s="65" t="str">
        <f aca="false">AB14</f>
        <v>England</v>
      </c>
      <c r="J41" s="74" t="str">
        <f aca="false">VLOOKUP(3,AA38:AK41,2,FALSE())</f>
        <v>Morocco</v>
      </c>
      <c r="K41" s="75" t="n">
        <f aca="false">L41+M41+N41</f>
        <v>3</v>
      </c>
      <c r="L41" s="75" t="n">
        <f aca="false">VLOOKUP(3,AA38:AK41,3,FALSE())</f>
        <v>0</v>
      </c>
      <c r="M41" s="75" t="n">
        <f aca="false">VLOOKUP(3,AA38:AK41,4,FALSE())</f>
        <v>1</v>
      </c>
      <c r="N41" s="75" t="n">
        <f aca="false">VLOOKUP(3,AA38:AK41,5,FALSE())</f>
        <v>2</v>
      </c>
      <c r="O41" s="75" t="str">
        <f aca="false">VLOOKUP(3,AA38:AK41,6,FALSE()) &amp; " - " &amp; VLOOKUP(3,AA38:AK41,7,FALSE())</f>
        <v>2 - 5</v>
      </c>
      <c r="P41" s="76" t="n">
        <f aca="false">L41*3+M41</f>
        <v>1</v>
      </c>
      <c r="R41" s="41" t="n">
        <f aca="false">DATE(2022,11,29)+TIME(8,0,0)+gmt_delta</f>
        <v>44894.9166666667</v>
      </c>
      <c r="S41" s="42" t="str">
        <f aca="false">IF(OR(F41="",G41=""),"",IF(F41&gt;G41,E41&amp;"_win",IF(F41&lt;G41,E41&amp;"_lose",E41&amp;"_draw")))</f>
        <v>Wales_lose</v>
      </c>
      <c r="T41" s="42" t="str">
        <f aca="false">IF(S41="","",IF(F41&lt;G41,H41&amp;"_win",IF(F41&gt;G41,H41&amp;"_lose",H41&amp;"_draw")))</f>
        <v>England_win</v>
      </c>
      <c r="U41" s="43" t="n">
        <f aca="false">IF(S41="",0,IF(VLOOKUP(E41,$AB$8:$AK$53,7,FALSE())=VLOOKUP(H41,$AB$8:$AK$53,7,FALSE()),1,0))</f>
        <v>0</v>
      </c>
      <c r="V41" s="41" t="n">
        <f aca="false">U41*F41</f>
        <v>0</v>
      </c>
      <c r="W41" s="41" t="n">
        <f aca="false">U41*G41</f>
        <v>0</v>
      </c>
      <c r="X41" s="41" t="n">
        <f aca="false">IF(OR(E41=my_team,H41=my_team),1,0)</f>
        <v>0</v>
      </c>
      <c r="Y41" s="41" t="n">
        <f aca="false">IF(OR(F41="",G41=""),"",IF(F41&gt;G41,1,IF(F41&lt;G41,-1,0)))</f>
        <v>-1</v>
      </c>
      <c r="AA41" s="41" t="n">
        <f aca="false">COUNTIF(AN38:AN41,CONCATENATE("&gt;=",AN41))</f>
        <v>2</v>
      </c>
      <c r="AB41" s="43" t="str">
        <f aca="false">VLOOKUP("Croatia",T,lang,FALSE())</f>
        <v>Croatia</v>
      </c>
      <c r="AC41" s="41" t="n">
        <f aca="false">COUNTIF($S$7:$T$54,"=" &amp; AB41 &amp; "_win")</f>
        <v>2</v>
      </c>
      <c r="AD41" s="41" t="n">
        <f aca="false">COUNTIF($S$7:$T$54,"=" &amp; AB41 &amp; "_draw")</f>
        <v>0</v>
      </c>
      <c r="AE41" s="41" t="n">
        <f aca="false">COUNTIF($S$7:$T$54,"=" &amp; AB41 &amp; "_lose")</f>
        <v>1</v>
      </c>
      <c r="AF41" s="41" t="n">
        <f aca="false">SUMIF($E$7:$E$54,$AB41,$F$7:$F$54) + SUMIF($H$7:$H$54,$AB41,$G$7:$G$54)</f>
        <v>4</v>
      </c>
      <c r="AG41" s="41" t="n">
        <f aca="false">SUMIF($E$7:$E$54,$AB41,$G$7:$G$54) + SUMIF($H$7:$H$54,$AB41,$F$7:$F$54)</f>
        <v>3</v>
      </c>
      <c r="AH41" s="41" t="n">
        <f aca="false">(AF41-AG41)*100+AK41*10000+AF41</f>
        <v>60104</v>
      </c>
      <c r="AI41" s="41" t="n">
        <f aca="false">AF41-AG41</f>
        <v>1</v>
      </c>
      <c r="AJ41" s="41" t="n">
        <f aca="false">(AI41-AI43)/AI42</f>
        <v>0.444444444444444</v>
      </c>
      <c r="AK41" s="41" t="n">
        <f aca="false">AC41*3+AD41</f>
        <v>6</v>
      </c>
      <c r="AL41" s="41" t="n">
        <f aca="false">AP41/AP42*1000+AQ41/AQ42*100+AT41/AT42*10+AR41/AR42</f>
        <v>0</v>
      </c>
      <c r="AM41" s="41" t="n">
        <f aca="false">VLOOKUP(AB41,db_fifarank,2,FALSE())/2000000</f>
        <v>0.000810555</v>
      </c>
      <c r="AN41" s="43" t="n">
        <f aca="false">1000*AK41/AK42+100*AJ41+10*AF41/AF42+1*AL41/AL42+AM41</f>
        <v>717.778588332778</v>
      </c>
      <c r="AP41" s="41" t="n">
        <f aca="false">SUMPRODUCT(($S$7:$S$54=AB41&amp;"_win")*($U$7:$U$54))+SUMPRODUCT(($T$7:$T$54=AB41&amp;"_win")*($U$7:$U$54))</f>
        <v>0</v>
      </c>
      <c r="AQ41" s="41" t="n">
        <f aca="false">SUMPRODUCT(($S$7:$S$54=AB41&amp;"_draw")*($U$7:$U$54))+SUMPRODUCT(($T$7:$T$54=AB41&amp;"_draw")*($U$7:$U$54))</f>
        <v>0</v>
      </c>
      <c r="AR41" s="41" t="n">
        <f aca="false">SUMPRODUCT(($E$7:$E$54=AB41)*($U$7:$U$54)*($F$7:$F$54))+SUMPRODUCT(($H$7:$H$54=AB41)*($U$7:$U$54)*($G$7:$G$54))</f>
        <v>0</v>
      </c>
      <c r="AS41" s="41" t="n">
        <f aca="false">SUMPRODUCT(($E$7:$E$54=AB41)*($U$7:$U$54)*($G$7:$G$54))+SUMPRODUCT(($H$7:$H$54=AB41)*($U$7:$U$54)*($F$7:$F$54))</f>
        <v>0</v>
      </c>
      <c r="AT41" s="41" t="n">
        <f aca="false">AR41-AS41</f>
        <v>0</v>
      </c>
      <c r="AY41" s="100" t="s">
        <v>2516</v>
      </c>
      <c r="AZ41" s="100"/>
      <c r="BA41" s="100"/>
      <c r="BB41" s="100"/>
      <c r="BC41" s="100"/>
      <c r="BL41" s="101" t="str">
        <f aca="false">INDEX(T,102,lang)</f>
        <v>World Champion 2022</v>
      </c>
      <c r="BM41" s="101"/>
      <c r="BN41" s="101"/>
      <c r="BO41" s="101"/>
      <c r="BP41" s="101"/>
      <c r="BQ41" s="101"/>
      <c r="BR41" s="102" t="str">
        <f aca="false">S85</f>
        <v>Argentina</v>
      </c>
      <c r="BS41" s="102"/>
      <c r="BT41" s="102"/>
      <c r="BU41" s="102"/>
      <c r="BV41" s="102"/>
      <c r="BW41" s="102"/>
      <c r="BX41" s="102"/>
    </row>
    <row r="42" customFormat="false" ht="15" hidden="false" customHeight="true" outlineLevel="0" collapsed="false">
      <c r="A42" s="58" t="n">
        <v>36</v>
      </c>
      <c r="B42" s="59" t="str">
        <f aca="false">INDEX(T,18+INT(MOD(R42-1,7)),lang)</f>
        <v>Tue</v>
      </c>
      <c r="C42" s="60" t="str">
        <f aca="false">INDEX(T,24+MONTH(R42),lang) &amp; " " &amp; DAY(R42) &amp; ", " &amp; YEAR(R42)</f>
        <v>Nov 29, 2022</v>
      </c>
      <c r="D42" s="61" t="n">
        <f aca="false">TIME(HOUR(R42),MINUTE(R42),0)</f>
        <v>0.916666666666667</v>
      </c>
      <c r="E42" s="62" t="str">
        <f aca="false">AB15</f>
        <v>Iran</v>
      </c>
      <c r="F42" s="63" t="n">
        <v>0</v>
      </c>
      <c r="G42" s="64" t="n">
        <v>2</v>
      </c>
      <c r="H42" s="65" t="str">
        <f aca="false">AB16</f>
        <v>United States</v>
      </c>
      <c r="J42" s="88" t="str">
        <f aca="false">VLOOKUP(4,AA38:AK41,2,FALSE())</f>
        <v>Canada</v>
      </c>
      <c r="K42" s="89" t="n">
        <f aca="false">L42+M42+N42</f>
        <v>3</v>
      </c>
      <c r="L42" s="89" t="n">
        <f aca="false">VLOOKUP(4,AA38:AK41,3,FALSE())</f>
        <v>0</v>
      </c>
      <c r="M42" s="89" t="n">
        <f aca="false">VLOOKUP(4,AA38:AK41,4,FALSE())</f>
        <v>1</v>
      </c>
      <c r="N42" s="89" t="n">
        <f aca="false">VLOOKUP(4,AA38:AK41,5,FALSE())</f>
        <v>2</v>
      </c>
      <c r="O42" s="89" t="str">
        <f aca="false">VLOOKUP(4,AA38:AK41,6,FALSE()) &amp; " - " &amp; VLOOKUP(4,AA38:AK41,7,FALSE())</f>
        <v>1 - 4</v>
      </c>
      <c r="P42" s="90" t="n">
        <f aca="false">L42*3+M42</f>
        <v>1</v>
      </c>
      <c r="R42" s="41" t="n">
        <f aca="false">DATE(2022,11,29)+TIME(8,0,0)+gmt_delta</f>
        <v>44894.9166666667</v>
      </c>
      <c r="S42" s="42" t="str">
        <f aca="false">IF(OR(F42="",G42=""),"",IF(F42&gt;G42,E42&amp;"_win",IF(F42&lt;G42,E42&amp;"_lose",E42&amp;"_draw")))</f>
        <v>Iran_lose</v>
      </c>
      <c r="T42" s="42" t="str">
        <f aca="false">IF(S42="","",IF(F42&lt;G42,H42&amp;"_win",IF(F42&gt;G42,H42&amp;"_lose",H42&amp;"_draw")))</f>
        <v>United States_win</v>
      </c>
      <c r="U42" s="43" t="n">
        <f aca="false">IF(S42="",0,IF(VLOOKUP(E42,$AB$8:$AK$53,7,FALSE())=VLOOKUP(H42,$AB$8:$AK$53,7,FALSE()),1,0))</f>
        <v>0</v>
      </c>
      <c r="V42" s="41" t="n">
        <f aca="false">U42*F42</f>
        <v>0</v>
      </c>
      <c r="W42" s="41" t="n">
        <f aca="false">U42*G42</f>
        <v>0</v>
      </c>
      <c r="X42" s="41" t="n">
        <f aca="false">IF(OR(E42=my_team,H42=my_team),1,0)</f>
        <v>0</v>
      </c>
      <c r="Y42" s="41" t="n">
        <f aca="false">IF(OR(F42="",G42=""),"",IF(F42&gt;G42,1,IF(F42&lt;G42,-1,0)))</f>
        <v>-1</v>
      </c>
      <c r="AC42" s="41" t="n">
        <f aca="false">MAX(AC38:AC41)-MIN(AC38:AC41)+1</f>
        <v>4</v>
      </c>
      <c r="AD42" s="41" t="n">
        <f aca="false">MAX(AD38:AD41)-MIN(AD38:AD41)+1</f>
        <v>2</v>
      </c>
      <c r="AE42" s="41" t="n">
        <f aca="false">MAX(AE38:AE41)-MIN(AE38:AE41)+1</f>
        <v>3</v>
      </c>
      <c r="AF42" s="41" t="n">
        <f aca="false">MAX(AF38:AF41)-MIN(AF38:AF41)+1</f>
        <v>6</v>
      </c>
      <c r="AG42" s="41" t="n">
        <f aca="false">MAX(AG38:AG41)-MIN(AG38:AG41)+1</f>
        <v>5</v>
      </c>
      <c r="AH42" s="41" t="n">
        <f aca="false">MAX(AH38:AH41)-AH43+1</f>
        <v>80806</v>
      </c>
      <c r="AI42" s="41" t="n">
        <f aca="false">MAX(AI38:AI41)-AI43+1</f>
        <v>9</v>
      </c>
      <c r="AK42" s="41" t="n">
        <f aca="false">MAX(AK38:AK41)-MIN(AK38:AK41)+1</f>
        <v>9</v>
      </c>
      <c r="AL42" s="41" t="n">
        <f aca="false">MAX(AL38:AL41)-MIN(AL38:AL41)+1</f>
        <v>1</v>
      </c>
      <c r="AP42" s="41" t="n">
        <f aca="false">MAX(AP38:AP41)-MIN(AP38:AP41)+1</f>
        <v>1</v>
      </c>
      <c r="AQ42" s="41" t="n">
        <f aca="false">MAX(AQ38:AQ41)-MIN(AQ38:AQ41)+1</f>
        <v>1</v>
      </c>
      <c r="AR42" s="41" t="n">
        <f aca="false">MAX(AR38:AR41)-MIN(AR38:AR41)+1</f>
        <v>1</v>
      </c>
      <c r="AS42" s="41" t="n">
        <f aca="false">MAX(AS38:AS41)-MIN(AS38:AS41)+1</f>
        <v>1</v>
      </c>
      <c r="AT42" s="41" t="n">
        <f aca="false">MAX(AT38:AT41)-MIN(AT38:AT41)+1</f>
        <v>1</v>
      </c>
      <c r="AY42" s="100"/>
      <c r="AZ42" s="100"/>
      <c r="BA42" s="100"/>
      <c r="BB42" s="100"/>
      <c r="BC42" s="100"/>
      <c r="BL42" s="101"/>
      <c r="BM42" s="101"/>
      <c r="BN42" s="101"/>
      <c r="BO42" s="101"/>
      <c r="BP42" s="101"/>
      <c r="BQ42" s="101"/>
      <c r="BR42" s="102"/>
      <c r="BS42" s="102"/>
      <c r="BT42" s="102"/>
      <c r="BU42" s="102"/>
      <c r="BV42" s="102"/>
      <c r="BW42" s="102"/>
      <c r="BX42" s="102"/>
    </row>
    <row r="43" customFormat="false" ht="15" hidden="false" customHeight="true" outlineLevel="0" collapsed="false">
      <c r="A43" s="58" t="n">
        <v>37</v>
      </c>
      <c r="B43" s="59" t="str">
        <f aca="false">INDEX(T,18+INT(MOD(R43-1,7)),lang)</f>
        <v>Wed</v>
      </c>
      <c r="C43" s="60" t="str">
        <f aca="false">INDEX(T,24+MONTH(R43),lang) &amp; " " &amp; DAY(R43) &amp; ", " &amp; YEAR(R43)</f>
        <v>Nov 30, 2022</v>
      </c>
      <c r="D43" s="61" t="n">
        <f aca="false">TIME(HOUR(R43),MINUTE(R43),0)</f>
        <v>0.75</v>
      </c>
      <c r="E43" s="62" t="str">
        <f aca="false">AB27</f>
        <v>Australia</v>
      </c>
      <c r="F43" s="63" t="n">
        <v>1</v>
      </c>
      <c r="G43" s="64" t="n">
        <v>3</v>
      </c>
      <c r="H43" s="65" t="str">
        <f aca="false">AB28</f>
        <v>Denmark</v>
      </c>
      <c r="R43" s="41" t="n">
        <f aca="false">DATE(2022,11,30)+TIME(4,0,0)+gmt_delta</f>
        <v>44895.75</v>
      </c>
      <c r="S43" s="42" t="str">
        <f aca="false">IF(OR(F43="",G43=""),"",IF(F43&gt;G43,E43&amp;"_win",IF(F43&lt;G43,E43&amp;"_lose",E43&amp;"_draw")))</f>
        <v>Australia_lose</v>
      </c>
      <c r="T43" s="42" t="str">
        <f aca="false">IF(S43="","",IF(F43&lt;G43,H43&amp;"_win",IF(F43&gt;G43,H43&amp;"_lose",H43&amp;"_draw")))</f>
        <v>Denmark_win</v>
      </c>
      <c r="U43" s="43" t="n">
        <f aca="false">IF(S43="",0,IF(VLOOKUP(E43,$AB$8:$AK$53,7,FALSE())=VLOOKUP(H43,$AB$8:$AK$53,7,FALSE()),1,0))</f>
        <v>0</v>
      </c>
      <c r="V43" s="41" t="n">
        <f aca="false">U43*F43</f>
        <v>0</v>
      </c>
      <c r="W43" s="41" t="n">
        <f aca="false">U43*G43</f>
        <v>0</v>
      </c>
      <c r="X43" s="41" t="n">
        <f aca="false">IF(OR(E43=my_team,H43=my_team),1,0)</f>
        <v>0</v>
      </c>
      <c r="Y43" s="41" t="n">
        <f aca="false">IF(OR(F43="",G43=""),"",IF(F43&gt;G43,1,IF(F43&lt;G43,-1,0)))</f>
        <v>-1</v>
      </c>
      <c r="AH43" s="41" t="n">
        <f aca="false">MIN(AH38:AH41)</f>
        <v>9701</v>
      </c>
      <c r="AI43" s="41" t="n">
        <f aca="false">MIN(AI38:AI41)</f>
        <v>-3</v>
      </c>
      <c r="AY43" s="100"/>
      <c r="AZ43" s="100"/>
      <c r="BA43" s="100"/>
      <c r="BB43" s="100"/>
      <c r="BC43" s="100"/>
    </row>
    <row r="44" customFormat="false" ht="15" hidden="false" customHeight="true" outlineLevel="0" collapsed="false">
      <c r="A44" s="58" t="n">
        <v>38</v>
      </c>
      <c r="B44" s="59" t="str">
        <f aca="false">INDEX(T,18+INT(MOD(R44-1,7)),lang)</f>
        <v>Wed</v>
      </c>
      <c r="C44" s="60" t="str">
        <f aca="false">INDEX(T,24+MONTH(R44),lang) &amp; " " &amp; DAY(R44) &amp; ", " &amp; YEAR(R44)</f>
        <v>Nov 30, 2022</v>
      </c>
      <c r="D44" s="61" t="n">
        <f aca="false">TIME(HOUR(R44),MINUTE(R44),0)</f>
        <v>0.75</v>
      </c>
      <c r="E44" s="62" t="str">
        <f aca="false">AB29</f>
        <v>Tunisia</v>
      </c>
      <c r="F44" s="63" t="n">
        <v>1</v>
      </c>
      <c r="G44" s="64" t="n">
        <v>2</v>
      </c>
      <c r="H44" s="65" t="str">
        <f aca="false">AB26</f>
        <v>France</v>
      </c>
      <c r="J44" s="66" t="str">
        <f aca="false">INDEX(T,9,lang) &amp; " " &amp; "G"</f>
        <v>Group G</v>
      </c>
      <c r="K44" s="67" t="str">
        <f aca="false">INDEX(T,10,lang)</f>
        <v>PL</v>
      </c>
      <c r="L44" s="67" t="str">
        <f aca="false">INDEX(T,11,lang)</f>
        <v>W</v>
      </c>
      <c r="M44" s="67" t="str">
        <f aca="false">INDEX(T,12,lang)</f>
        <v>DRAW</v>
      </c>
      <c r="N44" s="67" t="str">
        <f aca="false">INDEX(T,13,lang)</f>
        <v>L</v>
      </c>
      <c r="O44" s="67" t="str">
        <f aca="false">INDEX(T,14,lang)</f>
        <v>GF - GA</v>
      </c>
      <c r="P44" s="68" t="str">
        <f aca="false">INDEX(T,15,lang)</f>
        <v>PNT</v>
      </c>
      <c r="R44" s="41" t="n">
        <f aca="false">DATE(2022,11,30)+TIME(4,0,0)+gmt_delta</f>
        <v>44895.75</v>
      </c>
      <c r="S44" s="42" t="str">
        <f aca="false">IF(OR(F44="",G44=""),"",IF(F44&gt;G44,E44&amp;"_win",IF(F44&lt;G44,E44&amp;"_lose",E44&amp;"_draw")))</f>
        <v>Tunisia_lose</v>
      </c>
      <c r="T44" s="42" t="str">
        <f aca="false">IF(S44="","",IF(F44&lt;G44,H44&amp;"_win",IF(F44&gt;G44,H44&amp;"_lose",H44&amp;"_draw")))</f>
        <v>France_win</v>
      </c>
      <c r="U44" s="43" t="n">
        <f aca="false">IF(S44="",0,IF(VLOOKUP(E44,$AB$8:$AK$53,7,FALSE())=VLOOKUP(H44,$AB$8:$AK$53,7,FALSE()),1,0))</f>
        <v>0</v>
      </c>
      <c r="V44" s="41" t="n">
        <f aca="false">U44*F44</f>
        <v>0</v>
      </c>
      <c r="W44" s="41" t="n">
        <f aca="false">U44*G44</f>
        <v>0</v>
      </c>
      <c r="X44" s="41" t="n">
        <f aca="false">IF(OR(E44=my_team,H44=my_team),1,0)</f>
        <v>0</v>
      </c>
      <c r="Y44" s="41" t="n">
        <f aca="false">IF(OR(F44="",G44=""),"",IF(F44&gt;G44,1,IF(F44&lt;G44,-1,0)))</f>
        <v>-1</v>
      </c>
      <c r="AA44" s="41" t="n">
        <f aca="false">COUNTIF(AN44:AN47,CONCATENATE("&gt;=",AN44))</f>
        <v>1</v>
      </c>
      <c r="AB44" s="43" t="str">
        <f aca="false">VLOOKUP("Brazil",T,lang,FALSE())</f>
        <v>Brazil</v>
      </c>
      <c r="AC44" s="41" t="n">
        <f aca="false">COUNTIF($S$7:$T$54,"=" &amp; AB44 &amp; "_win")</f>
        <v>3</v>
      </c>
      <c r="AD44" s="41" t="n">
        <f aca="false">COUNTIF($S$7:$T$54,"=" &amp; AB44 &amp; "_draw")</f>
        <v>0</v>
      </c>
      <c r="AE44" s="41" t="n">
        <f aca="false">COUNTIF($S$7:$T$54,"=" &amp; AB44 &amp; "_lose")</f>
        <v>0</v>
      </c>
      <c r="AF44" s="41" t="n">
        <f aca="false">SUMIF($E$7:$E$54,$AB44,$F$7:$F$54) + SUMIF($H$7:$H$54,$AB44,$G$7:$G$54)</f>
        <v>6</v>
      </c>
      <c r="AG44" s="41" t="n">
        <f aca="false">SUMIF($E$7:$E$54,$AB44,$G$7:$G$54) + SUMIF($H$7:$H$54,$AB44,$F$7:$F$54)</f>
        <v>2</v>
      </c>
      <c r="AH44" s="41" t="n">
        <f aca="false">(AF44-AG44)*100+AK44*10000+AF44</f>
        <v>90406</v>
      </c>
      <c r="AI44" s="41" t="n">
        <f aca="false">AF44-AG44</f>
        <v>4</v>
      </c>
      <c r="AJ44" s="41" t="n">
        <f aca="false">(AI44-AI49)/AI48</f>
        <v>0.875</v>
      </c>
      <c r="AK44" s="41" t="n">
        <f aca="false">AC44*3+AD44</f>
        <v>9</v>
      </c>
      <c r="AL44" s="41" t="n">
        <f aca="false">AP44/AP48*1000+AQ44/AQ48*100+AT44/AT48*10+AR44/AR48</f>
        <v>0</v>
      </c>
      <c r="AM44" s="41" t="n">
        <f aca="false">VLOOKUP(AB44,db_fifarank,2,FALSE())/2000000</f>
        <v>0.000916345</v>
      </c>
      <c r="AN44" s="43" t="n">
        <f aca="false">1000*AK44/AK48+100*AJ44+10*AF44/AF48+1*AL44/AL48+AM44</f>
        <v>1099.500916345</v>
      </c>
      <c r="AO44" s="43" t="str">
        <f aca="false">IF(SUM(AC44:AE47)=12,J45,INDEX(T,82,lang))</f>
        <v>Brazil</v>
      </c>
      <c r="AP44" s="41" t="n">
        <f aca="false">SUMPRODUCT(($S$7:$S$54=AB44&amp;"_win")*($U$7:$U$54))+SUMPRODUCT(($T$7:$T$54=AB44&amp;"_win")*($U$7:$U$54))</f>
        <v>0</v>
      </c>
      <c r="AQ44" s="41" t="n">
        <f aca="false">SUMPRODUCT(($S$7:$S$54=AB44&amp;"_draw")*($U$7:$U$54))+SUMPRODUCT(($T$7:$T$54=AB44&amp;"_draw")*($U$7:$U$54))</f>
        <v>0</v>
      </c>
      <c r="AR44" s="41" t="n">
        <f aca="false">SUMPRODUCT(($E$7:$E$54=AB44)*($U$7:$U$54)*($F$7:$F$54))+SUMPRODUCT(($H$7:$H$54=AB44)*($U$7:$U$54)*($G$7:$G$54))</f>
        <v>0</v>
      </c>
      <c r="AS44" s="41" t="n">
        <f aca="false">SUMPRODUCT(($E$7:$E$54=AB44)*($U$7:$U$54)*($G$7:$G$54))+SUMPRODUCT(($H$7:$H$54=AB44)*($U$7:$U$54)*($F$7:$F$54))</f>
        <v>0</v>
      </c>
      <c r="AT44" s="41" t="n">
        <f aca="false">AR44-AS44</f>
        <v>0</v>
      </c>
      <c r="AY44" s="100"/>
      <c r="AZ44" s="100"/>
      <c r="BA44" s="100"/>
      <c r="BB44" s="100"/>
      <c r="BC44" s="100"/>
    </row>
    <row r="45" customFormat="false" ht="15" hidden="false" customHeight="true" outlineLevel="0" collapsed="false">
      <c r="A45" s="58" t="n">
        <v>39</v>
      </c>
      <c r="B45" s="59" t="str">
        <f aca="false">INDEX(T,18+INT(MOD(R45-1,7)),lang)</f>
        <v>Wed</v>
      </c>
      <c r="C45" s="60" t="str">
        <f aca="false">INDEX(T,24+MONTH(R45),lang) &amp; " " &amp; DAY(R45) &amp; ", " &amp; YEAR(R45)</f>
        <v>Nov 30, 2022</v>
      </c>
      <c r="D45" s="61" t="n">
        <f aca="false">TIME(HOUR(R45),MINUTE(R45),0)</f>
        <v>0.916666666666667</v>
      </c>
      <c r="E45" s="62" t="str">
        <f aca="false">AB23</f>
        <v>Poland</v>
      </c>
      <c r="F45" s="63" t="n">
        <v>1</v>
      </c>
      <c r="G45" s="64" t="n">
        <v>3</v>
      </c>
      <c r="H45" s="65" t="str">
        <f aca="false">AB20</f>
        <v>Argentina</v>
      </c>
      <c r="J45" s="97" t="str">
        <f aca="false">VLOOKUP(1,AA44:AK47,2,FALSE())</f>
        <v>Brazil</v>
      </c>
      <c r="K45" s="71" t="n">
        <f aca="false">L45+M45+N45</f>
        <v>3</v>
      </c>
      <c r="L45" s="71" t="n">
        <f aca="false">VLOOKUP(1,AA44:AK47,3,FALSE())</f>
        <v>3</v>
      </c>
      <c r="M45" s="71" t="n">
        <f aca="false">VLOOKUP(1,AA44:AK47,4,FALSE())</f>
        <v>0</v>
      </c>
      <c r="N45" s="71" t="n">
        <f aca="false">VLOOKUP(1,AA44:AK47,5,FALSE())</f>
        <v>0</v>
      </c>
      <c r="O45" s="98" t="str">
        <f aca="false">VLOOKUP(1,AA44:AK47,6,FALSE()) &amp; " - " &amp; VLOOKUP(1,AA44:AK47,7,FALSE())</f>
        <v>6 - 2</v>
      </c>
      <c r="P45" s="72" t="n">
        <f aca="false">L45*3+M45</f>
        <v>9</v>
      </c>
      <c r="R45" s="41" t="n">
        <f aca="false">DATE(2022,11,30)+TIME(8,0,0)+gmt_delta</f>
        <v>44895.9166666667</v>
      </c>
      <c r="S45" s="42" t="str">
        <f aca="false">IF(OR(F45="",G45=""),"",IF(F45&gt;G45,E45&amp;"_win",IF(F45&lt;G45,E45&amp;"_lose",E45&amp;"_draw")))</f>
        <v>Poland_lose</v>
      </c>
      <c r="T45" s="42" t="str">
        <f aca="false">IF(S45="","",IF(F45&lt;G45,H45&amp;"_win",IF(F45&gt;G45,H45&amp;"_lose",H45&amp;"_draw")))</f>
        <v>Argentina_win</v>
      </c>
      <c r="U45" s="43" t="n">
        <f aca="false">IF(S45="",0,IF(VLOOKUP(E45,$AB$8:$AK$53,7,FALSE())=VLOOKUP(H45,$AB$8:$AK$53,7,FALSE()),1,0))</f>
        <v>0</v>
      </c>
      <c r="V45" s="41" t="n">
        <f aca="false">U45*F45</f>
        <v>0</v>
      </c>
      <c r="W45" s="41" t="n">
        <f aca="false">U45*G45</f>
        <v>0</v>
      </c>
      <c r="X45" s="41" t="n">
        <f aca="false">IF(OR(E45=my_team,H45=my_team),1,0)</f>
        <v>1</v>
      </c>
      <c r="Y45" s="41" t="n">
        <f aca="false">IF(OR(F45="",G45=""),"",IF(F45&gt;G45,1,IF(F45&lt;G45,-1,0)))</f>
        <v>-1</v>
      </c>
      <c r="AA45" s="41" t="n">
        <f aca="false">COUNTIF(AN44:AN47,CONCATENATE("&gt;=",AN45))</f>
        <v>4</v>
      </c>
      <c r="AB45" s="43" t="str">
        <f aca="false">VLOOKUP("Serbia",T,lang,FALSE())</f>
        <v>Serbia</v>
      </c>
      <c r="AC45" s="41" t="n">
        <f aca="false">COUNTIF($S$7:$T$54,"=" &amp; AB45 &amp; "_win")</f>
        <v>0</v>
      </c>
      <c r="AD45" s="41" t="n">
        <f aca="false">COUNTIF($S$7:$T$54,"=" &amp; AB45 &amp; "_draw")</f>
        <v>1</v>
      </c>
      <c r="AE45" s="41" t="n">
        <f aca="false">COUNTIF($S$7:$T$54,"=" &amp; AB45 &amp; "_lose")</f>
        <v>2</v>
      </c>
      <c r="AF45" s="41" t="n">
        <f aca="false">SUMIF($E$7:$E$54,$AB45,$F$7:$F$54) + SUMIF($H$7:$H$54,$AB45,$G$7:$G$54)</f>
        <v>2</v>
      </c>
      <c r="AG45" s="41" t="n">
        <f aca="false">SUMIF($E$7:$E$54,$AB45,$G$7:$G$54) + SUMIF($H$7:$H$54,$AB45,$F$7:$F$54)</f>
        <v>5</v>
      </c>
      <c r="AH45" s="41" t="n">
        <f aca="false">(AF45-AG45)*100+AK45*10000+AF45</f>
        <v>9702</v>
      </c>
      <c r="AI45" s="41" t="n">
        <f aca="false">AF45-AG45</f>
        <v>-3</v>
      </c>
      <c r="AJ45" s="41" t="n">
        <f aca="false">(AI45-AI49)/AI48</f>
        <v>0</v>
      </c>
      <c r="AK45" s="41" t="n">
        <f aca="false">AC45*3+AD45</f>
        <v>1</v>
      </c>
      <c r="AL45" s="41" t="n">
        <f aca="false">AP45/AP48*1000+AQ45/AQ48*100+AT45/AT48*10+AR45/AR48</f>
        <v>0</v>
      </c>
      <c r="AM45" s="41" t="n">
        <f aca="false">VLOOKUP(AB45,db_fifarank,2,FALSE())/2000000</f>
        <v>0.000773765</v>
      </c>
      <c r="AN45" s="43" t="n">
        <f aca="false">1000*AK45/AK48+100*AJ45+10*AF45/AF48+1*AL45/AL48+AM45</f>
        <v>115.111884876111</v>
      </c>
      <c r="AO45" s="43" t="str">
        <f aca="false">IF(SUM(AC44:AE47)=12,J46,INDEX(T,83,lang))</f>
        <v>Switzerland</v>
      </c>
      <c r="AP45" s="41" t="n">
        <f aca="false">SUMPRODUCT(($S$7:$S$54=AB45&amp;"_win")*($U$7:$U$54))+SUMPRODUCT(($T$7:$T$54=AB45&amp;"_win")*($U$7:$U$54))</f>
        <v>0</v>
      </c>
      <c r="AQ45" s="41" t="n">
        <f aca="false">SUMPRODUCT(($S$7:$S$54=AB45&amp;"_draw")*($U$7:$U$54))+SUMPRODUCT(($T$7:$T$54=AB45&amp;"_draw")*($U$7:$U$54))</f>
        <v>0</v>
      </c>
      <c r="AR45" s="41" t="n">
        <f aca="false">SUMPRODUCT(($E$7:$E$54=AB45)*($U$7:$U$54)*($F$7:$F$54))+SUMPRODUCT(($H$7:$H$54=AB45)*($U$7:$U$54)*($G$7:$G$54))</f>
        <v>0</v>
      </c>
      <c r="AS45" s="41" t="n">
        <f aca="false">SUMPRODUCT(($E$7:$E$54=AB45)*($U$7:$U$54)*($G$7:$G$54))+SUMPRODUCT(($H$7:$H$54=AB45)*($U$7:$U$54)*($F$7:$F$54))</f>
        <v>0</v>
      </c>
      <c r="AT45" s="41" t="n">
        <f aca="false">AR45-AS45</f>
        <v>0</v>
      </c>
      <c r="AY45" s="100"/>
      <c r="AZ45" s="100"/>
      <c r="BA45" s="100"/>
      <c r="BB45" s="100"/>
      <c r="BC45" s="100"/>
    </row>
    <row r="46" customFormat="false" ht="15" hidden="false" customHeight="true" outlineLevel="0" collapsed="false">
      <c r="A46" s="58" t="n">
        <v>40</v>
      </c>
      <c r="B46" s="59" t="str">
        <f aca="false">INDEX(T,18+INT(MOD(R46-1,7)),lang)</f>
        <v>Wed</v>
      </c>
      <c r="C46" s="60" t="str">
        <f aca="false">INDEX(T,24+MONTH(R46),lang) &amp; " " &amp; DAY(R46) &amp; ", " &amp; YEAR(R46)</f>
        <v>Nov 30, 2022</v>
      </c>
      <c r="D46" s="61" t="n">
        <f aca="false">TIME(HOUR(R46),MINUTE(R46),0)</f>
        <v>0.916666666666667</v>
      </c>
      <c r="E46" s="62" t="str">
        <f aca="false">AB21</f>
        <v>Saudi Arabia</v>
      </c>
      <c r="F46" s="63" t="n">
        <v>0</v>
      </c>
      <c r="G46" s="64" t="n">
        <v>2</v>
      </c>
      <c r="H46" s="65" t="str">
        <f aca="false">AB22</f>
        <v>Mexico</v>
      </c>
      <c r="J46" s="74" t="str">
        <f aca="false">VLOOKUP(2,AA44:AK47,2,FALSE())</f>
        <v>Switzerland</v>
      </c>
      <c r="K46" s="75" t="n">
        <f aca="false">L46+M46+N46</f>
        <v>3</v>
      </c>
      <c r="L46" s="75" t="n">
        <f aca="false">VLOOKUP(2,AA44:AK47,3,FALSE())</f>
        <v>2</v>
      </c>
      <c r="M46" s="75" t="n">
        <f aca="false">VLOOKUP(2,AA44:AK47,4,FALSE())</f>
        <v>0</v>
      </c>
      <c r="N46" s="75" t="n">
        <f aca="false">VLOOKUP(2,AA44:AK47,5,FALSE())</f>
        <v>1</v>
      </c>
      <c r="O46" s="75" t="str">
        <f aca="false">VLOOKUP(2,AA44:AK47,6,FALSE()) &amp; " - " &amp; VLOOKUP(2,AA44:AK47,7,FALSE())</f>
        <v>5 - 4</v>
      </c>
      <c r="P46" s="76" t="n">
        <f aca="false">L46*3+M46</f>
        <v>6</v>
      </c>
      <c r="R46" s="41" t="n">
        <f aca="false">DATE(2022,11,30)+TIME(8,0,0)+gmt_delta</f>
        <v>44895.9166666667</v>
      </c>
      <c r="S46" s="42" t="str">
        <f aca="false">IF(OR(F46="",G46=""),"",IF(F46&gt;G46,E46&amp;"_win",IF(F46&lt;G46,E46&amp;"_lose",E46&amp;"_draw")))</f>
        <v>Saudi Arabia_lose</v>
      </c>
      <c r="T46" s="42" t="str">
        <f aca="false">IF(S46="","",IF(F46&lt;G46,H46&amp;"_win",IF(F46&gt;G46,H46&amp;"_lose",H46&amp;"_draw")))</f>
        <v>Mexico_win</v>
      </c>
      <c r="U46" s="43" t="n">
        <f aca="false">IF(S46="",0,IF(VLOOKUP(E46,$AB$8:$AK$53,7,FALSE())=VLOOKUP(H46,$AB$8:$AK$53,7,FALSE()),1,0))</f>
        <v>0</v>
      </c>
      <c r="V46" s="41" t="n">
        <f aca="false">U46*F46</f>
        <v>0</v>
      </c>
      <c r="W46" s="41" t="n">
        <f aca="false">U46*G46</f>
        <v>0</v>
      </c>
      <c r="X46" s="41" t="n">
        <f aca="false">IF(OR(E46=my_team,H46=my_team),1,0)</f>
        <v>0</v>
      </c>
      <c r="Y46" s="41" t="n">
        <f aca="false">IF(OR(F46="",G46=""),"",IF(F46&gt;G46,1,IF(F46&lt;G46,-1,0)))</f>
        <v>-1</v>
      </c>
      <c r="AA46" s="41" t="n">
        <f aca="false">COUNTIF(AN44:AN47,CONCATENATE("&gt;=",AN46))</f>
        <v>2</v>
      </c>
      <c r="AB46" s="43" t="str">
        <f aca="false">VLOOKUP("Switzerland",T,lang,FALSE())</f>
        <v>Switzerland</v>
      </c>
      <c r="AC46" s="41" t="n">
        <f aca="false">COUNTIF($S$7:$T$54,"=" &amp; AB46 &amp; "_win")</f>
        <v>2</v>
      </c>
      <c r="AD46" s="41" t="n">
        <f aca="false">COUNTIF($S$7:$T$54,"=" &amp; AB46 &amp; "_draw")</f>
        <v>0</v>
      </c>
      <c r="AE46" s="41" t="n">
        <f aca="false">COUNTIF($S$7:$T$54,"=" &amp; AB46 &amp; "_lose")</f>
        <v>1</v>
      </c>
      <c r="AF46" s="41" t="n">
        <f aca="false">SUMIF($E$7:$E$54,$AB46,$F$7:$F$54) + SUMIF($H$7:$H$54,$AB46,$G$7:$G$54)</f>
        <v>5</v>
      </c>
      <c r="AG46" s="41" t="n">
        <f aca="false">SUMIF($E$7:$E$54,$AB46,$G$7:$G$54) + SUMIF($H$7:$H$54,$AB46,$F$7:$F$54)</f>
        <v>4</v>
      </c>
      <c r="AH46" s="41" t="n">
        <f aca="false">(AF46-AG46)*100+AK46*10000+AF46</f>
        <v>60105</v>
      </c>
      <c r="AI46" s="41" t="n">
        <f aca="false">AF46-AG46</f>
        <v>1</v>
      </c>
      <c r="AJ46" s="41" t="n">
        <f aca="false">(AI46-AI49)/AI48</f>
        <v>0.5</v>
      </c>
      <c r="AK46" s="41" t="n">
        <f aca="false">AC46*3+AD46</f>
        <v>6</v>
      </c>
      <c r="AL46" s="41" t="n">
        <f aca="false">AP46/AP48*1000+AQ46/AQ48*100+AT46/AT48*10+AR46/AR48</f>
        <v>0</v>
      </c>
      <c r="AM46" s="41" t="n">
        <f aca="false">VLOOKUP(AB46,db_fifarank,2,FALSE())/2000000</f>
        <v>0.00081766</v>
      </c>
      <c r="AN46" s="43" t="n">
        <f aca="false">1000*AK46/AK48+100*AJ46+10*AF46/AF48+1*AL46/AL48+AM46</f>
        <v>726.667484326667</v>
      </c>
      <c r="AP46" s="41" t="n">
        <f aca="false">SUMPRODUCT(($S$7:$S$54=AB46&amp;"_win")*($U$7:$U$54))+SUMPRODUCT(($T$7:$T$54=AB46&amp;"_win")*($U$7:$U$54))</f>
        <v>0</v>
      </c>
      <c r="AQ46" s="41" t="n">
        <f aca="false">SUMPRODUCT(($S$7:$S$54=AB46&amp;"_draw")*($U$7:$U$54))+SUMPRODUCT(($T$7:$T$54=AB46&amp;"_draw")*($U$7:$U$54))</f>
        <v>0</v>
      </c>
      <c r="AR46" s="41" t="n">
        <f aca="false">SUMPRODUCT(($E$7:$E$54=AB46)*($U$7:$U$54)*($F$7:$F$54))+SUMPRODUCT(($H$7:$H$54=AB46)*($U$7:$U$54)*($G$7:$G$54))</f>
        <v>0</v>
      </c>
      <c r="AS46" s="41" t="n">
        <f aca="false">SUMPRODUCT(($E$7:$E$54=AB46)*($U$7:$U$54)*($G$7:$G$54))+SUMPRODUCT(($H$7:$H$54=AB46)*($U$7:$U$54)*($F$7:$F$54))</f>
        <v>0</v>
      </c>
      <c r="AT46" s="41" t="n">
        <f aca="false">AR46-AS46</f>
        <v>0</v>
      </c>
      <c r="AY46" s="100"/>
      <c r="AZ46" s="100"/>
      <c r="BA46" s="100"/>
      <c r="BB46" s="100"/>
      <c r="BC46" s="100"/>
    </row>
    <row r="47" customFormat="false" ht="15" hidden="false" customHeight="true" outlineLevel="0" collapsed="false">
      <c r="A47" s="58" t="n">
        <v>41</v>
      </c>
      <c r="B47" s="59" t="str">
        <f aca="false">INDEX(T,18+INT(MOD(R47-1,7)),lang)</f>
        <v>Thu</v>
      </c>
      <c r="C47" s="60" t="str">
        <f aca="false">INDEX(T,24+MONTH(R47),lang) &amp; " " &amp; DAY(R47) &amp; ", " &amp; YEAR(R47)</f>
        <v>Dec 1, 2022</v>
      </c>
      <c r="D47" s="61" t="n">
        <f aca="false">TIME(HOUR(R47),MINUTE(R47),0)</f>
        <v>0.75</v>
      </c>
      <c r="E47" s="62" t="str">
        <f aca="false">AB41</f>
        <v>Croatia</v>
      </c>
      <c r="F47" s="63" t="n">
        <v>1</v>
      </c>
      <c r="G47" s="64" t="n">
        <v>2</v>
      </c>
      <c r="H47" s="65" t="str">
        <f aca="false">AB38</f>
        <v>Belgium</v>
      </c>
      <c r="J47" s="74" t="str">
        <f aca="false">VLOOKUP(3,AA44:AK47,2,FALSE())</f>
        <v>Cameroon</v>
      </c>
      <c r="K47" s="75" t="n">
        <f aca="false">L47+M47+N47</f>
        <v>3</v>
      </c>
      <c r="L47" s="75" t="n">
        <f aca="false">VLOOKUP(3,AA44:AK47,3,FALSE())</f>
        <v>0</v>
      </c>
      <c r="M47" s="75" t="n">
        <f aca="false">VLOOKUP(3,AA44:AK47,4,FALSE())</f>
        <v>1</v>
      </c>
      <c r="N47" s="75" t="n">
        <f aca="false">VLOOKUP(3,AA44:AK47,5,FALSE())</f>
        <v>2</v>
      </c>
      <c r="O47" s="75" t="str">
        <f aca="false">VLOOKUP(3,AA44:AK47,6,FALSE()) &amp; " - " &amp; VLOOKUP(3,AA44:AK47,7,FALSE())</f>
        <v>3 - 5</v>
      </c>
      <c r="P47" s="76" t="n">
        <f aca="false">L47*3+M47</f>
        <v>1</v>
      </c>
      <c r="R47" s="41" t="n">
        <f aca="false">DATE(2022,12,1)+TIME(4,0,0)+gmt_delta</f>
        <v>44896.75</v>
      </c>
      <c r="S47" s="42" t="str">
        <f aca="false">IF(OR(F47="",G47=""),"",IF(F47&gt;G47,E47&amp;"_win",IF(F47&lt;G47,E47&amp;"_lose",E47&amp;"_draw")))</f>
        <v>Croatia_lose</v>
      </c>
      <c r="T47" s="42" t="str">
        <f aca="false">IF(S47="","",IF(F47&lt;G47,H47&amp;"_win",IF(F47&gt;G47,H47&amp;"_lose",H47&amp;"_draw")))</f>
        <v>Belgium_win</v>
      </c>
      <c r="U47" s="43" t="n">
        <f aca="false">IF(S47="",0,IF(VLOOKUP(E47,$AB$8:$AK$53,7,FALSE())=VLOOKUP(H47,$AB$8:$AK$53,7,FALSE()),1,0))</f>
        <v>0</v>
      </c>
      <c r="V47" s="41" t="n">
        <f aca="false">U47*F47</f>
        <v>0</v>
      </c>
      <c r="W47" s="41" t="n">
        <f aca="false">U47*G47</f>
        <v>0</v>
      </c>
      <c r="X47" s="41" t="n">
        <f aca="false">IF(OR(E47=my_team,H47=my_team),1,0)</f>
        <v>0</v>
      </c>
      <c r="Y47" s="41" t="n">
        <f aca="false">IF(OR(F47="",G47=""),"",IF(F47&gt;G47,1,IF(F47&lt;G47,-1,0)))</f>
        <v>-1</v>
      </c>
      <c r="AA47" s="41" t="n">
        <f aca="false">COUNTIF(AN44:AN47,CONCATENATE("&gt;=",AN47))</f>
        <v>3</v>
      </c>
      <c r="AB47" s="43" t="str">
        <f aca="false">VLOOKUP("Cameroon",T,lang,FALSE())</f>
        <v>Cameroon</v>
      </c>
      <c r="AC47" s="41" t="n">
        <f aca="false">COUNTIF($S$7:$T$54,"=" &amp; AB47 &amp; "_win")</f>
        <v>0</v>
      </c>
      <c r="AD47" s="41" t="n">
        <f aca="false">COUNTIF($S$7:$T$54,"=" &amp; AB47 &amp; "_draw")</f>
        <v>1</v>
      </c>
      <c r="AE47" s="41" t="n">
        <f aca="false">COUNTIF($S$7:$T$54,"=" &amp; AB47 &amp; "_lose")</f>
        <v>2</v>
      </c>
      <c r="AF47" s="41" t="n">
        <f aca="false">SUMIF($E$7:$E$54,$AB47,$F$7:$F$54) + SUMIF($H$7:$H$54,$AB47,$G$7:$G$54)</f>
        <v>3</v>
      </c>
      <c r="AG47" s="41" t="n">
        <f aca="false">SUMIF($E$7:$E$54,$AB47,$G$7:$G$54) + SUMIF($H$7:$H$54,$AB47,$F$7:$F$54)</f>
        <v>5</v>
      </c>
      <c r="AH47" s="41" t="n">
        <f aca="false">(AF47-AG47)*100+AK47*10000+AF47</f>
        <v>9803</v>
      </c>
      <c r="AI47" s="41" t="n">
        <f aca="false">AF47-AG47</f>
        <v>-2</v>
      </c>
      <c r="AJ47" s="41" t="n">
        <f aca="false">(AI47-AI49)/AI48</f>
        <v>0.125</v>
      </c>
      <c r="AK47" s="41" t="n">
        <f aca="false">AC47*3+AD47</f>
        <v>1</v>
      </c>
      <c r="AL47" s="41" t="n">
        <f aca="false">AP47/AP48*1000+AQ47/AQ48*100+AT47/AT48*10+AR47/AR48</f>
        <v>0</v>
      </c>
      <c r="AM47" s="41" t="n">
        <f aca="false">VLOOKUP(AB47,db_fifarank,2,FALSE())/2000000</f>
        <v>0.00074024</v>
      </c>
      <c r="AN47" s="43" t="n">
        <f aca="false">1000*AK47/AK48+100*AJ47+10*AF47/AF48+1*AL47/AL48+AM47</f>
        <v>129.611851351111</v>
      </c>
      <c r="AP47" s="41" t="n">
        <f aca="false">SUMPRODUCT(($S$7:$S$54=AB47&amp;"_win")*($U$7:$U$54))+SUMPRODUCT(($T$7:$T$54=AB47&amp;"_win")*($U$7:$U$54))</f>
        <v>0</v>
      </c>
      <c r="AQ47" s="41" t="n">
        <f aca="false">SUMPRODUCT(($S$7:$S$54=AB47&amp;"_draw")*($U$7:$U$54))+SUMPRODUCT(($T$7:$T$54=AB47&amp;"_draw")*($U$7:$U$54))</f>
        <v>0</v>
      </c>
      <c r="AR47" s="41" t="n">
        <f aca="false">SUMPRODUCT(($E$7:$E$54=AB47)*($U$7:$U$54)*($F$7:$F$54))+SUMPRODUCT(($H$7:$H$54=AB47)*($U$7:$U$54)*($G$7:$G$54))</f>
        <v>0</v>
      </c>
      <c r="AS47" s="41" t="n">
        <f aca="false">SUMPRODUCT(($E$7:$E$54=AB47)*($U$7:$U$54)*($G$7:$G$54))+SUMPRODUCT(($H$7:$H$54=AB47)*($U$7:$U$54)*($F$7:$F$54))</f>
        <v>0</v>
      </c>
      <c r="AT47" s="41" t="n">
        <f aca="false">AR47-AS47</f>
        <v>0</v>
      </c>
    </row>
    <row r="48" customFormat="false" ht="15" hidden="false" customHeight="true" outlineLevel="0" collapsed="false">
      <c r="A48" s="58" t="n">
        <v>42</v>
      </c>
      <c r="B48" s="59" t="str">
        <f aca="false">INDEX(T,18+INT(MOD(R48-1,7)),lang)</f>
        <v>Thu</v>
      </c>
      <c r="C48" s="60" t="str">
        <f aca="false">INDEX(T,24+MONTH(R48),lang) &amp; " " &amp; DAY(R48) &amp; ", " &amp; YEAR(R48)</f>
        <v>Dec 1, 2022</v>
      </c>
      <c r="D48" s="61" t="n">
        <f aca="false">TIME(HOUR(R48),MINUTE(R48),0)</f>
        <v>0.75</v>
      </c>
      <c r="E48" s="62" t="str">
        <f aca="false">AB39</f>
        <v>Canada</v>
      </c>
      <c r="F48" s="63" t="n">
        <v>1</v>
      </c>
      <c r="G48" s="64" t="n">
        <v>1</v>
      </c>
      <c r="H48" s="65" t="str">
        <f aca="false">AB40</f>
        <v>Morocco</v>
      </c>
      <c r="J48" s="88" t="str">
        <f aca="false">VLOOKUP(4,AA44:AK47,2,FALSE())</f>
        <v>Serbia</v>
      </c>
      <c r="K48" s="89" t="n">
        <f aca="false">L48+M48+N48</f>
        <v>3</v>
      </c>
      <c r="L48" s="89" t="n">
        <f aca="false">VLOOKUP(4,AA44:AK47,3,FALSE())</f>
        <v>0</v>
      </c>
      <c r="M48" s="89" t="n">
        <f aca="false">VLOOKUP(4,AA44:AK47,4,FALSE())</f>
        <v>1</v>
      </c>
      <c r="N48" s="89" t="n">
        <f aca="false">VLOOKUP(4,AA44:AK47,5,FALSE())</f>
        <v>2</v>
      </c>
      <c r="O48" s="89" t="str">
        <f aca="false">VLOOKUP(4,AA44:AK47,6,FALSE()) &amp; " - " &amp; VLOOKUP(4,AA44:AK47,7,FALSE())</f>
        <v>2 - 5</v>
      </c>
      <c r="P48" s="90" t="n">
        <f aca="false">L48*3+M48</f>
        <v>1</v>
      </c>
      <c r="R48" s="41" t="n">
        <f aca="false">DATE(2022,12,1)+TIME(4,0,0)+gmt_delta</f>
        <v>44896.75</v>
      </c>
      <c r="S48" s="42" t="str">
        <f aca="false">IF(OR(F48="",G48=""),"",IF(F48&gt;G48,E48&amp;"_win",IF(F48&lt;G48,E48&amp;"_lose",E48&amp;"_draw")))</f>
        <v>Canada_draw</v>
      </c>
      <c r="T48" s="42" t="str">
        <f aca="false">IF(S48="","",IF(F48&lt;G48,H48&amp;"_win",IF(F48&gt;G48,H48&amp;"_lose",H48&amp;"_draw")))</f>
        <v>Morocco_draw</v>
      </c>
      <c r="U48" s="43" t="n">
        <f aca="false">IF(S48="",0,IF(VLOOKUP(E48,$AB$8:$AK$53,7,FALSE())=VLOOKUP(H48,$AB$8:$AK$53,7,FALSE()),1,0))</f>
        <v>0</v>
      </c>
      <c r="V48" s="41" t="n">
        <f aca="false">U48*F48</f>
        <v>0</v>
      </c>
      <c r="W48" s="41" t="n">
        <f aca="false">U48*G48</f>
        <v>0</v>
      </c>
      <c r="X48" s="41" t="n">
        <f aca="false">IF(OR(E48=my_team,H48=my_team),1,0)</f>
        <v>0</v>
      </c>
      <c r="Y48" s="41" t="n">
        <f aca="false">IF(OR(F48="",G48=""),"",IF(F48&gt;G48,1,IF(F48&lt;G48,-1,0)))</f>
        <v>0</v>
      </c>
      <c r="AC48" s="41" t="n">
        <f aca="false">MAX(AC44:AC47)-MIN(AC44:AC47)+1</f>
        <v>4</v>
      </c>
      <c r="AD48" s="41" t="n">
        <f aca="false">MAX(AD44:AD47)-MIN(AD44:AD47)+1</f>
        <v>2</v>
      </c>
      <c r="AE48" s="41" t="n">
        <f aca="false">MAX(AE44:AE47)-MIN(AE44:AE47)+1</f>
        <v>3</v>
      </c>
      <c r="AF48" s="41" t="n">
        <f aca="false">MAX(AF44:AF47)-MIN(AF44:AF47)+1</f>
        <v>5</v>
      </c>
      <c r="AG48" s="41" t="n">
        <f aca="false">MAX(AG44:AG47)-MIN(AG44:AG47)+1</f>
        <v>4</v>
      </c>
      <c r="AH48" s="41" t="n">
        <f aca="false">MAX(AH44:AH47)-AH49+1</f>
        <v>80705</v>
      </c>
      <c r="AI48" s="41" t="n">
        <f aca="false">MAX(AI44:AI47)-AI49+1</f>
        <v>8</v>
      </c>
      <c r="AK48" s="41" t="n">
        <f aca="false">MAX(AK44:AK47)-MIN(AK44:AK47)+1</f>
        <v>9</v>
      </c>
      <c r="AL48" s="41" t="n">
        <f aca="false">MAX(AL44:AL47)-MIN(AL44:AL47)+1</f>
        <v>1</v>
      </c>
      <c r="AP48" s="41" t="n">
        <f aca="false">MAX(AP44:AP47)-MIN(AP44:AP47)+1</f>
        <v>1</v>
      </c>
      <c r="AQ48" s="41" t="n">
        <f aca="false">MAX(AQ44:AQ47)-MIN(AQ44:AQ47)+1</f>
        <v>1</v>
      </c>
      <c r="AR48" s="41" t="n">
        <f aca="false">MAX(AR44:AR47)-MIN(AR44:AR47)+1</f>
        <v>1</v>
      </c>
      <c r="AS48" s="41" t="n">
        <f aca="false">MAX(AS44:AS47)-MIN(AS44:AS47)+1</f>
        <v>1</v>
      </c>
      <c r="AT48" s="41" t="n">
        <f aca="false">MAX(AT44:AT47)-MIN(AT44:AT47)+1</f>
        <v>1</v>
      </c>
      <c r="AY48" s="100" t="s">
        <v>2517</v>
      </c>
      <c r="AZ48" s="100"/>
      <c r="BA48" s="100"/>
      <c r="BB48" s="100"/>
      <c r="BC48" s="100"/>
    </row>
    <row r="49" customFormat="false" ht="15" hidden="false" customHeight="true" outlineLevel="0" collapsed="false">
      <c r="A49" s="58" t="n">
        <v>43</v>
      </c>
      <c r="B49" s="59" t="str">
        <f aca="false">INDEX(T,18+INT(MOD(R49-1,7)),lang)</f>
        <v>Thu</v>
      </c>
      <c r="C49" s="60" t="str">
        <f aca="false">INDEX(T,24+MONTH(R49),lang) &amp; " " &amp; DAY(R49) &amp; ", " &amp; YEAR(R49)</f>
        <v>Dec 1, 2022</v>
      </c>
      <c r="D49" s="61" t="n">
        <f aca="false">TIME(HOUR(R49),MINUTE(R49),0)</f>
        <v>0.916666666666667</v>
      </c>
      <c r="E49" s="62" t="str">
        <f aca="false">AB35</f>
        <v>Japan</v>
      </c>
      <c r="F49" s="63" t="n">
        <v>0</v>
      </c>
      <c r="G49" s="64" t="n">
        <v>2</v>
      </c>
      <c r="H49" s="65" t="str">
        <f aca="false">AB32</f>
        <v>Spain</v>
      </c>
      <c r="R49" s="41" t="n">
        <f aca="false">DATE(2022,12,1)+TIME(8,0,0)+gmt_delta</f>
        <v>44896.9166666667</v>
      </c>
      <c r="S49" s="42" t="str">
        <f aca="false">IF(OR(F49="",G49=""),"",IF(F49&gt;G49,E49&amp;"_win",IF(F49&lt;G49,E49&amp;"_lose",E49&amp;"_draw")))</f>
        <v>Japan_lose</v>
      </c>
      <c r="T49" s="42" t="str">
        <f aca="false">IF(S49="","",IF(F49&lt;G49,H49&amp;"_win",IF(F49&gt;G49,H49&amp;"_lose",H49&amp;"_draw")))</f>
        <v>Spain_win</v>
      </c>
      <c r="U49" s="43" t="n">
        <f aca="false">IF(S49="",0,IF(VLOOKUP(E49,$AB$8:$AK$53,7,FALSE())=VLOOKUP(H49,$AB$8:$AK$53,7,FALSE()),1,0))</f>
        <v>0</v>
      </c>
      <c r="V49" s="41" t="n">
        <f aca="false">U49*F49</f>
        <v>0</v>
      </c>
      <c r="W49" s="41" t="n">
        <f aca="false">U49*G49</f>
        <v>0</v>
      </c>
      <c r="X49" s="41" t="n">
        <f aca="false">IF(OR(E49=my_team,H49=my_team),1,0)</f>
        <v>0</v>
      </c>
      <c r="Y49" s="41" t="n">
        <f aca="false">IF(OR(F49="",G49=""),"",IF(F49&gt;G49,1,IF(F49&lt;G49,-1,0)))</f>
        <v>-1</v>
      </c>
      <c r="AH49" s="41" t="n">
        <f aca="false">MIN(AH44:AH47)</f>
        <v>9702</v>
      </c>
      <c r="AI49" s="41" t="n">
        <f aca="false">MIN(AI44:AI47)</f>
        <v>-3</v>
      </c>
      <c r="AY49" s="100"/>
      <c r="AZ49" s="100"/>
      <c r="BA49" s="100"/>
      <c r="BB49" s="100"/>
      <c r="BC49" s="100"/>
    </row>
    <row r="50" customFormat="false" ht="15" hidden="false" customHeight="true" outlineLevel="0" collapsed="false">
      <c r="A50" s="58" t="n">
        <v>44</v>
      </c>
      <c r="B50" s="59" t="str">
        <f aca="false">INDEX(T,18+INT(MOD(R50-1,7)),lang)</f>
        <v>Thu</v>
      </c>
      <c r="C50" s="60" t="str">
        <f aca="false">INDEX(T,24+MONTH(R50),lang) &amp; " " &amp; DAY(R50) &amp; ", " &amp; YEAR(R50)</f>
        <v>Dec 1, 2022</v>
      </c>
      <c r="D50" s="61" t="n">
        <f aca="false">TIME(HOUR(R50),MINUTE(R50),0)</f>
        <v>0.916666666666667</v>
      </c>
      <c r="E50" s="62" t="str">
        <f aca="false">AB33</f>
        <v>Costa Rica</v>
      </c>
      <c r="F50" s="63" t="n">
        <v>1</v>
      </c>
      <c r="G50" s="64" t="n">
        <v>3</v>
      </c>
      <c r="H50" s="65" t="str">
        <f aca="false">AB34</f>
        <v>Germany</v>
      </c>
      <c r="J50" s="66" t="str">
        <f aca="false">INDEX(T,9,lang) &amp; " " &amp; "H"</f>
        <v>Group H</v>
      </c>
      <c r="K50" s="67" t="str">
        <f aca="false">INDEX(T,10,lang)</f>
        <v>PL</v>
      </c>
      <c r="L50" s="67" t="str">
        <f aca="false">INDEX(T,11,lang)</f>
        <v>W</v>
      </c>
      <c r="M50" s="67" t="str">
        <f aca="false">INDEX(T,12,lang)</f>
        <v>DRAW</v>
      </c>
      <c r="N50" s="67" t="str">
        <f aca="false">INDEX(T,13,lang)</f>
        <v>L</v>
      </c>
      <c r="O50" s="67" t="str">
        <f aca="false">INDEX(T,14,lang)</f>
        <v>GF - GA</v>
      </c>
      <c r="P50" s="68" t="str">
        <f aca="false">INDEX(T,15,lang)</f>
        <v>PNT</v>
      </c>
      <c r="R50" s="41" t="n">
        <f aca="false">DATE(2022,12,1)+TIME(8,0,0)+gmt_delta</f>
        <v>44896.9166666667</v>
      </c>
      <c r="S50" s="42" t="str">
        <f aca="false">IF(OR(F50="",G50=""),"",IF(F50&gt;G50,E50&amp;"_win",IF(F50&lt;G50,E50&amp;"_lose",E50&amp;"_draw")))</f>
        <v>Costa Rica_lose</v>
      </c>
      <c r="T50" s="42" t="str">
        <f aca="false">IF(S50="","",IF(F50&lt;G50,H50&amp;"_win",IF(F50&gt;G50,H50&amp;"_lose",H50&amp;"_draw")))</f>
        <v>Germany_win</v>
      </c>
      <c r="U50" s="43" t="n">
        <f aca="false">IF(S50="",0,IF(VLOOKUP(E50,$AB$8:$AK$53,7,FALSE())=VLOOKUP(H50,$AB$8:$AK$53,7,FALSE()),1,0))</f>
        <v>0</v>
      </c>
      <c r="V50" s="41" t="n">
        <f aca="false">U50*F50</f>
        <v>0</v>
      </c>
      <c r="W50" s="41" t="n">
        <f aca="false">U50*G50</f>
        <v>0</v>
      </c>
      <c r="X50" s="41" t="n">
        <f aca="false">IF(OR(E50=my_team,H50=my_team),1,0)</f>
        <v>0</v>
      </c>
      <c r="Y50" s="41" t="n">
        <f aca="false">IF(OR(F50="",G50=""),"",IF(F50&gt;G50,1,IF(F50&lt;G50,-1,0)))</f>
        <v>-1</v>
      </c>
      <c r="AA50" s="41" t="n">
        <f aca="false">COUNTIF(AN50:AN53,CONCATENATE("&gt;=",AN50))</f>
        <v>2</v>
      </c>
      <c r="AB50" s="43" t="str">
        <f aca="false">VLOOKUP("Portugal",T,lang,FALSE())</f>
        <v>Portugal</v>
      </c>
      <c r="AC50" s="41" t="n">
        <f aca="false">COUNTIF($S$7:$T$54,"=" &amp; AB50 &amp; "_win")</f>
        <v>2</v>
      </c>
      <c r="AD50" s="41" t="n">
        <f aca="false">COUNTIF($S$7:$T$54,"=" &amp; AB50 &amp; "_draw")</f>
        <v>1</v>
      </c>
      <c r="AE50" s="41" t="n">
        <f aca="false">COUNTIF($S$7:$T$54,"=" &amp; AB50 &amp; "_lose")</f>
        <v>0</v>
      </c>
      <c r="AF50" s="41" t="n">
        <f aca="false">SUMIF($E$7:$E$54,$AB50,$F$7:$F$54) + SUMIF($H$7:$H$54,$AB50,$G$7:$G$54)</f>
        <v>4</v>
      </c>
      <c r="AG50" s="41" t="n">
        <f aca="false">SUMIF($E$7:$E$54,$AB50,$G$7:$G$54) + SUMIF($H$7:$H$54,$AB50,$F$7:$F$54)</f>
        <v>2</v>
      </c>
      <c r="AH50" s="41" t="n">
        <f aca="false">(AF50-AG50)*100+AK50*10000+AF50</f>
        <v>70204</v>
      </c>
      <c r="AI50" s="41" t="n">
        <f aca="false">AF50-AG50</f>
        <v>2</v>
      </c>
      <c r="AJ50" s="41" t="n">
        <f aca="false">(AI50-AI55)/AI54</f>
        <v>0.833333333333333</v>
      </c>
      <c r="AK50" s="41" t="n">
        <f aca="false">AC50*3+AD50</f>
        <v>7</v>
      </c>
      <c r="AL50" s="41" t="n">
        <f aca="false">AP50/AP54*1000+AQ50/AQ54*100+AT50/AT54*10+AR50/AR54</f>
        <v>0</v>
      </c>
      <c r="AM50" s="41" t="n">
        <f aca="false">VLOOKUP(AB50,db_fifarank,2,FALSE())/2000000</f>
        <v>0.00083739</v>
      </c>
      <c r="AN50" s="43" t="n">
        <f aca="false">1000*AK50/AK54+100*AJ50+10*AF50/AF54+1*AL50/AL54+AM50</f>
        <v>966.334170723333</v>
      </c>
      <c r="AO50" s="43" t="str">
        <f aca="false">IF(SUM(AC50:AE53)=12,J51,INDEX(T,84,lang))</f>
        <v>Uruguay</v>
      </c>
      <c r="AP50" s="41" t="n">
        <f aca="false">SUMPRODUCT(($S$7:$S$54=AB50&amp;"_win")*($U$7:$U$54))+SUMPRODUCT(($T$7:$T$54=AB50&amp;"_win")*($U$7:$U$54))</f>
        <v>0</v>
      </c>
      <c r="AQ50" s="41" t="n">
        <f aca="false">SUMPRODUCT(($S$7:$S$54=AB50&amp;"_draw")*($U$7:$U$54))+SUMPRODUCT(($T$7:$T$54=AB50&amp;"_draw")*($U$7:$U$54))</f>
        <v>0</v>
      </c>
      <c r="AR50" s="41" t="n">
        <f aca="false">SUMPRODUCT(($E$7:$E$54=AB50)*($U$7:$U$54)*($F$7:$F$54))+SUMPRODUCT(($H$7:$H$54=AB50)*($U$7:$U$54)*($G$7:$G$54))</f>
        <v>0</v>
      </c>
      <c r="AS50" s="41" t="n">
        <f aca="false">SUMPRODUCT(($E$7:$E$54=AB50)*($U$7:$U$54)*($G$7:$G$54))+SUMPRODUCT(($H$7:$H$54=AB50)*($U$7:$U$54)*($F$7:$F$54))</f>
        <v>0</v>
      </c>
      <c r="AT50" s="41" t="n">
        <f aca="false">AR50-AS50</f>
        <v>0</v>
      </c>
      <c r="AY50" s="100"/>
      <c r="AZ50" s="100"/>
      <c r="BA50" s="100"/>
      <c r="BB50" s="100"/>
      <c r="BC50" s="100"/>
    </row>
    <row r="51" customFormat="false" ht="15" hidden="false" customHeight="true" outlineLevel="0" collapsed="false">
      <c r="A51" s="58" t="n">
        <v>45</v>
      </c>
      <c r="B51" s="59" t="str">
        <f aca="false">INDEX(T,18+INT(MOD(R51-1,7)),lang)</f>
        <v>Fri</v>
      </c>
      <c r="C51" s="60" t="str">
        <f aca="false">INDEX(T,24+MONTH(R51),lang) &amp; " " &amp; DAY(R51) &amp; ", " &amp; YEAR(R51)</f>
        <v>Dec 2, 2022</v>
      </c>
      <c r="D51" s="61" t="n">
        <f aca="false">TIME(HOUR(R51),MINUTE(R51),0)</f>
        <v>0.75</v>
      </c>
      <c r="E51" s="62" t="str">
        <f aca="false">AB51</f>
        <v>Ghana</v>
      </c>
      <c r="F51" s="63" t="n">
        <v>1</v>
      </c>
      <c r="G51" s="64" t="n">
        <v>2</v>
      </c>
      <c r="H51" s="65" t="str">
        <f aca="false">AB52</f>
        <v>Uruguay</v>
      </c>
      <c r="J51" s="70" t="str">
        <f aca="false">VLOOKUP(1,AA50:AK53,2,FALSE())</f>
        <v>Uruguay</v>
      </c>
      <c r="K51" s="71" t="n">
        <f aca="false">L51+M51+N51</f>
        <v>3</v>
      </c>
      <c r="L51" s="71" t="n">
        <f aca="false">VLOOKUP(1,AA50:AK53,3,FALSE())</f>
        <v>2</v>
      </c>
      <c r="M51" s="71" t="n">
        <f aca="false">VLOOKUP(1,AA50:AK53,4,FALSE())</f>
        <v>1</v>
      </c>
      <c r="N51" s="71" t="n">
        <f aca="false">VLOOKUP(1,AA50:AK53,5,FALSE())</f>
        <v>0</v>
      </c>
      <c r="O51" s="71" t="str">
        <f aca="false">VLOOKUP(1,AA50:AK53,6,FALSE()) &amp; " - " &amp; VLOOKUP(1,AA50:AK53,7,FALSE())</f>
        <v>5 - 3</v>
      </c>
      <c r="P51" s="72" t="n">
        <f aca="false">L51*3+M51</f>
        <v>7</v>
      </c>
      <c r="R51" s="41" t="n">
        <f aca="false">DATE(2022,12,2)+TIME(4,0,0)+gmt_delta</f>
        <v>44897.75</v>
      </c>
      <c r="S51" s="42" t="str">
        <f aca="false">IF(OR(F51="",G51=""),"",IF(F51&gt;G51,E51&amp;"_win",IF(F51&lt;G51,E51&amp;"_lose",E51&amp;"_draw")))</f>
        <v>Ghana_lose</v>
      </c>
      <c r="T51" s="42" t="str">
        <f aca="false">IF(S51="","",IF(F51&lt;G51,H51&amp;"_win",IF(F51&gt;G51,H51&amp;"_lose",H51&amp;"_draw")))</f>
        <v>Uruguay_win</v>
      </c>
      <c r="U51" s="43" t="n">
        <f aca="false">IF(S51="",0,IF(VLOOKUP(E51,$AB$8:$AK$53,7,FALSE())=VLOOKUP(H51,$AB$8:$AK$53,7,FALSE()),1,0))</f>
        <v>0</v>
      </c>
      <c r="V51" s="41" t="n">
        <f aca="false">U51*F51</f>
        <v>0</v>
      </c>
      <c r="W51" s="41" t="n">
        <f aca="false">U51*G51</f>
        <v>0</v>
      </c>
      <c r="X51" s="41" t="n">
        <f aca="false">IF(OR(E51=my_team,H51=my_team),1,0)</f>
        <v>0</v>
      </c>
      <c r="Y51" s="41" t="n">
        <f aca="false">IF(OR(F51="",G51=""),"",IF(F51&gt;G51,1,IF(F51&lt;G51,-1,0)))</f>
        <v>-1</v>
      </c>
      <c r="AA51" s="41" t="n">
        <f aca="false">COUNTIF(AN50:AN53,CONCATENATE("&gt;=",AN51))</f>
        <v>4</v>
      </c>
      <c r="AB51" s="43" t="str">
        <f aca="false">VLOOKUP("Ghana",T,lang,FALSE())</f>
        <v>Ghana</v>
      </c>
      <c r="AC51" s="41" t="n">
        <f aca="false">COUNTIF($S$7:$T$54,"=" &amp; AB51 &amp; "_win")</f>
        <v>0</v>
      </c>
      <c r="AD51" s="41" t="n">
        <f aca="false">COUNTIF($S$7:$T$54,"=" &amp; AB51 &amp; "_draw")</f>
        <v>0</v>
      </c>
      <c r="AE51" s="41" t="n">
        <f aca="false">COUNTIF($S$7:$T$54,"=" &amp; AB51 &amp; "_lose")</f>
        <v>3</v>
      </c>
      <c r="AF51" s="41" t="n">
        <f aca="false">SUMIF($E$7:$E$54,$AB51,$F$7:$F$54) + SUMIF($H$7:$H$54,$AB51,$G$7:$G$54)</f>
        <v>1</v>
      </c>
      <c r="AG51" s="41" t="n">
        <f aca="false">SUMIF($E$7:$E$54,$AB51,$G$7:$G$54) + SUMIF($H$7:$H$54,$AB51,$F$7:$F$54)</f>
        <v>4</v>
      </c>
      <c r="AH51" s="41" t="n">
        <f aca="false">(AF51-AG51)*100+AK51*10000+AF51</f>
        <v>-299</v>
      </c>
      <c r="AI51" s="41" t="n">
        <f aca="false">AF51-AG51</f>
        <v>-3</v>
      </c>
      <c r="AJ51" s="41" t="n">
        <f aca="false">(AI51-AI55)/AI54</f>
        <v>0</v>
      </c>
      <c r="AK51" s="41" t="n">
        <f aca="false">AC51*3+AD51</f>
        <v>0</v>
      </c>
      <c r="AL51" s="41" t="n">
        <f aca="false">AP51/AP54*1000+AQ51/AQ54*100+AT51/AT54*10+AR51/AR54</f>
        <v>0</v>
      </c>
      <c r="AM51" s="41" t="n">
        <f aca="false">VLOOKUP(AB51,db_fifarank,2,FALSE())/2000000</f>
        <v>0.00069368</v>
      </c>
      <c r="AN51" s="43" t="n">
        <f aca="false">1000*AK51/AK54+100*AJ51+10*AF51/AF54+1*AL51/AL54+AM51</f>
        <v>2.00069368</v>
      </c>
      <c r="AO51" s="43" t="str">
        <f aca="false">IF(SUM(AC50:AE53)=12,J52,INDEX(T,85,lang))</f>
        <v>Portugal</v>
      </c>
      <c r="AP51" s="41" t="n">
        <f aca="false">SUMPRODUCT(($S$7:$S$54=AB51&amp;"_win")*($U$7:$U$54))+SUMPRODUCT(($T$7:$T$54=AB51&amp;"_win")*($U$7:$U$54))</f>
        <v>0</v>
      </c>
      <c r="AQ51" s="41" t="n">
        <f aca="false">SUMPRODUCT(($S$7:$S$54=AB51&amp;"_draw")*($U$7:$U$54))+SUMPRODUCT(($T$7:$T$54=AB51&amp;"_draw")*($U$7:$U$54))</f>
        <v>0</v>
      </c>
      <c r="AR51" s="41" t="n">
        <f aca="false">SUMPRODUCT(($E$7:$E$54=AB51)*($U$7:$U$54)*($F$7:$F$54))+SUMPRODUCT(($H$7:$H$54=AB51)*($U$7:$U$54)*($G$7:$G$54))</f>
        <v>0</v>
      </c>
      <c r="AS51" s="41" t="n">
        <f aca="false">SUMPRODUCT(($E$7:$E$54=AB51)*($U$7:$U$54)*($G$7:$G$54))+SUMPRODUCT(($H$7:$H$54=AB51)*($U$7:$U$54)*($F$7:$F$54))</f>
        <v>0</v>
      </c>
      <c r="AT51" s="41" t="n">
        <f aca="false">AR51-AS51</f>
        <v>0</v>
      </c>
      <c r="AY51" s="100"/>
      <c r="AZ51" s="100"/>
      <c r="BA51" s="100"/>
      <c r="BB51" s="100"/>
      <c r="BC51" s="100"/>
    </row>
    <row r="52" customFormat="false" ht="15" hidden="false" customHeight="true" outlineLevel="0" collapsed="false">
      <c r="A52" s="58" t="n">
        <v>46</v>
      </c>
      <c r="B52" s="59" t="str">
        <f aca="false">INDEX(T,18+INT(MOD(R52-1,7)),lang)</f>
        <v>Fri</v>
      </c>
      <c r="C52" s="60" t="str">
        <f aca="false">INDEX(T,24+MONTH(R52),lang) &amp; " " &amp; DAY(R52) &amp; ", " &amp; YEAR(R52)</f>
        <v>Dec 2, 2022</v>
      </c>
      <c r="D52" s="61" t="n">
        <f aca="false">TIME(HOUR(R52),MINUTE(R52),0)</f>
        <v>0.75</v>
      </c>
      <c r="E52" s="62" t="str">
        <f aca="false">AB53</f>
        <v>Korea Republic</v>
      </c>
      <c r="F52" s="63" t="n">
        <v>1</v>
      </c>
      <c r="G52" s="64" t="n">
        <v>2</v>
      </c>
      <c r="H52" s="65" t="str">
        <f aca="false">AB50</f>
        <v>Portugal</v>
      </c>
      <c r="J52" s="74" t="str">
        <f aca="false">VLOOKUP(2,AA50:AK53,2,FALSE())</f>
        <v>Portugal</v>
      </c>
      <c r="K52" s="75" t="n">
        <f aca="false">L52+M52+N52</f>
        <v>3</v>
      </c>
      <c r="L52" s="75" t="n">
        <f aca="false">VLOOKUP(2,AA50:AK53,3,FALSE())</f>
        <v>2</v>
      </c>
      <c r="M52" s="75" t="n">
        <f aca="false">VLOOKUP(2,AA50:AK53,4,FALSE())</f>
        <v>1</v>
      </c>
      <c r="N52" s="75" t="n">
        <f aca="false">VLOOKUP(2,AA50:AK53,5,FALSE())</f>
        <v>0</v>
      </c>
      <c r="O52" s="75" t="str">
        <f aca="false">VLOOKUP(2,AA50:AK53,6,FALSE()) &amp; " - " &amp; VLOOKUP(2,AA50:AK53,7,FALSE())</f>
        <v>4 - 2</v>
      </c>
      <c r="P52" s="76" t="n">
        <f aca="false">L52*3+M52</f>
        <v>7</v>
      </c>
      <c r="R52" s="41" t="n">
        <f aca="false">DATE(2022,12,2)+TIME(4,0,0)+gmt_delta</f>
        <v>44897.75</v>
      </c>
      <c r="S52" s="42" t="str">
        <f aca="false">IF(OR(F52="",G52=""),"",IF(F52&gt;G52,E52&amp;"_win",IF(F52&lt;G52,E52&amp;"_lose",E52&amp;"_draw")))</f>
        <v>Korea Republic_lose</v>
      </c>
      <c r="T52" s="42" t="str">
        <f aca="false">IF(S52="","",IF(F52&lt;G52,H52&amp;"_win",IF(F52&gt;G52,H52&amp;"_lose",H52&amp;"_draw")))</f>
        <v>Portugal_win</v>
      </c>
      <c r="U52" s="43" t="n">
        <f aca="false">IF(S52="",0,IF(VLOOKUP(E52,$AB$8:$AK$53,7,FALSE())=VLOOKUP(H52,$AB$8:$AK$53,7,FALSE()),1,0))</f>
        <v>0</v>
      </c>
      <c r="V52" s="41" t="n">
        <f aca="false">U52*F52</f>
        <v>0</v>
      </c>
      <c r="W52" s="41" t="n">
        <f aca="false">U52*G52</f>
        <v>0</v>
      </c>
      <c r="X52" s="41" t="n">
        <f aca="false">IF(OR(E52=my_team,H52=my_team),1,0)</f>
        <v>0</v>
      </c>
      <c r="Y52" s="41" t="n">
        <f aca="false">IF(OR(F52="",G52=""),"",IF(F52&gt;G52,1,IF(F52&lt;G52,-1,0)))</f>
        <v>-1</v>
      </c>
      <c r="AA52" s="41" t="n">
        <f aca="false">COUNTIF(AN50:AN53,CONCATENATE("&gt;=",AN52))</f>
        <v>1</v>
      </c>
      <c r="AB52" s="43" t="str">
        <f aca="false">VLOOKUP("Uruguay",T,lang,FALSE())</f>
        <v>Uruguay</v>
      </c>
      <c r="AC52" s="41" t="n">
        <f aca="false">COUNTIF($S$7:$T$54,"=" &amp; AB52 &amp; "_win")</f>
        <v>2</v>
      </c>
      <c r="AD52" s="41" t="n">
        <f aca="false">COUNTIF($S$7:$T$54,"=" &amp; AB52 &amp; "_draw")</f>
        <v>1</v>
      </c>
      <c r="AE52" s="41" t="n">
        <f aca="false">COUNTIF($S$7:$T$54,"=" &amp; AB52 &amp; "_lose")</f>
        <v>0</v>
      </c>
      <c r="AF52" s="41" t="n">
        <f aca="false">SUMIF($E$7:$E$54,$AB52,$F$7:$F$54) + SUMIF($H$7:$H$54,$AB52,$G$7:$G$54)</f>
        <v>5</v>
      </c>
      <c r="AG52" s="41" t="n">
        <f aca="false">SUMIF($E$7:$E$54,$AB52,$G$7:$G$54) + SUMIF($H$7:$H$54,$AB52,$F$7:$F$54)</f>
        <v>3</v>
      </c>
      <c r="AH52" s="41" t="n">
        <f aca="false">(AF52-AG52)*100+AK52*10000+AF52</f>
        <v>70205</v>
      </c>
      <c r="AI52" s="41" t="n">
        <f aca="false">AF52-AG52</f>
        <v>2</v>
      </c>
      <c r="AJ52" s="41" t="n">
        <f aca="false">(AI52-AI55)/AI54</f>
        <v>0.833333333333333</v>
      </c>
      <c r="AK52" s="41" t="n">
        <f aca="false">AC52*3+AD52</f>
        <v>7</v>
      </c>
      <c r="AL52" s="41" t="n">
        <f aca="false">AP52/AP54*1000+AQ52/AQ54*100+AT52/AT54*10+AR52/AR54</f>
        <v>0</v>
      </c>
      <c r="AM52" s="41" t="n">
        <f aca="false">VLOOKUP(AB52,db_fifarank,2,FALSE())/2000000</f>
        <v>0.000817865</v>
      </c>
      <c r="AN52" s="43" t="n">
        <f aca="false">1000*AK52/AK54+100*AJ52+10*AF52/AF54+1*AL52/AL54+AM52</f>
        <v>968.334151198333</v>
      </c>
      <c r="AP52" s="41" t="n">
        <f aca="false">SUMPRODUCT(($S$7:$S$54=AB52&amp;"_win")*($U$7:$U$54))+SUMPRODUCT(($T$7:$T$54=AB52&amp;"_win")*($U$7:$U$54))</f>
        <v>0</v>
      </c>
      <c r="AQ52" s="41" t="n">
        <f aca="false">SUMPRODUCT(($S$7:$S$54=AB52&amp;"_draw")*($U$7:$U$54))+SUMPRODUCT(($T$7:$T$54=AB52&amp;"_draw")*($U$7:$U$54))</f>
        <v>0</v>
      </c>
      <c r="AR52" s="41" t="n">
        <f aca="false">SUMPRODUCT(($E$7:$E$54=AB52)*($U$7:$U$54)*($F$7:$F$54))+SUMPRODUCT(($H$7:$H$54=AB52)*($U$7:$U$54)*($G$7:$G$54))</f>
        <v>0</v>
      </c>
      <c r="AS52" s="41" t="n">
        <f aca="false">SUMPRODUCT(($E$7:$E$54=AB52)*($U$7:$U$54)*($G$7:$G$54))+SUMPRODUCT(($H$7:$H$54=AB52)*($U$7:$U$54)*($F$7:$F$54))</f>
        <v>0</v>
      </c>
      <c r="AT52" s="41" t="n">
        <f aca="false">AR52-AS52</f>
        <v>0</v>
      </c>
      <c r="AY52" s="100"/>
      <c r="AZ52" s="100"/>
      <c r="BA52" s="100"/>
      <c r="BB52" s="100"/>
      <c r="BC52" s="100"/>
    </row>
    <row r="53" customFormat="false" ht="15" hidden="false" customHeight="true" outlineLevel="0" collapsed="false">
      <c r="A53" s="58" t="n">
        <v>47</v>
      </c>
      <c r="B53" s="59" t="str">
        <f aca="false">INDEX(T,18+INT(MOD(R53-1,7)),lang)</f>
        <v>Fri</v>
      </c>
      <c r="C53" s="60" t="str">
        <f aca="false">INDEX(T,24+MONTH(R53),lang) &amp; " " &amp; DAY(R53) &amp; ", " &amp; YEAR(R53)</f>
        <v>Dec 2, 2022</v>
      </c>
      <c r="D53" s="61" t="n">
        <f aca="false">TIME(HOUR(R53),MINUTE(R53),0)</f>
        <v>0.916666666666667</v>
      </c>
      <c r="E53" s="62" t="str">
        <f aca="false">AB45</f>
        <v>Serbia</v>
      </c>
      <c r="F53" s="63" t="n">
        <v>1</v>
      </c>
      <c r="G53" s="64" t="n">
        <v>2</v>
      </c>
      <c r="H53" s="65" t="str">
        <f aca="false">AB46</f>
        <v>Switzerland</v>
      </c>
      <c r="J53" s="74" t="str">
        <f aca="false">VLOOKUP(3,AA50:AK53,2,FALSE())</f>
        <v>Korea Republic</v>
      </c>
      <c r="K53" s="75" t="n">
        <f aca="false">L53+M53+N53</f>
        <v>3</v>
      </c>
      <c r="L53" s="75" t="n">
        <f aca="false">VLOOKUP(3,AA50:AK53,3,FALSE())</f>
        <v>1</v>
      </c>
      <c r="M53" s="75" t="n">
        <f aca="false">VLOOKUP(3,AA50:AK53,4,FALSE())</f>
        <v>0</v>
      </c>
      <c r="N53" s="75" t="n">
        <f aca="false">VLOOKUP(3,AA50:AK53,5,FALSE())</f>
        <v>2</v>
      </c>
      <c r="O53" s="75" t="str">
        <f aca="false">VLOOKUP(3,AA50:AK53,6,FALSE()) &amp; " - " &amp; VLOOKUP(3,AA50:AK53,7,FALSE())</f>
        <v>3 - 4</v>
      </c>
      <c r="P53" s="76" t="n">
        <f aca="false">L53*3+M53</f>
        <v>3</v>
      </c>
      <c r="R53" s="41" t="n">
        <f aca="false">DATE(2022,12,2)+TIME(8,0,0)+gmt_delta</f>
        <v>44897.9166666667</v>
      </c>
      <c r="S53" s="42" t="str">
        <f aca="false">IF(OR(F53="",G53=""),"",IF(F53&gt;G53,E53&amp;"_win",IF(F53&lt;G53,E53&amp;"_lose",E53&amp;"_draw")))</f>
        <v>Serbia_lose</v>
      </c>
      <c r="T53" s="42" t="str">
        <f aca="false">IF(S53="","",IF(F53&lt;G53,H53&amp;"_win",IF(F53&gt;G53,H53&amp;"_lose",H53&amp;"_draw")))</f>
        <v>Switzerland_win</v>
      </c>
      <c r="U53" s="43" t="n">
        <f aca="false">IF(S53="",0,IF(VLOOKUP(E53,$AB$8:$AK$53,7,FALSE())=VLOOKUP(H53,$AB$8:$AK$53,7,FALSE()),1,0))</f>
        <v>0</v>
      </c>
      <c r="V53" s="41" t="n">
        <f aca="false">U53*F53</f>
        <v>0</v>
      </c>
      <c r="W53" s="41" t="n">
        <f aca="false">U53*G53</f>
        <v>0</v>
      </c>
      <c r="X53" s="41" t="n">
        <f aca="false">IF(OR(E53=my_team,H53=my_team),1,0)</f>
        <v>0</v>
      </c>
      <c r="Y53" s="41" t="n">
        <f aca="false">IF(OR(F53="",G53=""),"",IF(F53&gt;G53,1,IF(F53&lt;G53,-1,0)))</f>
        <v>-1</v>
      </c>
      <c r="AA53" s="41" t="n">
        <f aca="false">COUNTIF(AN50:AN53,CONCATENATE("&gt;=",AN53))</f>
        <v>3</v>
      </c>
      <c r="AB53" s="43" t="str">
        <f aca="false">VLOOKUP("Korea Republic",T,lang,FALSE())</f>
        <v>Korea Republic</v>
      </c>
      <c r="AC53" s="41" t="n">
        <f aca="false">COUNTIF($S$7:$T$54,"=" &amp; AB53 &amp; "_win")</f>
        <v>1</v>
      </c>
      <c r="AD53" s="41" t="n">
        <f aca="false">COUNTIF($S$7:$T$54,"=" &amp; AB53 &amp; "_draw")</f>
        <v>0</v>
      </c>
      <c r="AE53" s="41" t="n">
        <f aca="false">COUNTIF($S$7:$T$54,"=" &amp; AB53 &amp; "_lose")</f>
        <v>2</v>
      </c>
      <c r="AF53" s="41" t="n">
        <f aca="false">SUMIF($E$7:$E$54,$AB53,$F$7:$F$54) + SUMIF($H$7:$H$54,$AB53,$G$7:$G$54)</f>
        <v>3</v>
      </c>
      <c r="AG53" s="41" t="n">
        <f aca="false">SUMIF($E$7:$E$54,$AB53,$G$7:$G$54) + SUMIF($H$7:$H$54,$AB53,$F$7:$F$54)</f>
        <v>4</v>
      </c>
      <c r="AH53" s="41" t="n">
        <f aca="false">(AF53-AG53)*100+AK53*10000+AF53</f>
        <v>29903</v>
      </c>
      <c r="AI53" s="41" t="n">
        <f aca="false">AF53-AG53</f>
        <v>-1</v>
      </c>
      <c r="AJ53" s="41" t="n">
        <f aca="false">(AI53-AI55)/AI54</f>
        <v>0.333333333333333</v>
      </c>
      <c r="AK53" s="41" t="n">
        <f aca="false">AC53*3+AD53</f>
        <v>3</v>
      </c>
      <c r="AL53" s="41" t="n">
        <f aca="false">AP53/AP54*1000+AQ53/AQ54*100+AT53/AT54*10+AR53/AR54</f>
        <v>0</v>
      </c>
      <c r="AM53" s="41" t="n">
        <f aca="false">VLOOKUP(AB53,db_fifarank,2,FALSE())/2000000</f>
        <v>0.00075977</v>
      </c>
      <c r="AN53" s="43" t="n">
        <f aca="false">1000*AK53/AK54+100*AJ53+10*AF53/AF54+1*AL53/AL54+AM53</f>
        <v>414.334093103333</v>
      </c>
      <c r="AP53" s="41" t="n">
        <f aca="false">SUMPRODUCT(($S$7:$S$54=AB53&amp;"_win")*($U$7:$U$54))+SUMPRODUCT(($T$7:$T$54=AB53&amp;"_win")*($U$7:$U$54))</f>
        <v>0</v>
      </c>
      <c r="AQ53" s="41" t="n">
        <f aca="false">SUMPRODUCT(($S$7:$S$54=AB53&amp;"_draw")*($U$7:$U$54))+SUMPRODUCT(($T$7:$T$54=AB53&amp;"_draw")*($U$7:$U$54))</f>
        <v>0</v>
      </c>
      <c r="AR53" s="41" t="n">
        <f aca="false">SUMPRODUCT(($E$7:$E$54=AB53)*($U$7:$U$54)*($F$7:$F$54))+SUMPRODUCT(($H$7:$H$54=AB53)*($U$7:$U$54)*($G$7:$G$54))</f>
        <v>0</v>
      </c>
      <c r="AS53" s="41" t="n">
        <f aca="false">SUMPRODUCT(($E$7:$E$54=AB53)*($U$7:$U$54)*($G$7:$G$54))+SUMPRODUCT(($H$7:$H$54=AB53)*($U$7:$U$54)*($F$7:$F$54))</f>
        <v>0</v>
      </c>
      <c r="AT53" s="41" t="n">
        <f aca="false">AR53-AS53</f>
        <v>0</v>
      </c>
      <c r="AY53" s="100"/>
      <c r="AZ53" s="100"/>
      <c r="BA53" s="100"/>
      <c r="BB53" s="100"/>
      <c r="BC53" s="100"/>
    </row>
    <row r="54" customFormat="false" ht="15" hidden="false" customHeight="true" outlineLevel="0" collapsed="false">
      <c r="A54" s="103" t="n">
        <v>48</v>
      </c>
      <c r="B54" s="104" t="str">
        <f aca="false">INDEX(T,18+INT(MOD(R54-1,7)),lang)</f>
        <v>Fri</v>
      </c>
      <c r="C54" s="105" t="str">
        <f aca="false">INDEX(T,24+MONTH(R54),lang) &amp; " " &amp; DAY(R54) &amp; ", " &amp; YEAR(R54)</f>
        <v>Dec 2, 2022</v>
      </c>
      <c r="D54" s="106" t="n">
        <f aca="false">TIME(HOUR(R54),MINUTE(R54),0)</f>
        <v>0.916666666666667</v>
      </c>
      <c r="E54" s="107" t="str">
        <f aca="false">AB47</f>
        <v>Cameroon</v>
      </c>
      <c r="F54" s="108" t="n">
        <v>1</v>
      </c>
      <c r="G54" s="85" t="n">
        <v>2</v>
      </c>
      <c r="H54" s="109" t="str">
        <f aca="false">AB44</f>
        <v>Brazil</v>
      </c>
      <c r="J54" s="88" t="str">
        <f aca="false">VLOOKUP(4,AA50:AK53,2,FALSE())</f>
        <v>Ghana</v>
      </c>
      <c r="K54" s="89" t="n">
        <f aca="false">L54+M54+N54</f>
        <v>3</v>
      </c>
      <c r="L54" s="89" t="n">
        <f aca="false">VLOOKUP(4,AA50:AK53,3,FALSE())</f>
        <v>0</v>
      </c>
      <c r="M54" s="89" t="n">
        <f aca="false">VLOOKUP(4,AA50:AK53,4,FALSE())</f>
        <v>0</v>
      </c>
      <c r="N54" s="89" t="n">
        <f aca="false">VLOOKUP(4,AA50:AK53,5,FALSE())</f>
        <v>3</v>
      </c>
      <c r="O54" s="89" t="str">
        <f aca="false">VLOOKUP(4,AA50:AK53,6,FALSE()) &amp; " - " &amp; VLOOKUP(4,AA50:AK53,7,FALSE())</f>
        <v>1 - 4</v>
      </c>
      <c r="P54" s="90" t="n">
        <f aca="false">L54*3+M54</f>
        <v>0</v>
      </c>
      <c r="R54" s="41" t="n">
        <f aca="false">DATE(2022,12,2)+TIME(8,0,0)+gmt_delta</f>
        <v>44897.9166666667</v>
      </c>
      <c r="S54" s="42" t="str">
        <f aca="false">IF(OR(F54="",G54=""),"",IF(F54&gt;G54,E54&amp;"_win",IF(F54&lt;G54,E54&amp;"_lose",E54&amp;"_draw")))</f>
        <v>Cameroon_lose</v>
      </c>
      <c r="T54" s="42" t="str">
        <f aca="false">IF(S54="","",IF(F54&lt;G54,H54&amp;"_win",IF(F54&gt;G54,H54&amp;"_lose",H54&amp;"_draw")))</f>
        <v>Brazil_win</v>
      </c>
      <c r="U54" s="43" t="n">
        <f aca="false">IF(S54="",0,IF(VLOOKUP(E54,$AB$8:$AK$53,7,FALSE())=VLOOKUP(H54,$AB$8:$AK$53,7,FALSE()),1,0))</f>
        <v>0</v>
      </c>
      <c r="V54" s="41" t="n">
        <f aca="false">U54*F54</f>
        <v>0</v>
      </c>
      <c r="W54" s="41" t="n">
        <f aca="false">U54*G54</f>
        <v>0</v>
      </c>
      <c r="X54" s="41" t="n">
        <f aca="false">IF(OR(E54=my_team,H54=my_team),1,0)</f>
        <v>0</v>
      </c>
      <c r="Y54" s="41" t="n">
        <f aca="false">IF(OR(F54="",G54=""),"",IF(F54&gt;G54,1,IF(F54&lt;G54,-1,0)))</f>
        <v>-1</v>
      </c>
      <c r="AC54" s="41" t="n">
        <f aca="false">MAX(AC50:AC53)-MIN(AC50:AC53)+1</f>
        <v>3</v>
      </c>
      <c r="AD54" s="41" t="n">
        <f aca="false">MAX(AD50:AD53)-MIN(AD50:AD53)+1</f>
        <v>2</v>
      </c>
      <c r="AE54" s="41" t="n">
        <f aca="false">MAX(AE50:AE53)-MIN(AE50:AE53)+1</f>
        <v>4</v>
      </c>
      <c r="AF54" s="41" t="n">
        <f aca="false">MAX(AF50:AF53)-MIN(AF50:AF53)+1</f>
        <v>5</v>
      </c>
      <c r="AG54" s="41" t="n">
        <f aca="false">MAX(AG50:AG53)-MIN(AG50:AG53)+1</f>
        <v>3</v>
      </c>
      <c r="AH54" s="41" t="n">
        <f aca="false">MAX(AH50:AH53)-AH55+1</f>
        <v>70505</v>
      </c>
      <c r="AI54" s="41" t="n">
        <f aca="false">MAX(AI50:AI53)-AI55+1</f>
        <v>6</v>
      </c>
      <c r="AK54" s="41" t="n">
        <f aca="false">MAX(AK50:AK53)-MIN(AK50:AK53)+1</f>
        <v>8</v>
      </c>
      <c r="AL54" s="41" t="n">
        <f aca="false">MAX(AL50:AL53)-MIN(AL50:AL53)+1</f>
        <v>1</v>
      </c>
      <c r="AP54" s="41" t="n">
        <f aca="false">MAX(AP50:AP53)-MIN(AP50:AP53)+1</f>
        <v>1</v>
      </c>
      <c r="AQ54" s="41" t="n">
        <f aca="false">MAX(AQ50:AQ53)-MIN(AQ50:AQ53)+1</f>
        <v>1</v>
      </c>
      <c r="AR54" s="41" t="n">
        <f aca="false">MAX(AR50:AR53)-MIN(AR50:AR53)+1</f>
        <v>1</v>
      </c>
      <c r="AS54" s="41" t="n">
        <f aca="false">MAX(AS50:AS53)-MIN(AS50:AS53)+1</f>
        <v>1</v>
      </c>
      <c r="AT54" s="41" t="n">
        <f aca="false">MAX(AT50:AT53)-MIN(AT50:AT53)+1</f>
        <v>1</v>
      </c>
      <c r="AY54" s="100"/>
      <c r="AZ54" s="100"/>
      <c r="BA54" s="100"/>
      <c r="BB54" s="100"/>
      <c r="BC54" s="100"/>
    </row>
    <row r="55" customFormat="false" ht="14.25" hidden="false" customHeight="false" outlineLevel="0" collapsed="false">
      <c r="A55" s="39"/>
      <c r="B55" s="110"/>
      <c r="C55" s="39"/>
      <c r="D55" s="111"/>
      <c r="E55" s="112"/>
      <c r="F55" s="113"/>
      <c r="G55" s="113"/>
      <c r="H55" s="114"/>
      <c r="AH55" s="41" t="n">
        <f aca="false">MIN(AH50:AH53)</f>
        <v>-299</v>
      </c>
      <c r="AI55" s="41" t="n">
        <f aca="false">MIN(AI50:AI53)</f>
        <v>-3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4.25" hidden="false" customHeight="false" outlineLevel="0" collapsed="false">
      <c r="R58" s="41" t="n">
        <f aca="false">DATE(2022,12,3)+TIME(4,0,0)+gmt_delta</f>
        <v>44898.75</v>
      </c>
      <c r="S58" s="42" t="str">
        <f aca="false"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42" t="str">
        <f aca="false">IF(OR(S58="",S58="draw"),INDEX(T,86,lang),S58)</f>
        <v>Netherlands</v>
      </c>
    </row>
    <row r="59" customFormat="false" ht="12.75" hidden="false" customHeight="true" outlineLevel="0" collapsed="false">
      <c r="R59" s="41" t="n">
        <f aca="false">DATE(2022,12,3)+TIME(8,0,0)+gmt_delta</f>
        <v>44898.9166666667</v>
      </c>
      <c r="S59" s="42" t="str">
        <f aca="false"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42" t="str">
        <f aca="false">IF(OR(S59="",S59="draw"),INDEX(T,87,lang),S59)</f>
        <v>Argentina</v>
      </c>
    </row>
    <row r="60" customFormat="false" ht="12.75" hidden="false" customHeight="true" outlineLevel="0" collapsed="false">
      <c r="R60" s="41" t="n">
        <f aca="false">DATE(2022,12,4)+TIME(8,0,0)+gmt_delta</f>
        <v>44899.9166666667</v>
      </c>
      <c r="S60" s="42" t="str">
        <f aca="false"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42" t="str">
        <f aca="false">IF(OR(S60="",S60="draw"),INDEX(T,88,lang),S60)</f>
        <v>England</v>
      </c>
    </row>
    <row r="61" customFormat="false" ht="12.75" hidden="false" customHeight="true" outlineLevel="0" collapsed="false">
      <c r="R61" s="41" t="n">
        <f aca="false">DATE(2022,12,4)+TIME(4,0,0)+gmt_delta</f>
        <v>44899.75</v>
      </c>
      <c r="S61" s="42" t="str">
        <f aca="false">IF(OR(BA30="",BA31=""),"",IF(BA30&gt;BA31,AZ30,IF(BA30&lt;BA31,AZ31,IF(OR(BB30="",BB31=""),"draw",IF(BB30&gt;BB31,AZ30,IF(BB30&lt;BB31,AZ31,IF(OR(BC30="",BC31=""),"draw",IF(BC30&gt;BC31,AZ30,IF(BC30&lt;BC31,AZ31,"draw")))))))))</f>
        <v>Denmark</v>
      </c>
      <c r="T61" s="42" t="str">
        <f aca="false">IF(OR(S61="",S61="draw"),INDEX(T,89,lang),S61)</f>
        <v>Denmark</v>
      </c>
    </row>
    <row r="62" customFormat="false" ht="12.75" hidden="false" customHeight="true" outlineLevel="0" collapsed="false">
      <c r="R62" s="41" t="n">
        <f aca="false">DATE(2022,12,5)+TIME(4,0,0)+gmt_delta</f>
        <v>44900.75</v>
      </c>
      <c r="S62" s="42" t="str">
        <f aca="false"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42" t="str">
        <f aca="false">IF(OR(S62="",S62="draw"),INDEX(T,90,lang),S62)</f>
        <v>Germany</v>
      </c>
    </row>
    <row r="63" customFormat="false" ht="12.75" hidden="false" customHeight="true" outlineLevel="0" collapsed="false">
      <c r="R63" s="41" t="n">
        <f aca="false">DATE(2022,12,5)+TIME(8,0,0)+gmt_delta</f>
        <v>44900.9166666667</v>
      </c>
      <c r="S63" s="42" t="str">
        <f aca="false"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42" t="str">
        <f aca="false">IF(OR(S63="",S63="draw"),INDEX(T,91,lang),S63)</f>
        <v>Brazil</v>
      </c>
    </row>
    <row r="64" customFormat="false" ht="12.75" hidden="false" customHeight="true" outlineLevel="0" collapsed="false">
      <c r="R64" s="41" t="n">
        <f aca="false">DATE(2022,12,6)+TIME(4,0,0)+gmt_delta</f>
        <v>44901.75</v>
      </c>
      <c r="S64" s="42" t="str">
        <f aca="false"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42" t="str">
        <f aca="false">IF(OR(S64="",S64="draw"),INDEX(T,92,lang),S64)</f>
        <v>Belgium</v>
      </c>
    </row>
    <row r="65" customFormat="false" ht="12.75" hidden="false" customHeight="true" outlineLevel="0" collapsed="false">
      <c r="R65" s="41" t="n">
        <f aca="false">DATE(2022,12,6)+TIME(8,0,0)+gmt_delta</f>
        <v>44901.9166666667</v>
      </c>
      <c r="S65" s="42" t="str">
        <f aca="false">IF(OR(BA38="",BA39=""),"",IF(BA38&gt;BA39,AZ38,IF(BA38&lt;BA39,AZ39,IF(OR(BB38="",BB39=""),"draw",IF(BB38&gt;BB39,AZ38,IF(BB38&lt;BB39,AZ39,IF(OR(BC38="",BC39=""),"draw",IF(BC38&gt;BC39,AZ38,IF(BC38&lt;BC39,AZ39,"draw")))))))))</f>
        <v>Uruguay</v>
      </c>
      <c r="T65" s="42" t="str">
        <f aca="false">IF(OR(S65="",S65="draw"),INDEX(T,93,lang),S65)</f>
        <v>Uruguay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1" t="n">
        <f aca="false">DATE(2022,12,9)+TIME(8,0,0)+gmt_delta</f>
        <v>44904.9166666667</v>
      </c>
      <c r="S69" s="42" t="str">
        <f aca="false"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42" t="str">
        <f aca="false">IF(OR(S69="",S69="draw"),INDEX(T,94,lang),S69)</f>
        <v>Argentina</v>
      </c>
    </row>
    <row r="70" customFormat="false" ht="12.75" hidden="false" customHeight="true" outlineLevel="0" collapsed="false">
      <c r="R70" s="41" t="n">
        <f aca="false">DATE(2022,12,9)+TIME(4,0,0)+gmt_delta</f>
        <v>44904.75</v>
      </c>
      <c r="S70" s="42" t="str">
        <f aca="false"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42" t="str">
        <f aca="false">IF(OR(S70="",S70="draw"),INDEX(T,95,lang),S70)</f>
        <v>Brazil</v>
      </c>
    </row>
    <row r="71" customFormat="false" ht="12.75" hidden="false" customHeight="true" outlineLevel="0" collapsed="false">
      <c r="R71" s="41" t="n">
        <f aca="false">DATE(2022,12,10)+TIME(8,0,0)+gmt_delta</f>
        <v>44905.9166666667</v>
      </c>
      <c r="S71" s="42" t="str">
        <f aca="false">IF(OR(BH28="",BH29=""),"",IF(BH28&gt;BH29,BG28,IF(BH28&lt;BH29,BG29,IF(OR(BI28="",BI29=""),"draw",IF(BI28&gt;BI29,BG28,IF(BI28&lt;BI29,BG29,IF(OR(BJ28="",BJ29=""),"draw",IF(BJ28&gt;BJ29,BG28,IF(BJ28&lt;BJ29,BG29,"draw")))))))))</f>
        <v>Denmark</v>
      </c>
      <c r="T71" s="42" t="str">
        <f aca="false">IF(OR(S71="",S71="draw"),INDEX(T,96,lang),S71)</f>
        <v>Denmark</v>
      </c>
    </row>
    <row r="72" customFormat="false" ht="12.75" hidden="false" customHeight="true" outlineLevel="0" collapsed="false">
      <c r="R72" s="41" t="n">
        <f aca="false">DATE(2022,12,10)+TIME(4,0,0)+gmt_delta</f>
        <v>44905.75</v>
      </c>
      <c r="S72" s="42" t="str">
        <f aca="false">IF(OR(BH36="",BH37=""),"",IF(BH36&gt;BH37,BG36,IF(BH36&lt;BH37,BG37,IF(OR(BI36="",BI37=""),"draw",IF(BI36&gt;BI37,BG36,IF(BI36&lt;BI37,BG37,IF(OR(BJ36="",BJ37=""),"draw",IF(BJ36&gt;BJ37,BG36,IF(BJ36&lt;BJ37,BG37,"draw")))))))))</f>
        <v>Belgium</v>
      </c>
      <c r="T72" s="42" t="str">
        <f aca="false">IF(OR(S72="",S72="draw"),INDEX(T,97,lang),S72)</f>
        <v>Belgium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1" t="n">
        <f aca="false">DATE(2022,12,13)+TIME(8,0,0)+gmt_delta</f>
        <v>44908.9166666667</v>
      </c>
      <c r="S76" s="42" t="str">
        <f aca="false"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42" t="str">
        <f aca="false">IF(OR(S76="",S76="draw"),INDEX(T,98,lang),S76)</f>
        <v>Argentina</v>
      </c>
      <c r="U76" s="42" t="str">
        <f aca="false"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42" t="str">
        <f aca="false">IF(OR(U76="",U76="draw"),INDEX(T,100,lang),U76)</f>
        <v>Brazil</v>
      </c>
    </row>
    <row r="77" customFormat="false" ht="12.75" hidden="false" customHeight="true" outlineLevel="0" collapsed="false">
      <c r="R77" s="41" t="n">
        <f aca="false">DATE(2022,12,14)+TIME(8,0,0)+gmt_delta</f>
        <v>44909.9166666667</v>
      </c>
      <c r="S77" s="42" t="str">
        <f aca="false">IF(OR(BO32="",BO33=""),"",IF(BO32&gt;BO33,BN32,IF(BO32&lt;BO33,BN33,IF(OR(BP32="",BP33=""),"draw",IF(BP32&gt;BP33,BN32,IF(BP32&lt;BP33,BN33,IF(OR(BQ32="",BQ33=""),"draw",IF(BQ32&gt;BQ33,BN32,IF(BQ32&lt;BQ33,BN33,"draw")))))))))</f>
        <v>Belgium</v>
      </c>
      <c r="T77" s="42" t="str">
        <f aca="false">IF(OR(S77="",S77="draw"),INDEX(T,99,lang),S77)</f>
        <v>Belgium</v>
      </c>
      <c r="U77" s="42" t="str">
        <f aca="false">IF(OR(BO32="",BO33=""),"",IF(BO32&lt;BO33,BN32,IF(BO32&gt;BO33,BN33,IF(OR(BP32="",BP33=""),"draw",IF(BP32&lt;BP33,BN32,IF(BP32&gt;BP33,BN33,IF(OR(BQ32="",BQ33=""),"draw",IF(BQ32&lt;BQ33,BN32,IF(BQ32&gt;BQ33,BN33,"draw")))))))))</f>
        <v>Denmark</v>
      </c>
      <c r="Z77" s="42" t="str">
        <f aca="false">IF(OR(U77="",U77="draw"),INDEX(T,101,lang),U77)</f>
        <v>Denmark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4.25" hidden="false" customHeight="false" outlineLevel="0" collapsed="false">
      <c r="R81" s="41" t="n">
        <f aca="false">DATE(2022,12,17)+TIME(8,0,0)+gmt_delta</f>
        <v>44912.9166666667</v>
      </c>
      <c r="T81" s="42" t="str">
        <f aca="false">IF(OR(BV35="",BV36=""),"",IF(BV35&gt;BV36,BU35,IF(BV35&lt;BV36,BU36,IF(OR(BW35="",BW36=""),"",IF(BW35&gt;BW36,BU35,IF(BW35&lt;BW36,BU36,IF(OR(BX35="",BX36=""),"",IF(BX35&gt;BX36,BU35,IF(BX35&lt;BX36,BU36,"")))))))))</f>
        <v>Denmark</v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4.25" hidden="false" customHeight="false" outlineLevel="0" collapsed="false">
      <c r="R85" s="41" t="n">
        <f aca="false">DATE(2022,12,18)+TIME(8,0,0)+gmt_delta</f>
        <v>44913.9166666667</v>
      </c>
      <c r="S85" s="42" t="str">
        <f aca="false">IF(OR(BV23="",BV24=""),"",IF(BV23&gt;BV24,BU23,IF(BV23&lt;BV24,BU24,IF(OR(BW23="",BW24=""),"",IF(BW23&gt;BW24,BU23,IF(BW23&lt;BW24,BU24,IF(OR(BX23="",BX24=""),"",IF(BX23&gt;BX24,BU23,IF(BX23&lt;BX24,BU24,"")))))))))</f>
        <v>Argentina</v>
      </c>
      <c r="T85" s="42" t="str">
        <f aca="false">S85</f>
        <v>Argentina</v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algorithmName="SHA-512" hashValue="i6N2aEljvDmCGD15qKe/w1hA5suOZajThV4SlVvea//gKL1p7zpmp335Pl3Uz5H+5cK0AVd/Ii5FQ5conq7SaQ==" saltValue="Z9IWig/pWOV0kp6z823E/Q==" spinCount="100000" sheet="true" objects="true" scenarios="true"/>
  <mergeCells count="29">
    <mergeCell ref="A1:P1"/>
    <mergeCell ref="O3:P3"/>
    <mergeCell ref="A5:H6"/>
    <mergeCell ref="J5:P6"/>
    <mergeCell ref="AY6:BC7"/>
    <mergeCell ref="BF6:BJ7"/>
    <mergeCell ref="BM6:BQ7"/>
    <mergeCell ref="BT6:BX7"/>
    <mergeCell ref="AY10:AY11"/>
    <mergeCell ref="BF12:BF13"/>
    <mergeCell ref="AY14:AY15"/>
    <mergeCell ref="BM16:BM17"/>
    <mergeCell ref="AY18:AY19"/>
    <mergeCell ref="BF20:BF21"/>
    <mergeCell ref="AY22:AY23"/>
    <mergeCell ref="BT23:BT24"/>
    <mergeCell ref="AY26:AY27"/>
    <mergeCell ref="BF28:BF29"/>
    <mergeCell ref="AY30:AY31"/>
    <mergeCell ref="BT31:BX32"/>
    <mergeCell ref="BM32:BM33"/>
    <mergeCell ref="AY34:AY35"/>
    <mergeCell ref="BT35:BT36"/>
    <mergeCell ref="BF36:BF37"/>
    <mergeCell ref="AY38:AY39"/>
    <mergeCell ref="AY41:BC46"/>
    <mergeCell ref="BL41:BQ42"/>
    <mergeCell ref="BR41:BX42"/>
    <mergeCell ref="AY48:BC54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C10">
    <cfRule type="expression" priority="10" aboveAverage="0" equalAverage="0" bottom="0" percent="0" rank="0" text="" dxfId="8">
      <formula>IF(AND($BC10&gt;$BC11,ISNUMBER($BC10),ISNUMBER($BC11)),1,0)</formula>
    </cfRule>
  </conditionalFormatting>
  <conditionalFormatting sqref="BC11">
    <cfRule type="expression" priority="11" aboveAverage="0" equalAverage="0" bottom="0" percent="0" rank="0" text="" dxfId="9">
      <formula>IF(AND($BC10&lt;$BC11,ISNUMBER($BC10),ISNUMBER($BC11)),1,0)</formula>
    </cfRule>
  </conditionalFormatting>
  <conditionalFormatting sqref="AZ10">
    <cfRule type="expression" priority="12" aboveAverage="0" equalAverage="0" bottom="0" percent="0" rank="0" text="" dxfId="10">
      <formula>IF($AZ10=$T58,1,0)</formula>
    </cfRule>
    <cfRule type="expression" priority="13" aboveAverage="0" equalAverage="0" bottom="0" percent="0" rank="0" text="" dxfId="11">
      <formula>IF($AZ11=$T58,1,0)</formula>
    </cfRule>
  </conditionalFormatting>
  <conditionalFormatting sqref="AZ11">
    <cfRule type="expression" priority="14" aboveAverage="0" equalAverage="0" bottom="0" percent="0" rank="0" text="" dxfId="12">
      <formula>IF($AZ11=$T58,1,0)</formula>
    </cfRule>
    <cfRule type="expression" priority="15" aboveAverage="0" equalAverage="0" bottom="0" percent="0" rank="0" text="" dxfId="13">
      <formula>IF($AZ10=$T58,1,0)</formula>
    </cfRule>
  </conditionalFormatting>
  <conditionalFormatting sqref="AZ14">
    <cfRule type="expression" priority="16" aboveAverage="0" equalAverage="0" bottom="0" percent="0" rank="0" text="" dxfId="14">
      <formula>IF($AZ14=$T59,1,0)</formula>
    </cfRule>
    <cfRule type="expression" priority="17" aboveAverage="0" equalAverage="0" bottom="0" percent="0" rank="0" text="" dxfId="15">
      <formula>IF($AZ15=$T59,1,0)</formula>
    </cfRule>
  </conditionalFormatting>
  <conditionalFormatting sqref="AZ15">
    <cfRule type="expression" priority="18" aboveAverage="0" equalAverage="0" bottom="0" percent="0" rank="0" text="" dxfId="16">
      <formula>IF($AZ15=$T59,1,0)</formula>
    </cfRule>
    <cfRule type="expression" priority="19" aboveAverage="0" equalAverage="0" bottom="0" percent="0" rank="0" text="" dxfId="17">
      <formula>IF($AZ14=$T59,1,0)</formula>
    </cfRule>
  </conditionalFormatting>
  <conditionalFormatting sqref="AZ34">
    <cfRule type="expression" priority="20" aboveAverage="0" equalAverage="0" bottom="0" percent="0" rank="0" text="" dxfId="18">
      <formula>IF($AZ34=$T64,1,0)</formula>
    </cfRule>
    <cfRule type="expression" priority="21" aboveAverage="0" equalAverage="0" bottom="0" percent="0" rank="0" text="" dxfId="19">
      <formula>IF($AZ35=$T64,1,0)</formula>
    </cfRule>
  </conditionalFormatting>
  <conditionalFormatting sqref="AZ35">
    <cfRule type="expression" priority="22" aboveAverage="0" equalAverage="0" bottom="0" percent="0" rank="0" text="" dxfId="20">
      <formula>IF($AZ35=$T64,1,0)</formula>
    </cfRule>
    <cfRule type="expression" priority="23" aboveAverage="0" equalAverage="0" bottom="0" percent="0" rank="0" text="" dxfId="21">
      <formula>IF($AZ34=$T64,1,0)</formula>
    </cfRule>
  </conditionalFormatting>
  <conditionalFormatting sqref="AZ38">
    <cfRule type="expression" priority="24" aboveAverage="0" equalAverage="0" bottom="0" percent="0" rank="0" text="" dxfId="22">
      <formula>IF($AZ38=$T65,1,0)</formula>
    </cfRule>
    <cfRule type="expression" priority="25" aboveAverage="0" equalAverage="0" bottom="0" percent="0" rank="0" text="" dxfId="23">
      <formula>IF($AZ39=$T65,1,0)</formula>
    </cfRule>
  </conditionalFormatting>
  <conditionalFormatting sqref="AZ39">
    <cfRule type="expression" priority="26" aboveAverage="0" equalAverage="0" bottom="0" percent="0" rank="0" text="" dxfId="24">
      <formula>IF($AZ39=$T65,1,0)</formula>
    </cfRule>
    <cfRule type="expression" priority="27" aboveAverage="0" equalAverage="0" bottom="0" percent="0" rank="0" text="" dxfId="25">
      <formula>IF($AZ38=$T65,1,0)</formula>
    </cfRule>
  </conditionalFormatting>
  <conditionalFormatting sqref="AZ26">
    <cfRule type="expression" priority="28" aboveAverage="0" equalAverage="0" bottom="0" percent="0" rank="0" text="" dxfId="26">
      <formula>IF($AZ26=$T60,1,0)</formula>
    </cfRule>
    <cfRule type="expression" priority="29" aboveAverage="0" equalAverage="0" bottom="0" percent="0" rank="0" text="" dxfId="27">
      <formula>IF($AZ27=$T60,1,0)</formula>
    </cfRule>
  </conditionalFormatting>
  <conditionalFormatting sqref="AZ27">
    <cfRule type="expression" priority="30" aboveAverage="0" equalAverage="0" bottom="0" percent="0" rank="0" text="" dxfId="28">
      <formula>IF($AZ27=$T60,1,0)</formula>
    </cfRule>
    <cfRule type="expression" priority="31" aboveAverage="0" equalAverage="0" bottom="0" percent="0" rank="0" text="" dxfId="29">
      <formula>IF($AZ26=$T60,1,0)</formula>
    </cfRule>
  </conditionalFormatting>
  <conditionalFormatting sqref="AZ30">
    <cfRule type="expression" priority="32" aboveAverage="0" equalAverage="0" bottom="0" percent="0" rank="0" text="" dxfId="30">
      <formula>IF($AZ30=$T61,1,0)</formula>
    </cfRule>
    <cfRule type="expression" priority="33" aboveAverage="0" equalAverage="0" bottom="0" percent="0" rank="0" text="" dxfId="31">
      <formula>IF($AZ31=$T61,1,0)</formula>
    </cfRule>
  </conditionalFormatting>
  <conditionalFormatting sqref="AZ31">
    <cfRule type="expression" priority="34" aboveAverage="0" equalAverage="0" bottom="0" percent="0" rank="0" text="" dxfId="32">
      <formula>IF($AZ31=$T61,1,0)</formula>
    </cfRule>
    <cfRule type="expression" priority="35" aboveAverage="0" equalAverage="0" bottom="0" percent="0" rank="0" text="" dxfId="33">
      <formula>IF($AZ30=$T61,1,0)</formula>
    </cfRule>
  </conditionalFormatting>
  <conditionalFormatting sqref="AZ18">
    <cfRule type="expression" priority="36" aboveAverage="0" equalAverage="0" bottom="0" percent="0" rank="0" text="" dxfId="34">
      <formula>IF($AZ18=$T62,1,0)</formula>
    </cfRule>
    <cfRule type="expression" priority="37" aboveAverage="0" equalAverage="0" bottom="0" percent="0" rank="0" text="" dxfId="35">
      <formula>IF($AZ19=$T62,1,0)</formula>
    </cfRule>
  </conditionalFormatting>
  <conditionalFormatting sqref="AZ19">
    <cfRule type="expression" priority="38" aboveAverage="0" equalAverage="0" bottom="0" percent="0" rank="0" text="" dxfId="36">
      <formula>IF($AZ19=$T62,1,0)</formula>
    </cfRule>
    <cfRule type="expression" priority="39" aboveAverage="0" equalAverage="0" bottom="0" percent="0" rank="0" text="" dxfId="37">
      <formula>IF($AZ18=$T62,1,0)</formula>
    </cfRule>
  </conditionalFormatting>
  <conditionalFormatting sqref="AZ22">
    <cfRule type="expression" priority="40" aboveAverage="0" equalAverage="0" bottom="0" percent="0" rank="0" text="" dxfId="38">
      <formula>IF($AZ22=$T63,1,0)</formula>
    </cfRule>
    <cfRule type="expression" priority="41" aboveAverage="0" equalAverage="0" bottom="0" percent="0" rank="0" text="" dxfId="39">
      <formula>IF($AZ23=$T63,1,0)</formula>
    </cfRule>
  </conditionalFormatting>
  <conditionalFormatting sqref="AZ23">
    <cfRule type="expression" priority="42" aboveAverage="0" equalAverage="0" bottom="0" percent="0" rank="0" text="" dxfId="40">
      <formula>IF($AZ23=$T63,1,0)</formula>
    </cfRule>
    <cfRule type="expression" priority="43" aboveAverage="0" equalAverage="0" bottom="0" percent="0" rank="0" text="" dxfId="41">
      <formula>IF($AZ22=$T63,1,0)</formula>
    </cfRule>
  </conditionalFormatting>
  <conditionalFormatting sqref="BG12">
    <cfRule type="expression" priority="44" aboveAverage="0" equalAverage="0" bottom="0" percent="0" rank="0" text="" dxfId="42">
      <formula>IF($BG12=$T69,1,0)</formula>
    </cfRule>
    <cfRule type="expression" priority="45" aboveAverage="0" equalAverage="0" bottom="0" percent="0" rank="0" text="" dxfId="43">
      <formula>IF($BG13=$T69,1,0)</formula>
    </cfRule>
  </conditionalFormatting>
  <conditionalFormatting sqref="BG13">
    <cfRule type="expression" priority="46" aboveAverage="0" equalAverage="0" bottom="0" percent="0" rank="0" text="" dxfId="44">
      <formula>IF($BG13=$T69,1,0)</formula>
    </cfRule>
    <cfRule type="expression" priority="47" aboveAverage="0" equalAverage="0" bottom="0" percent="0" rank="0" text="" dxfId="45">
      <formula>IF($BG12=$T69,1,0)</formula>
    </cfRule>
  </conditionalFormatting>
  <conditionalFormatting sqref="BG20">
    <cfRule type="expression" priority="48" aboveAverage="0" equalAverage="0" bottom="0" percent="0" rank="0" text="" dxfId="46">
      <formula>IF($BG20=$T70,1,0)</formula>
    </cfRule>
    <cfRule type="expression" priority="49" aboveAverage="0" equalAverage="0" bottom="0" percent="0" rank="0" text="" dxfId="47">
      <formula>IF($BG21=$T70,1,0)</formula>
    </cfRule>
  </conditionalFormatting>
  <conditionalFormatting sqref="BG21">
    <cfRule type="expression" priority="50" aboveAverage="0" equalAverage="0" bottom="0" percent="0" rank="0" text="" dxfId="48">
      <formula>IF($BG21=$T70,1,0)</formula>
    </cfRule>
    <cfRule type="expression" priority="51" aboveAverage="0" equalAverage="0" bottom="0" percent="0" rank="0" text="" dxfId="49">
      <formula>IF($BG20=$T70,1,0)</formula>
    </cfRule>
  </conditionalFormatting>
  <conditionalFormatting sqref="BG28">
    <cfRule type="expression" priority="52" aboveAverage="0" equalAverage="0" bottom="0" percent="0" rank="0" text="" dxfId="50">
      <formula>IF($BG28=$T71,1,0)</formula>
    </cfRule>
    <cfRule type="expression" priority="53" aboveAverage="0" equalAverage="0" bottom="0" percent="0" rank="0" text="" dxfId="51">
      <formula>IF($BG29=$T71,1,0)</formula>
    </cfRule>
  </conditionalFormatting>
  <conditionalFormatting sqref="BG29">
    <cfRule type="expression" priority="54" aboveAverage="0" equalAverage="0" bottom="0" percent="0" rank="0" text="" dxfId="52">
      <formula>IF($BG29=$T71,1,0)</formula>
    </cfRule>
    <cfRule type="expression" priority="55" aboveAverage="0" equalAverage="0" bottom="0" percent="0" rank="0" text="" dxfId="53">
      <formula>IF($BG28=$T71,1,0)</formula>
    </cfRule>
  </conditionalFormatting>
  <conditionalFormatting sqref="BG36">
    <cfRule type="expression" priority="56" aboveAverage="0" equalAverage="0" bottom="0" percent="0" rank="0" text="" dxfId="54">
      <formula>IF($BG36=$T72,1,0)</formula>
    </cfRule>
    <cfRule type="expression" priority="57" aboveAverage="0" equalAverage="0" bottom="0" percent="0" rank="0" text="" dxfId="55">
      <formula>IF($BG37=$T72,1,0)</formula>
    </cfRule>
  </conditionalFormatting>
  <conditionalFormatting sqref="BG37">
    <cfRule type="expression" priority="58" aboveAverage="0" equalAverage="0" bottom="0" percent="0" rank="0" text="" dxfId="56">
      <formula>IF($BG37=$T72,1,0)</formula>
    </cfRule>
    <cfRule type="expression" priority="59" aboveAverage="0" equalAverage="0" bottom="0" percent="0" rank="0" text="" dxfId="57">
      <formula>IF($BG36=$T72,1,0)</formula>
    </cfRule>
  </conditionalFormatting>
  <conditionalFormatting sqref="BN16">
    <cfRule type="expression" priority="60" aboveAverage="0" equalAverage="0" bottom="0" percent="0" rank="0" text="" dxfId="58">
      <formula>IF($BN16=$T76,1,0)</formula>
    </cfRule>
    <cfRule type="expression" priority="61" aboveAverage="0" equalAverage="0" bottom="0" percent="0" rank="0" text="" dxfId="59">
      <formula>IF($BN17=$T76,1,0)</formula>
    </cfRule>
  </conditionalFormatting>
  <conditionalFormatting sqref="BN17">
    <cfRule type="expression" priority="62" aboveAverage="0" equalAverage="0" bottom="0" percent="0" rank="0" text="" dxfId="60">
      <formula>IF($BN17=$T76,1,0)</formula>
    </cfRule>
    <cfRule type="expression" priority="63" aboveAverage="0" equalAverage="0" bottom="0" percent="0" rank="0" text="" dxfId="61">
      <formula>IF($BN16=$T76,1,0)</formula>
    </cfRule>
  </conditionalFormatting>
  <conditionalFormatting sqref="BN32">
    <cfRule type="expression" priority="64" aboveAverage="0" equalAverage="0" bottom="0" percent="0" rank="0" text="" dxfId="62">
      <formula>IF($BN32=$T77,1,0)</formula>
    </cfRule>
    <cfRule type="expression" priority="65" aboveAverage="0" equalAverage="0" bottom="0" percent="0" rank="0" text="" dxfId="63">
      <formula>IF($BN33=$T77,1,0)</formula>
    </cfRule>
  </conditionalFormatting>
  <conditionalFormatting sqref="BN33">
    <cfRule type="expression" priority="66" aboveAverage="0" equalAverage="0" bottom="0" percent="0" rank="0" text="" dxfId="64">
      <formula>IF($BN33=$T77,1,0)</formula>
    </cfRule>
    <cfRule type="expression" priority="67" aboveAverage="0" equalAverage="0" bottom="0" percent="0" rank="0" text="" dxfId="65">
      <formula>IF($BN32=$T77,1,0)</formula>
    </cfRule>
  </conditionalFormatting>
  <conditionalFormatting sqref="BU23">
    <cfRule type="expression" priority="68" aboveAverage="0" equalAverage="0" bottom="0" percent="0" rank="0" text="" dxfId="66">
      <formula>IF($BU23=$T85,1,0)</formula>
    </cfRule>
    <cfRule type="expression" priority="69" aboveAverage="0" equalAverage="0" bottom="0" percent="0" rank="0" text="" dxfId="67">
      <formula>IF($BU24=$T85,1,0)</formula>
    </cfRule>
  </conditionalFormatting>
  <conditionalFormatting sqref="BU24">
    <cfRule type="expression" priority="70" aboveAverage="0" equalAverage="0" bottom="0" percent="0" rank="0" text="" dxfId="68">
      <formula>IF($BU24=$T85,1,0)</formula>
    </cfRule>
    <cfRule type="expression" priority="71" aboveAverage="0" equalAverage="0" bottom="0" percent="0" rank="0" text="" dxfId="69">
      <formula>IF($BU23=$T85,1,0)</formula>
    </cfRule>
  </conditionalFormatting>
  <conditionalFormatting sqref="BU35">
    <cfRule type="expression" priority="72" aboveAverage="0" equalAverage="0" bottom="0" percent="0" rank="0" text="" dxfId="70">
      <formula>IF($BU35=$T81,1,0)</formula>
    </cfRule>
    <cfRule type="expression" priority="73" aboveAverage="0" equalAverage="0" bottom="0" percent="0" rank="0" text="" dxfId="71">
      <formula>IF($BU36=$T81,1,0)</formula>
    </cfRule>
  </conditionalFormatting>
  <conditionalFormatting sqref="BU36">
    <cfRule type="expression" priority="74" aboveAverage="0" equalAverage="0" bottom="0" percent="0" rank="0" text="" dxfId="72">
      <formula>IF($BU36=$T81,1,0)</formula>
    </cfRule>
    <cfRule type="expression" priority="75" aboveAverage="0" equalAverage="0" bottom="0" percent="0" rank="0" text="" dxfId="73">
      <formula>IF($BU35=$T81,1,0)</formula>
    </cfRule>
  </conditionalFormatting>
  <conditionalFormatting sqref="E7:E54">
    <cfRule type="expression" priority="76" aboveAverage="0" equalAverage="0" bottom="0" percent="0" rank="0" text="" dxfId="74">
      <formula>IF(AND(X7=0,Y7=-1),1,0)</formula>
    </cfRule>
    <cfRule type="expression" priority="77" aboveAverage="0" equalAverage="0" bottom="0" percent="0" rank="0" text="" dxfId="75">
      <formula>IF(AND(X7=1,Y7=-1),1,0)</formula>
    </cfRule>
    <cfRule type="expression" priority="78" aboveAverage="0" equalAverage="0" bottom="0" percent="0" rank="0" text="" dxfId="76">
      <formula>IF(AND(X7=0,Y7=1),1,0)</formula>
    </cfRule>
    <cfRule type="expression" priority="79" aboveAverage="0" equalAverage="0" bottom="0" percent="0" rank="0" text="" dxfId="77">
      <formula>IF(AND(X7=1,Y7=1),1,0)</formula>
    </cfRule>
    <cfRule type="expression" priority="80" aboveAverage="0" equalAverage="0" bottom="0" percent="0" rank="0" text="" dxfId="78">
      <formula>IF(AND(X7=0,Y7=0),1,0)</formula>
    </cfRule>
    <cfRule type="expression" priority="81" aboveAverage="0" equalAverage="0" bottom="0" percent="0" rank="0" text="" dxfId="79">
      <formula>IF(AND(X7=1,Y7=0),1,0)</formula>
    </cfRule>
  </conditionalFormatting>
  <conditionalFormatting sqref="H7:H54">
    <cfRule type="expression" priority="82" aboveAverage="0" equalAverage="0" bottom="0" percent="0" rank="0" text="" dxfId="80">
      <formula>IF(AND(X7=0,Y7=-1),1,0)</formula>
    </cfRule>
    <cfRule type="expression" priority="83" aboveAverage="0" equalAverage="0" bottom="0" percent="0" rank="0" text="" dxfId="81">
      <formula>IF(AND(X7=1,Y7=-1),1,0)</formula>
    </cfRule>
    <cfRule type="expression" priority="84" aboveAverage="0" equalAverage="0" bottom="0" percent="0" rank="0" text="" dxfId="82">
      <formula>IF(AND(X7=0,Y7=1),1,0)</formula>
    </cfRule>
    <cfRule type="expression" priority="85" aboveAverage="0" equalAverage="0" bottom="0" percent="0" rank="0" text="" dxfId="83">
      <formula>IF(AND(X7=1,Y7=1),1,0)</formula>
    </cfRule>
    <cfRule type="expression" priority="86" aboveAverage="0" equalAverage="0" bottom="0" percent="0" rank="0" text="" dxfId="84">
      <formula>IF(AND(X7=0,Y7=0),1,0)</formula>
    </cfRule>
    <cfRule type="expression" priority="87" aboveAverage="0" equalAverage="0" bottom="0" percent="0" rank="0" text="" dxfId="85">
      <formula>IF(AND(X7=1,Y7=0),1,0)</formula>
    </cfRule>
    <cfRule type="expression" priority="88" aboveAverage="0" equalAverage="0" bottom="0" percent="0" rank="0" text="" dxfId="86">
      <formula>IF(AND(X7=1,Y7=""),1,0)</formula>
    </cfRule>
  </conditionalFormatting>
  <conditionalFormatting sqref="A7:E54">
    <cfRule type="expression" priority="89" aboveAverage="0" equalAverage="0" bottom="0" percent="0" rank="0" text="" dxfId="87">
      <formula>IF($X7=1,1,0)</formula>
    </cfRule>
  </conditionalFormatting>
  <conditionalFormatting sqref="BB10">
    <cfRule type="expression" priority="90" aboveAverage="0" equalAverage="0" bottom="0" percent="0" rank="0" text="" dxfId="88">
      <formula>IF(AND($BB10&gt;$BB11,ISNUMBER($BB10),ISNUMBER($BB11)),1,0)</formula>
    </cfRule>
  </conditionalFormatting>
  <conditionalFormatting sqref="BB11">
    <cfRule type="expression" priority="91" aboveAverage="0" equalAverage="0" bottom="0" percent="0" rank="0" text="" dxfId="89">
      <formula>IF(AND($BB10&lt;$BB11,ISNUMBER($BB10),ISNUMBER($BB11)),1,0)</formula>
    </cfRule>
  </conditionalFormatting>
  <conditionalFormatting sqref="BA14">
    <cfRule type="expression" priority="92" aboveAverage="0" equalAverage="0" bottom="0" percent="0" rank="0" text="" dxfId="90">
      <formula>IF(AND($BA14&gt;$BA15,ISNUMBER($BA14),ISNUMBER($BA15)),1,0)</formula>
    </cfRule>
  </conditionalFormatting>
  <conditionalFormatting sqref="BA15">
    <cfRule type="expression" priority="93" aboveAverage="0" equalAverage="0" bottom="0" percent="0" rank="0" text="" dxfId="91">
      <formula>IF(AND($BA14&lt;$BA15,ISNUMBER($BA14),ISNUMBER($BA15)),1,0)</formula>
    </cfRule>
  </conditionalFormatting>
  <conditionalFormatting sqref="BC14">
    <cfRule type="expression" priority="94" aboveAverage="0" equalAverage="0" bottom="0" percent="0" rank="0" text="" dxfId="92">
      <formula>IF(AND($BC14&gt;$BC15,ISNUMBER($BC14),ISNUMBER($BC15)),1,0)</formula>
    </cfRule>
  </conditionalFormatting>
  <conditionalFormatting sqref="BC15">
    <cfRule type="expression" priority="95" aboveAverage="0" equalAverage="0" bottom="0" percent="0" rank="0" text="" dxfId="93">
      <formula>IF(AND($BC14&lt;$BC15,ISNUMBER($BC14),ISNUMBER($BC15)),1,0)</formula>
    </cfRule>
  </conditionalFormatting>
  <conditionalFormatting sqref="BB14">
    <cfRule type="expression" priority="96" aboveAverage="0" equalAverage="0" bottom="0" percent="0" rank="0" text="" dxfId="94">
      <formula>IF(AND($BB14&gt;$BB15,ISNUMBER($BB14),ISNUMBER($BB15)),1,0)</formula>
    </cfRule>
  </conditionalFormatting>
  <conditionalFormatting sqref="BB15">
    <cfRule type="expression" priority="97" aboveAverage="0" equalAverage="0" bottom="0" percent="0" rank="0" text="" dxfId="95">
      <formula>IF(AND($BB14&lt;$BB15,ISNUMBER($BB14),ISNUMBER($BB15)),1,0)</formula>
    </cfRule>
  </conditionalFormatting>
  <conditionalFormatting sqref="BA18">
    <cfRule type="expression" priority="98" aboveAverage="0" equalAverage="0" bottom="0" percent="0" rank="0" text="" dxfId="96">
      <formula>IF(AND($BA18&gt;$BA19,ISNUMBER($BA18),ISNUMBER($BA19)),1,0)</formula>
    </cfRule>
  </conditionalFormatting>
  <conditionalFormatting sqref="BA19">
    <cfRule type="expression" priority="99" aboveAverage="0" equalAverage="0" bottom="0" percent="0" rank="0" text="" dxfId="97">
      <formula>IF(AND($BA18&lt;$BA19,ISNUMBER($BA18),ISNUMBER($BA19)),1,0)</formula>
    </cfRule>
  </conditionalFormatting>
  <conditionalFormatting sqref="BC18">
    <cfRule type="expression" priority="100" aboveAverage="0" equalAverage="0" bottom="0" percent="0" rank="0" text="" dxfId="98">
      <formula>IF(AND($BC18&gt;$BC19,ISNUMBER($BC18),ISNUMBER($BC19)),1,0)</formula>
    </cfRule>
  </conditionalFormatting>
  <conditionalFormatting sqref="BC19">
    <cfRule type="expression" priority="101" aboveAverage="0" equalAverage="0" bottom="0" percent="0" rank="0" text="" dxfId="99">
      <formula>IF(AND($BC18&lt;$BC19,ISNUMBER($BC18),ISNUMBER($BC19)),1,0)</formula>
    </cfRule>
  </conditionalFormatting>
  <conditionalFormatting sqref="BB18">
    <cfRule type="expression" priority="102" aboveAverage="0" equalAverage="0" bottom="0" percent="0" rank="0" text="" dxfId="100">
      <formula>IF(AND($BB18&gt;$BB19,ISNUMBER($BB18),ISNUMBER($BB19)),1,0)</formula>
    </cfRule>
  </conditionalFormatting>
  <conditionalFormatting sqref="BB19">
    <cfRule type="expression" priority="103" aboveAverage="0" equalAverage="0" bottom="0" percent="0" rank="0" text="" dxfId="101">
      <formula>IF(AND($BB18&lt;$BB19,ISNUMBER($BB18),ISNUMBER($BB19)),1,0)</formula>
    </cfRule>
  </conditionalFormatting>
  <conditionalFormatting sqref="BH12">
    <cfRule type="expression" priority="104" aboveAverage="0" equalAverage="0" bottom="0" percent="0" rank="0" text="" dxfId="102">
      <formula>IF(AND($BA12&gt;$BA13,ISNUMBER($BA12),ISNUMBER($BA13)),1,0)</formula>
    </cfRule>
  </conditionalFormatting>
  <conditionalFormatting sqref="BH13">
    <cfRule type="expression" priority="105" aboveAverage="0" equalAverage="0" bottom="0" percent="0" rank="0" text="" dxfId="103">
      <formula>IF(AND($BA12&lt;$BA13,ISNUMBER($BA12),ISNUMBER($BA13)),1,0)</formula>
    </cfRule>
  </conditionalFormatting>
  <conditionalFormatting sqref="BJ12">
    <cfRule type="expression" priority="106" aboveAverage="0" equalAverage="0" bottom="0" percent="0" rank="0" text="" dxfId="104">
      <formula>IF(AND($BC12&gt;$BC13,ISNUMBER($BC12),ISNUMBER($BC13)),1,0)</formula>
    </cfRule>
  </conditionalFormatting>
  <conditionalFormatting sqref="BJ13">
    <cfRule type="expression" priority="107" aboveAverage="0" equalAverage="0" bottom="0" percent="0" rank="0" text="" dxfId="105">
      <formula>IF(AND($BC12&lt;$BC13,ISNUMBER($BC12),ISNUMBER($BC13)),1,0)</formula>
    </cfRule>
  </conditionalFormatting>
  <conditionalFormatting sqref="BI12">
    <cfRule type="expression" priority="108" aboveAverage="0" equalAverage="0" bottom="0" percent="0" rank="0" text="" dxfId="106">
      <formula>IF(AND($BB12&gt;$BB13,ISNUMBER($BB12),ISNUMBER($BB13)),1,0)</formula>
    </cfRule>
  </conditionalFormatting>
  <conditionalFormatting sqref="BI13">
    <cfRule type="expression" priority="109" aboveAverage="0" equalAverage="0" bottom="0" percent="0" rank="0" text="" dxfId="107">
      <formula>IF(AND($BB12&lt;$BB13,ISNUMBER($BB12),ISNUMBER($BB13)),1,0)</formula>
    </cfRule>
  </conditionalFormatting>
  <conditionalFormatting sqref="BO16">
    <cfRule type="expression" priority="110" aboveAverage="0" equalAverage="0" bottom="0" percent="0" rank="0" text="" dxfId="108">
      <formula>IF(AND($BA16&gt;$BA17,ISNUMBER($BA16),ISNUMBER($BA17)),1,0)</formula>
    </cfRule>
  </conditionalFormatting>
  <conditionalFormatting sqref="BO17">
    <cfRule type="expression" priority="111" aboveAverage="0" equalAverage="0" bottom="0" percent="0" rank="0" text="" dxfId="109">
      <formula>IF(AND($BA16&lt;$BA17,ISNUMBER($BA16),ISNUMBER($BA17)),1,0)</formula>
    </cfRule>
  </conditionalFormatting>
  <conditionalFormatting sqref="BQ16">
    <cfRule type="expression" priority="112" aboveAverage="0" equalAverage="0" bottom="0" percent="0" rank="0" text="" dxfId="110">
      <formula>IF(AND($BC16&gt;$BC17,ISNUMBER($BC16),ISNUMBER($BC17)),1,0)</formula>
    </cfRule>
  </conditionalFormatting>
  <conditionalFormatting sqref="BQ17">
    <cfRule type="expression" priority="113" aboveAverage="0" equalAverage="0" bottom="0" percent="0" rank="0" text="" dxfId="111">
      <formula>IF(AND($BC16&lt;$BC17,ISNUMBER($BC16),ISNUMBER($BC17)),1,0)</formula>
    </cfRule>
  </conditionalFormatting>
  <conditionalFormatting sqref="BP16">
    <cfRule type="expression" priority="114" aboveAverage="0" equalAverage="0" bottom="0" percent="0" rank="0" text="" dxfId="112">
      <formula>IF(AND($BB16&gt;$BB17,ISNUMBER($BB16),ISNUMBER($BB17)),1,0)</formula>
    </cfRule>
  </conditionalFormatting>
  <conditionalFormatting sqref="BP17">
    <cfRule type="expression" priority="115" aboveAverage="0" equalAverage="0" bottom="0" percent="0" rank="0" text="" dxfId="113">
      <formula>IF(AND($BB16&lt;$BB17,ISNUMBER($BB16),ISNUMBER($BB17)),1,0)</formula>
    </cfRule>
  </conditionalFormatting>
  <conditionalFormatting sqref="BV23">
    <cfRule type="expression" priority="116" aboveAverage="0" equalAverage="0" bottom="0" percent="0" rank="0" text="" dxfId="114">
      <formula>IF(AND($BA23&gt;$BA24,ISNUMBER($BA23),ISNUMBER($BA24)),1,0)</formula>
    </cfRule>
  </conditionalFormatting>
  <conditionalFormatting sqref="BV24">
    <cfRule type="expression" priority="117" aboveAverage="0" equalAverage="0" bottom="0" percent="0" rank="0" text="" dxfId="115">
      <formula>IF(AND($BA23&lt;$BA24,ISNUMBER($BA23),ISNUMBER($BA24)),1,0)</formula>
    </cfRule>
  </conditionalFormatting>
  <conditionalFormatting sqref="BX23">
    <cfRule type="expression" priority="118" aboveAverage="0" equalAverage="0" bottom="0" percent="0" rank="0" text="" dxfId="116">
      <formula>IF(AND($BC23&gt;$BC24,ISNUMBER($BC23),ISNUMBER($BC24)),1,0)</formula>
    </cfRule>
  </conditionalFormatting>
  <conditionalFormatting sqref="BX24">
    <cfRule type="expression" priority="119" aboveAverage="0" equalAverage="0" bottom="0" percent="0" rank="0" text="" dxfId="117">
      <formula>IF(AND($BC23&lt;$BC24,ISNUMBER($BC23),ISNUMBER($BC24)),1,0)</formula>
    </cfRule>
  </conditionalFormatting>
  <conditionalFormatting sqref="BW23">
    <cfRule type="expression" priority="120" aboveAverage="0" equalAverage="0" bottom="0" percent="0" rank="0" text="" dxfId="118">
      <formula>IF(AND($BB23&gt;$BB24,ISNUMBER($BB23),ISNUMBER($BB24)),1,0)</formula>
    </cfRule>
  </conditionalFormatting>
  <conditionalFormatting sqref="BW24">
    <cfRule type="expression" priority="121" aboveAverage="0" equalAverage="0" bottom="0" percent="0" rank="0" text="" dxfId="119">
      <formula>IF(AND($BB23&lt;$BB24,ISNUMBER($BB23),ISNUMBER($BB24)),1,0)</formula>
    </cfRule>
  </conditionalFormatting>
  <conditionalFormatting sqref="BH20">
    <cfRule type="expression" priority="122" aboveAverage="0" equalAverage="0" bottom="0" percent="0" rank="0" text="" dxfId="120">
      <formula>IF(AND($BA20&gt;$BA21,ISNUMBER($BA20),ISNUMBER($BA21)),1,0)</formula>
    </cfRule>
  </conditionalFormatting>
  <conditionalFormatting sqref="BH21">
    <cfRule type="expression" priority="123" aboveAverage="0" equalAverage="0" bottom="0" percent="0" rank="0" text="" dxfId="121">
      <formula>IF(AND($BA20&lt;$BA21,ISNUMBER($BA20),ISNUMBER($BA21)),1,0)</formula>
    </cfRule>
  </conditionalFormatting>
  <conditionalFormatting sqref="BJ20">
    <cfRule type="expression" priority="124" aboveAverage="0" equalAverage="0" bottom="0" percent="0" rank="0" text="" dxfId="122">
      <formula>IF(AND($BC20&gt;$BC21,ISNUMBER($BC20),ISNUMBER($BC21)),1,0)</formula>
    </cfRule>
  </conditionalFormatting>
  <conditionalFormatting sqref="BJ21">
    <cfRule type="expression" priority="125" aboveAverage="0" equalAverage="0" bottom="0" percent="0" rank="0" text="" dxfId="123">
      <formula>IF(AND($BC20&lt;$BC21,ISNUMBER($BC20),ISNUMBER($BC21)),1,0)</formula>
    </cfRule>
  </conditionalFormatting>
  <conditionalFormatting sqref="BI20">
    <cfRule type="expression" priority="126" aboveAverage="0" equalAverage="0" bottom="0" percent="0" rank="0" text="" dxfId="124">
      <formula>IF(AND($BB20&gt;$BB21,ISNUMBER($BB20),ISNUMBER($BB21)),1,0)</formula>
    </cfRule>
  </conditionalFormatting>
  <conditionalFormatting sqref="BI21">
    <cfRule type="expression" priority="127" aboveAverage="0" equalAverage="0" bottom="0" percent="0" rank="0" text="" dxfId="125">
      <formula>IF(AND($BB20&lt;$BB21,ISNUMBER($BB20),ISNUMBER($BB21)),1,0)</formula>
    </cfRule>
  </conditionalFormatting>
  <conditionalFormatting sqref="BH28">
    <cfRule type="expression" priority="128" aboveAverage="0" equalAverage="0" bottom="0" percent="0" rank="0" text="" dxfId="126">
      <formula>IF(AND($BA28&gt;$BA29,ISNUMBER($BA28),ISNUMBER($BA29)),1,0)</formula>
    </cfRule>
  </conditionalFormatting>
  <conditionalFormatting sqref="BH29">
    <cfRule type="expression" priority="129" aboveAverage="0" equalAverage="0" bottom="0" percent="0" rank="0" text="" dxfId="127">
      <formula>IF(AND($BA28&lt;$BA29,ISNUMBER($BA28),ISNUMBER($BA29)),1,0)</formula>
    </cfRule>
  </conditionalFormatting>
  <conditionalFormatting sqref="BJ28">
    <cfRule type="expression" priority="130" aboveAverage="0" equalAverage="0" bottom="0" percent="0" rank="0" text="" dxfId="128">
      <formula>IF(AND($BC28&gt;$BC29,ISNUMBER($BC28),ISNUMBER($BC29)),1,0)</formula>
    </cfRule>
  </conditionalFormatting>
  <conditionalFormatting sqref="BJ29">
    <cfRule type="expression" priority="131" aboveAverage="0" equalAverage="0" bottom="0" percent="0" rank="0" text="" dxfId="129">
      <formula>IF(AND($BC28&lt;$BC29,ISNUMBER($BC28),ISNUMBER($BC29)),1,0)</formula>
    </cfRule>
  </conditionalFormatting>
  <conditionalFormatting sqref="BI28">
    <cfRule type="expression" priority="132" aboveAverage="0" equalAverage="0" bottom="0" percent="0" rank="0" text="" dxfId="130">
      <formula>IF(AND($BB28&gt;$BB29,ISNUMBER($BB28),ISNUMBER($BB29)),1,0)</formula>
    </cfRule>
  </conditionalFormatting>
  <conditionalFormatting sqref="BI29">
    <cfRule type="expression" priority="133" aboveAverage="0" equalAverage="0" bottom="0" percent="0" rank="0" text="" dxfId="131">
      <formula>IF(AND($BB28&lt;$BB29,ISNUMBER($BB28),ISNUMBER($BB29)),1,0)</formula>
    </cfRule>
  </conditionalFormatting>
  <conditionalFormatting sqref="BA22">
    <cfRule type="expression" priority="134" aboveAverage="0" equalAverage="0" bottom="0" percent="0" rank="0" text="" dxfId="132">
      <formula>IF(AND($BA22&gt;$BA23,ISNUMBER($BA22),ISNUMBER($BA23)),1,0)</formula>
    </cfRule>
  </conditionalFormatting>
  <conditionalFormatting sqref="BA23">
    <cfRule type="expression" priority="135" aboveAverage="0" equalAverage="0" bottom="0" percent="0" rank="0" text="" dxfId="133">
      <formula>IF(AND($BA22&lt;$BA23,ISNUMBER($BA22),ISNUMBER($BA23)),1,0)</formula>
    </cfRule>
  </conditionalFormatting>
  <conditionalFormatting sqref="BC22">
    <cfRule type="expression" priority="136" aboveAverage="0" equalAverage="0" bottom="0" percent="0" rank="0" text="" dxfId="134">
      <formula>IF(AND($BC22&gt;$BC23,ISNUMBER($BC22),ISNUMBER($BC23)),1,0)</formula>
    </cfRule>
  </conditionalFormatting>
  <conditionalFormatting sqref="BC23">
    <cfRule type="expression" priority="137" aboveAverage="0" equalAverage="0" bottom="0" percent="0" rank="0" text="" dxfId="135">
      <formula>IF(AND($BC22&lt;$BC23,ISNUMBER($BC22),ISNUMBER($BC23)),1,0)</formula>
    </cfRule>
  </conditionalFormatting>
  <conditionalFormatting sqref="BB22">
    <cfRule type="expression" priority="138" aboveAverage="0" equalAverage="0" bottom="0" percent="0" rank="0" text="" dxfId="136">
      <formula>IF(AND($BB22&gt;$BB23,ISNUMBER($BB22),ISNUMBER($BB23)),1,0)</formula>
    </cfRule>
  </conditionalFormatting>
  <conditionalFormatting sqref="BB23">
    <cfRule type="expression" priority="139" aboveAverage="0" equalAverage="0" bottom="0" percent="0" rank="0" text="" dxfId="137">
      <formula>IF(AND($BB22&lt;$BB23,ISNUMBER($BB22),ISNUMBER($BB23)),1,0)</formula>
    </cfRule>
  </conditionalFormatting>
  <conditionalFormatting sqref="BA26">
    <cfRule type="expression" priority="140" aboveAverage="0" equalAverage="0" bottom="0" percent="0" rank="0" text="" dxfId="138">
      <formula>IF(AND($BA26&gt;$BA27,ISNUMBER($BA26),ISNUMBER($BA27)),1,0)</formula>
    </cfRule>
  </conditionalFormatting>
  <conditionalFormatting sqref="BA27">
    <cfRule type="expression" priority="141" aboveAverage="0" equalAverage="0" bottom="0" percent="0" rank="0" text="" dxfId="139">
      <formula>IF(AND($BA26&lt;$BA27,ISNUMBER($BA26),ISNUMBER($BA27)),1,0)</formula>
    </cfRule>
  </conditionalFormatting>
  <conditionalFormatting sqref="BC26">
    <cfRule type="expression" priority="142" aboveAverage="0" equalAverage="0" bottom="0" percent="0" rank="0" text="" dxfId="140">
      <formula>IF(AND($BC26&gt;$BC27,ISNUMBER($BC26),ISNUMBER($BC27)),1,0)</formula>
    </cfRule>
  </conditionalFormatting>
  <conditionalFormatting sqref="BC27">
    <cfRule type="expression" priority="143" aboveAverage="0" equalAverage="0" bottom="0" percent="0" rank="0" text="" dxfId="141">
      <formula>IF(AND($BC26&lt;$BC27,ISNUMBER($BC26),ISNUMBER($BC27)),1,0)</formula>
    </cfRule>
  </conditionalFormatting>
  <conditionalFormatting sqref="BB26">
    <cfRule type="expression" priority="144" aboveAverage="0" equalAverage="0" bottom="0" percent="0" rank="0" text="" dxfId="142">
      <formula>IF(AND($BB26&gt;$BB27,ISNUMBER($BB26),ISNUMBER($BB27)),1,0)</formula>
    </cfRule>
  </conditionalFormatting>
  <conditionalFormatting sqref="BB27">
    <cfRule type="expression" priority="145" aboveAverage="0" equalAverage="0" bottom="0" percent="0" rank="0" text="" dxfId="143">
      <formula>IF(AND($BB26&lt;$BB27,ISNUMBER($BB26),ISNUMBER($BB27)),1,0)</formula>
    </cfRule>
  </conditionalFormatting>
  <conditionalFormatting sqref="BV35">
    <cfRule type="expression" priority="146" aboveAverage="0" equalAverage="0" bottom="0" percent="0" rank="0" text="" dxfId="144">
      <formula>IF(AND($BA35&gt;$BA36,ISNUMBER($BA35),ISNUMBER($BA36)),1,0)</formula>
    </cfRule>
  </conditionalFormatting>
  <conditionalFormatting sqref="BV36">
    <cfRule type="expression" priority="147" aboveAverage="0" equalAverage="0" bottom="0" percent="0" rank="0" text="" dxfId="145">
      <formula>IF(AND($BA35&lt;$BA36,ISNUMBER($BA35),ISNUMBER($BA36)),1,0)</formula>
    </cfRule>
  </conditionalFormatting>
  <conditionalFormatting sqref="BX35">
    <cfRule type="expression" priority="148" aboveAverage="0" equalAverage="0" bottom="0" percent="0" rank="0" text="" dxfId="146">
      <formula>IF(AND($BC35&gt;$BC36,ISNUMBER($BC35),ISNUMBER($BC36)),1,0)</formula>
    </cfRule>
  </conditionalFormatting>
  <conditionalFormatting sqref="BX36">
    <cfRule type="expression" priority="149" aboveAverage="0" equalAverage="0" bottom="0" percent="0" rank="0" text="" dxfId="147">
      <formula>IF(AND($BC35&lt;$BC36,ISNUMBER($BC35),ISNUMBER($BC36)),1,0)</formula>
    </cfRule>
  </conditionalFormatting>
  <conditionalFormatting sqref="BW35">
    <cfRule type="expression" priority="150" aboveAverage="0" equalAverage="0" bottom="0" percent="0" rank="0" text="" dxfId="148">
      <formula>IF(AND($BB35&gt;$BB36,ISNUMBER($BB35),ISNUMBER($BB36)),1,0)</formula>
    </cfRule>
  </conditionalFormatting>
  <conditionalFormatting sqref="BW36">
    <cfRule type="expression" priority="151" aboveAverage="0" equalAverage="0" bottom="0" percent="0" rank="0" text="" dxfId="149">
      <formula>IF(AND($BB35&lt;$BB36,ISNUMBER($BB35),ISNUMBER($BB36)),1,0)</formula>
    </cfRule>
  </conditionalFormatting>
  <conditionalFormatting sqref="BO32">
    <cfRule type="expression" priority="152" aboveAverage="0" equalAverage="0" bottom="0" percent="0" rank="0" text="" dxfId="150">
      <formula>IF(AND($BA32&gt;$BA33,ISNUMBER($BA32),ISNUMBER($BA33)),1,0)</formula>
    </cfRule>
  </conditionalFormatting>
  <conditionalFormatting sqref="BO33">
    <cfRule type="expression" priority="153" aboveAverage="0" equalAverage="0" bottom="0" percent="0" rank="0" text="" dxfId="151">
      <formula>IF(AND($BA32&lt;$BA33,ISNUMBER($BA32),ISNUMBER($BA33)),1,0)</formula>
    </cfRule>
  </conditionalFormatting>
  <conditionalFormatting sqref="BQ32">
    <cfRule type="expression" priority="154" aboveAverage="0" equalAverage="0" bottom="0" percent="0" rank="0" text="" dxfId="152">
      <formula>IF(AND($BC32&gt;$BC33,ISNUMBER($BC32),ISNUMBER($BC33)),1,0)</formula>
    </cfRule>
  </conditionalFormatting>
  <conditionalFormatting sqref="BQ33">
    <cfRule type="expression" priority="155" aboveAverage="0" equalAverage="0" bottom="0" percent="0" rank="0" text="" dxfId="153">
      <formula>IF(AND($BC32&lt;$BC33,ISNUMBER($BC32),ISNUMBER($BC33)),1,0)</formula>
    </cfRule>
  </conditionalFormatting>
  <conditionalFormatting sqref="BP32">
    <cfRule type="expression" priority="156" aboveAverage="0" equalAverage="0" bottom="0" percent="0" rank="0" text="" dxfId="154">
      <formula>IF(AND($BB32&gt;$BB33,ISNUMBER($BB32),ISNUMBER($BB33)),1,0)</formula>
    </cfRule>
  </conditionalFormatting>
  <conditionalFormatting sqref="BP33">
    <cfRule type="expression" priority="157" aboveAverage="0" equalAverage="0" bottom="0" percent="0" rank="0" text="" dxfId="155">
      <formula>IF(AND($BB32&lt;$BB33,ISNUMBER($BB32),ISNUMBER($BB33)),1,0)</formula>
    </cfRule>
  </conditionalFormatting>
  <conditionalFormatting sqref="BH36">
    <cfRule type="expression" priority="158" aboveAverage="0" equalAverage="0" bottom="0" percent="0" rank="0" text="" dxfId="156">
      <formula>IF(AND($BA36&gt;$BA37,ISNUMBER($BA36),ISNUMBER($BA37)),1,0)</formula>
    </cfRule>
  </conditionalFormatting>
  <conditionalFormatting sqref="BH37">
    <cfRule type="expression" priority="159" aboveAverage="0" equalAverage="0" bottom="0" percent="0" rank="0" text="" dxfId="157">
      <formula>IF(AND($BA36&lt;$BA37,ISNUMBER($BA36),ISNUMBER($BA37)),1,0)</formula>
    </cfRule>
  </conditionalFormatting>
  <conditionalFormatting sqref="BJ36">
    <cfRule type="expression" priority="160" aboveAverage="0" equalAverage="0" bottom="0" percent="0" rank="0" text="" dxfId="158">
      <formula>IF(AND($BC36&gt;$BC37,ISNUMBER($BC36),ISNUMBER($BC37)),1,0)</formula>
    </cfRule>
  </conditionalFormatting>
  <conditionalFormatting sqref="BJ37">
    <cfRule type="expression" priority="161" aboveAverage="0" equalAverage="0" bottom="0" percent="0" rank="0" text="" dxfId="159">
      <formula>IF(AND($BC36&lt;$BC37,ISNUMBER($BC36),ISNUMBER($BC37)),1,0)</formula>
    </cfRule>
  </conditionalFormatting>
  <conditionalFormatting sqref="BI36">
    <cfRule type="expression" priority="162" aboveAverage="0" equalAverage="0" bottom="0" percent="0" rank="0" text="" dxfId="160">
      <formula>IF(AND($BB36&gt;$BB37,ISNUMBER($BB36),ISNUMBER($BB37)),1,0)</formula>
    </cfRule>
  </conditionalFormatting>
  <conditionalFormatting sqref="BI37">
    <cfRule type="expression" priority="163" aboveAverage="0" equalAverage="0" bottom="0" percent="0" rank="0" text="" dxfId="161">
      <formula>IF(AND($BB36&lt;$BB37,ISNUMBER($BB36),ISNUMBER($BB37)),1,0)</formula>
    </cfRule>
  </conditionalFormatting>
  <conditionalFormatting sqref="BA38">
    <cfRule type="expression" priority="164" aboveAverage="0" equalAverage="0" bottom="0" percent="0" rank="0" text="" dxfId="162">
      <formula>IF(AND($BA38&gt;$BA39,ISNUMBER($BA38),ISNUMBER($BA39)),1,0)</formula>
    </cfRule>
  </conditionalFormatting>
  <conditionalFormatting sqref="BA39">
    <cfRule type="expression" priority="165" aboveAverage="0" equalAverage="0" bottom="0" percent="0" rank="0" text="" dxfId="163">
      <formula>IF(AND($BA38&lt;$BA39,ISNUMBER($BA38),ISNUMBER($BA39)),1,0)</formula>
    </cfRule>
  </conditionalFormatting>
  <conditionalFormatting sqref="BC38">
    <cfRule type="expression" priority="166" aboveAverage="0" equalAverage="0" bottom="0" percent="0" rank="0" text="" dxfId="164">
      <formula>IF(AND($BC38&gt;$BC39,ISNUMBER($BC38),ISNUMBER($BC39)),1,0)</formula>
    </cfRule>
  </conditionalFormatting>
  <conditionalFormatting sqref="BC39">
    <cfRule type="expression" priority="167" aboveAverage="0" equalAverage="0" bottom="0" percent="0" rank="0" text="" dxfId="165">
      <formula>IF(AND($BC38&lt;$BC39,ISNUMBER($BC38),ISNUMBER($BC39)),1,0)</formula>
    </cfRule>
  </conditionalFormatting>
  <conditionalFormatting sqref="BB38">
    <cfRule type="expression" priority="168" aboveAverage="0" equalAverage="0" bottom="0" percent="0" rank="0" text="" dxfId="166">
      <formula>IF(AND($BB38&gt;$BB39,ISNUMBER($BB38),ISNUMBER($BB39)),1,0)</formula>
    </cfRule>
  </conditionalFormatting>
  <conditionalFormatting sqref="BB39">
    <cfRule type="expression" priority="169" aboveAverage="0" equalAverage="0" bottom="0" percent="0" rank="0" text="" dxfId="167">
      <formula>IF(AND($BB38&lt;$BB39,ISNUMBER($BB38),ISNUMBER($BB39)),1,0)</formula>
    </cfRule>
  </conditionalFormatting>
  <conditionalFormatting sqref="BA34">
    <cfRule type="expression" priority="170" aboveAverage="0" equalAverage="0" bottom="0" percent="0" rank="0" text="" dxfId="168">
      <formula>IF(AND($BA34&gt;$BA35,ISNUMBER($BA34),ISNUMBER($BA35)),1,0)</formula>
    </cfRule>
  </conditionalFormatting>
  <conditionalFormatting sqref="BA35">
    <cfRule type="expression" priority="171" aboveAverage="0" equalAverage="0" bottom="0" percent="0" rank="0" text="" dxfId="169">
      <formula>IF(AND($BA34&lt;$BA35,ISNUMBER($BA34),ISNUMBER($BA35)),1,0)</formula>
    </cfRule>
  </conditionalFormatting>
  <conditionalFormatting sqref="BC34">
    <cfRule type="expression" priority="172" aboveAverage="0" equalAverage="0" bottom="0" percent="0" rank="0" text="" dxfId="170">
      <formula>IF(AND($BC34&gt;$BC35,ISNUMBER($BC34),ISNUMBER($BC35)),1,0)</formula>
    </cfRule>
  </conditionalFormatting>
  <conditionalFormatting sqref="BC35">
    <cfRule type="expression" priority="173" aboveAverage="0" equalAverage="0" bottom="0" percent="0" rank="0" text="" dxfId="171">
      <formula>IF(AND($BC34&lt;$BC35,ISNUMBER($BC34),ISNUMBER($BC35)),1,0)</formula>
    </cfRule>
  </conditionalFormatting>
  <conditionalFormatting sqref="BB34">
    <cfRule type="expression" priority="174" aboveAverage="0" equalAverage="0" bottom="0" percent="0" rank="0" text="" dxfId="172">
      <formula>IF(AND($BB34&gt;$BB35,ISNUMBER($BB34),ISNUMBER($BB35)),1,0)</formula>
    </cfRule>
  </conditionalFormatting>
  <conditionalFormatting sqref="BB35">
    <cfRule type="expression" priority="175" aboveAverage="0" equalAverage="0" bottom="0" percent="0" rank="0" text="" dxfId="173">
      <formula>IF(AND($BB34&lt;$BB35,ISNUMBER($BB34),ISNUMBER($BB35)),1,0)</formula>
    </cfRule>
  </conditionalFormatting>
  <conditionalFormatting sqref="BA30">
    <cfRule type="expression" priority="176" aboveAverage="0" equalAverage="0" bottom="0" percent="0" rank="0" text="" dxfId="174">
      <formula>IF(AND($BA30&gt;$BA31,ISNUMBER($BA30),ISNUMBER($BA31)),1,0)</formula>
    </cfRule>
  </conditionalFormatting>
  <conditionalFormatting sqref="BA31">
    <cfRule type="expression" priority="177" aboveAverage="0" equalAverage="0" bottom="0" percent="0" rank="0" text="" dxfId="175">
      <formula>IF(AND($BA30&lt;$BA31,ISNUMBER($BA30),ISNUMBER($BA31)),1,0)</formula>
    </cfRule>
  </conditionalFormatting>
  <conditionalFormatting sqref="BC30">
    <cfRule type="expression" priority="178" aboveAverage="0" equalAverage="0" bottom="0" percent="0" rank="0" text="" dxfId="176">
      <formula>IF(AND($BC30&gt;$BC31,ISNUMBER($BC30),ISNUMBER($BC31)),1,0)</formula>
    </cfRule>
  </conditionalFormatting>
  <conditionalFormatting sqref="BC31">
    <cfRule type="expression" priority="179" aboveAverage="0" equalAverage="0" bottom="0" percent="0" rank="0" text="" dxfId="177">
      <formula>IF(AND($BC30&lt;$BC31,ISNUMBER($BC30),ISNUMBER($BC31)),1,0)</formula>
    </cfRule>
  </conditionalFormatting>
  <conditionalFormatting sqref="BB30">
    <cfRule type="expression" priority="180" aboveAverage="0" equalAverage="0" bottom="0" percent="0" rank="0" text="" dxfId="178">
      <formula>IF(AND($BB30&gt;$BB31,ISNUMBER($BB30),ISNUMBER($BB31)),1,0)</formula>
    </cfRule>
  </conditionalFormatting>
  <conditionalFormatting sqref="BB31">
    <cfRule type="expression" priority="181" aboveAverage="0" equalAverage="0" bottom="0" percent="0" rank="0" text="" dxfId="179">
      <formula>IF(AND($BB30&lt;$BB31,ISNUMBER($BB30),ISNUMBER($BB31)),1,0)</formula>
    </cfRule>
  </conditionalFormatting>
  <dataValidations count="4">
    <dataValidation allowBlank="true" errorStyle="stop" operator="between" showDropDown="false" showErrorMessage="true" showInputMessage="true" sqref="F7:G55" type="list">
      <formula1>"0,1,2,3,4,5,6,7,8,9"</formula1>
      <formula2>0</formula2>
    </dataValidation>
    <dataValidation allowBlank="true" errorStyle="stop" operator="between" prompt="Regular time result (90 min)" promptTitle="Match results" showDropDown="false" showErrorMessage="true" showInputMessage="true" sqref="BA10:BA11 BH12:BH13 BA14:BA15 BO16:BO17 BA18:BA19 BH20:BH21 BA22:BA23 BV23:BV24 BA26:BA27 BH28:BH29 BA30:BA31 BO32:BO33 BA34:BA35 BV35:BV36 BH36:BH37 BA38:BA39" type="list">
      <formula1>"0,1,2,3,4,5,6,7,8,9,10,11,12,13,14,15,16,17,18,19,20"</formula1>
      <formula2>0</formula2>
    </dataValidation>
    <dataValidation allowBlank="true" errorStyle="stop" operator="between" prompt="Extra-time result (+30 min)" promptTitle="Match result" showDropDown="false" showErrorMessage="true" showInputMessage="true" sqref="BB10:BB11 BI12:BI13 BB14:BB15 BP16:BP17 BB18:BB19 BI20:BI21 BB22:BB23 BW23:BW24 BB26:BB27 BI28:BI29 BB30:BB31 BP32:BP33 BB34:BB35 BW35:BW36 BI36:BI37 BB38:BB39" type="list">
      <formula1>"0,1,2,3,4,5"</formula1>
      <formula2>0</formula2>
    </dataValidation>
    <dataValidation allowBlank="true" errorStyle="stop" operator="between" prompt="Penalties" promptTitle="Match result" showDropDown="false" showErrorMessage="true" showInputMessage="true" sqref="BC10:BC11 BJ12:BJ13 BC14:BC15 BQ16:BQ17 BC18:BC19 BJ20:BJ21 BC22:BC23 BX23:BX24 BC26:BC27 BJ28:BJ29 BC30:BC31 BQ32:BQ33 BC34:BC35 BX35:BX36 BJ36:BJ37 BC38:BC39" type="list">
      <formula1>"0,1,2,3,4,5,6,7,8,9,10,11,12,13,14,15,16,17,18,19,20"</formula1>
      <formula2>0</formula2>
    </dataValidation>
  </dataValidations>
  <hyperlinks>
    <hyperlink ref="O3" location="Settings!C4" display="#Settings!C4"/>
    <hyperlink ref="J5" r:id="rId1" display="Home Page: www.excely.com"/>
    <hyperlink ref="AY41" r:id="rId2" display="World Cup 2022&#10;Interactive Schedule&#10;www.wallchart.io"/>
    <hyperlink ref="AY48" r:id="rId3" display="FIFA World Cup&#10;Historical Data&#10;1930 - 2018"/>
  </hyperlinks>
  <printOptions headings="false" gridLines="false" gridLinesSet="true" horizontalCentered="true" verticalCentered="true"/>
  <pageMargins left="0.7" right="0.7" top="0.75" bottom="0.75" header="0.511811023622047" footer="0.3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&amp;Cwww.excely.com (c) 2018</oddFooter>
  </headerFooter>
  <drawing r:id="rId4"/>
  <picture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15625" defaultRowHeight="14.25" zeroHeight="false" outlineLevelRow="0" outlineLevelCol="0"/>
  <cols>
    <col collapsed="false" customWidth="true" hidden="false" outlineLevel="0" max="1" min="1" style="0" width="64.48"/>
    <col collapsed="false" customWidth="true" hidden="false" outlineLevel="0" max="2" min="2" style="0" width="63.91"/>
  </cols>
  <sheetData>
    <row r="1" customFormat="false" ht="14.25" hidden="false" customHeight="false" outlineLevel="0" collapsed="false">
      <c r="A1" s="115" t="s">
        <v>2518</v>
      </c>
      <c r="B1" s="116" t="s">
        <v>2519</v>
      </c>
    </row>
    <row r="2" customFormat="false" ht="14.25" hidden="false" customHeight="false" outlineLevel="0" collapsed="false">
      <c r="A2" s="117" t="s">
        <v>2520</v>
      </c>
      <c r="B2" s="118" t="s">
        <v>2521</v>
      </c>
    </row>
    <row r="3" customFormat="false" ht="14.25" hidden="false" customHeight="false" outlineLevel="0" collapsed="false">
      <c r="A3" s="118" t="s">
        <v>2522</v>
      </c>
      <c r="B3" s="117" t="s">
        <v>2523</v>
      </c>
    </row>
    <row r="4" customFormat="false" ht="14.25" hidden="false" customHeight="false" outlineLevel="0" collapsed="false">
      <c r="A4" s="117" t="s">
        <v>2524</v>
      </c>
      <c r="B4" s="118" t="s">
        <v>2525</v>
      </c>
    </row>
    <row r="5" customFormat="false" ht="14.25" hidden="false" customHeight="false" outlineLevel="0" collapsed="false">
      <c r="A5" s="118" t="s">
        <v>2526</v>
      </c>
      <c r="B5" s="117" t="s">
        <v>2527</v>
      </c>
    </row>
    <row r="6" customFormat="false" ht="14.25" hidden="false" customHeight="false" outlineLevel="0" collapsed="false">
      <c r="A6" s="117" t="s">
        <v>2528</v>
      </c>
      <c r="B6" s="118" t="s">
        <v>2529</v>
      </c>
    </row>
    <row r="7" customFormat="false" ht="14.25" hidden="false" customHeight="false" outlineLevel="0" collapsed="false">
      <c r="A7" s="118" t="s">
        <v>2530</v>
      </c>
      <c r="B7" s="117" t="s">
        <v>2531</v>
      </c>
    </row>
    <row r="8" customFormat="false" ht="14.25" hidden="false" customHeight="false" outlineLevel="0" collapsed="false">
      <c r="A8" s="117" t="s">
        <v>2532</v>
      </c>
      <c r="B8" s="118" t="s">
        <v>2533</v>
      </c>
    </row>
    <row r="9" customFormat="false" ht="14.25" hidden="false" customHeight="false" outlineLevel="0" collapsed="false">
      <c r="A9" s="118" t="s">
        <v>2534</v>
      </c>
      <c r="B9" s="117" t="s">
        <v>2535</v>
      </c>
    </row>
    <row r="10" customFormat="false" ht="14.25" hidden="false" customHeight="false" outlineLevel="0" collapsed="false">
      <c r="A10" s="117" t="s">
        <v>2536</v>
      </c>
      <c r="B10" s="118" t="s">
        <v>2537</v>
      </c>
    </row>
    <row r="11" customFormat="false" ht="14.25" hidden="false" customHeight="false" outlineLevel="0" collapsed="false">
      <c r="A11" s="118" t="s">
        <v>2538</v>
      </c>
      <c r="B11" s="117" t="s">
        <v>2539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LibreOffice/7.4.2.3$MacOSX_AARCH64 LibreOffice_project/382eef1f22670f7f4118c8c2dd222ec7ad009daf</Application>
  <AppVersion>15.0000</AppVersion>
  <Company>www.excely.com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en-US</dc:language>
  <cp:lastModifiedBy/>
  <cp:lastPrinted>2018-01-03T15:36:04Z</cp:lastPrinted>
  <dcterms:modified xsi:type="dcterms:W3CDTF">2022-11-19T13:50:46Z</dcterms:modified>
  <cp:revision>1</cp:revision>
  <dc:subject/>
  <dc:title>2022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