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Desktop/"/>
    </mc:Choice>
  </mc:AlternateContent>
  <xr:revisionPtr revIDLastSave="0" documentId="8_{E1391AB2-2A36-1D4E-99BA-226AFD67EA5C}" xr6:coauthVersionLast="45" xr6:coauthVersionMax="45" xr10:uidLastSave="{00000000-0000-0000-0000-000000000000}"/>
  <bookViews>
    <workbookView xWindow="0" yWindow="500" windowWidth="28800" windowHeight="16440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J26" i="3" s="1"/>
  <c r="R37" i="3" l="1"/>
  <c r="R29" i="3"/>
  <c r="R17" i="3"/>
  <c r="R36" i="3"/>
  <c r="R28" i="3"/>
  <c r="R16" i="3"/>
  <c r="R33" i="3"/>
  <c r="R21" i="3"/>
  <c r="R13" i="3"/>
  <c r="R32" i="3"/>
  <c r="R20" i="3"/>
  <c r="R12" i="3"/>
  <c r="P50" i="3"/>
  <c r="P26" i="3"/>
  <c r="A1" i="3"/>
  <c r="BT31" i="3"/>
  <c r="N8" i="3"/>
  <c r="M38" i="3"/>
  <c r="M8" i="3"/>
  <c r="L38" i="3"/>
  <c r="N14" i="3"/>
  <c r="N20" i="3"/>
  <c r="N32" i="3"/>
  <c r="J44" i="3"/>
  <c r="BL41" i="3"/>
  <c r="O44" i="3"/>
  <c r="O50" i="3"/>
  <c r="O26" i="3"/>
  <c r="BF6" i="3"/>
  <c r="P32" i="3"/>
  <c r="AY6" i="3"/>
  <c r="O32" i="3"/>
  <c r="L8" i="3"/>
  <c r="L50" i="3"/>
  <c r="L26" i="3"/>
  <c r="M32" i="3"/>
  <c r="L32" i="3"/>
  <c r="O38" i="3"/>
  <c r="O8" i="3"/>
  <c r="N44" i="3"/>
  <c r="J20" i="3"/>
  <c r="N50" i="3"/>
  <c r="N26" i="3"/>
  <c r="M50" i="3"/>
  <c r="M26" i="3"/>
  <c r="A5" i="3"/>
  <c r="K44" i="3"/>
  <c r="O20" i="3"/>
  <c r="K26" i="3"/>
  <c r="P44" i="3"/>
  <c r="B48" i="2"/>
  <c r="B44" i="2"/>
  <c r="B40" i="2"/>
  <c r="B36" i="2"/>
  <c r="B32" i="2"/>
  <c r="B28" i="2"/>
  <c r="B24" i="2"/>
  <c r="B20" i="2"/>
  <c r="AB27" i="3"/>
  <c r="AB20" i="3"/>
  <c r="AB15" i="3"/>
  <c r="AB8" i="3"/>
  <c r="B43" i="2"/>
  <c r="B35" i="2"/>
  <c r="B27" i="2"/>
  <c r="B19" i="2"/>
  <c r="AB14" i="3"/>
  <c r="B37" i="2"/>
  <c r="B21" i="2"/>
  <c r="AB53" i="3"/>
  <c r="AB51" i="3"/>
  <c r="AB46" i="3"/>
  <c r="AB44" i="3"/>
  <c r="AB41" i="3"/>
  <c r="AB39" i="3"/>
  <c r="AB34" i="3"/>
  <c r="AB32" i="3"/>
  <c r="AB29" i="3"/>
  <c r="AB22" i="3"/>
  <c r="AB17" i="3"/>
  <c r="AB10" i="3"/>
  <c r="B47" i="2"/>
  <c r="B39" i="2"/>
  <c r="B31" i="2"/>
  <c r="B23" i="2"/>
  <c r="AB21" i="3"/>
  <c r="AB11" i="3"/>
  <c r="B45" i="2"/>
  <c r="B33" i="2"/>
  <c r="B25" i="2"/>
  <c r="B46" i="2"/>
  <c r="B42" i="2"/>
  <c r="B38" i="2"/>
  <c r="B34" i="2"/>
  <c r="B30" i="2"/>
  <c r="B26" i="2"/>
  <c r="B22" i="2"/>
  <c r="B18" i="2"/>
  <c r="AB50" i="3"/>
  <c r="AB47" i="3"/>
  <c r="AB45" i="3"/>
  <c r="AB40" i="3"/>
  <c r="AB38" i="3"/>
  <c r="AB35" i="3"/>
  <c r="AB33" i="3"/>
  <c r="AB28" i="3"/>
  <c r="AB26" i="3"/>
  <c r="AB23" i="3"/>
  <c r="AB16" i="3"/>
  <c r="AB9" i="3"/>
  <c r="B41" i="2"/>
  <c r="B29" i="2"/>
  <c r="B17" i="2"/>
  <c r="AB52" i="3"/>
  <c r="K20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8" i="3" l="1"/>
  <c r="E45" i="3"/>
  <c r="AM23" i="3"/>
  <c r="H13" i="3"/>
  <c r="E49" i="3"/>
  <c r="H16" i="3"/>
  <c r="E31" i="3"/>
  <c r="AM35" i="3"/>
  <c r="E54" i="3"/>
  <c r="E35" i="3"/>
  <c r="X35" i="3" s="1"/>
  <c r="H19" i="3"/>
  <c r="AM47" i="3"/>
  <c r="H10" i="3"/>
  <c r="E41" i="3"/>
  <c r="E23" i="3"/>
  <c r="AM17" i="3"/>
  <c r="E16" i="3"/>
  <c r="H34" i="3"/>
  <c r="AM34" i="3"/>
  <c r="H50" i="3"/>
  <c r="H53" i="3"/>
  <c r="E19" i="3"/>
  <c r="X19" i="3" s="1"/>
  <c r="AM46" i="3"/>
  <c r="H37" i="3"/>
  <c r="E30" i="3"/>
  <c r="AM20" i="3"/>
  <c r="H45" i="3"/>
  <c r="E11" i="3"/>
  <c r="E18" i="3"/>
  <c r="H47" i="3"/>
  <c r="X47" i="3" s="1"/>
  <c r="E32" i="3"/>
  <c r="AM38" i="3"/>
  <c r="E38" i="3"/>
  <c r="AM50" i="3"/>
  <c r="E21" i="3"/>
  <c r="H52" i="3"/>
  <c r="E25" i="3"/>
  <c r="E40" i="3"/>
  <c r="X40" i="3" s="1"/>
  <c r="H8" i="3"/>
  <c r="H46" i="3"/>
  <c r="AM22" i="3"/>
  <c r="E13" i="3"/>
  <c r="H30" i="3"/>
  <c r="H18" i="3"/>
  <c r="H33" i="3"/>
  <c r="AM39" i="3"/>
  <c r="E48" i="3"/>
  <c r="H21" i="3"/>
  <c r="E51" i="3"/>
  <c r="AM51" i="3"/>
  <c r="H36" i="3"/>
  <c r="E26" i="3"/>
  <c r="AM14" i="3"/>
  <c r="E9" i="3"/>
  <c r="H41" i="3"/>
  <c r="H14" i="3"/>
  <c r="H27" i="3"/>
  <c r="E43" i="3"/>
  <c r="AM27" i="3"/>
  <c r="H38" i="3"/>
  <c r="AM52" i="3"/>
  <c r="E20" i="3"/>
  <c r="X20" i="3" s="1"/>
  <c r="H51" i="3"/>
  <c r="H40" i="3"/>
  <c r="AM9" i="3"/>
  <c r="E24" i="3"/>
  <c r="E7" i="3"/>
  <c r="H29" i="3"/>
  <c r="H43" i="3"/>
  <c r="AM28" i="3"/>
  <c r="E12" i="3"/>
  <c r="H48" i="3"/>
  <c r="H32" i="3"/>
  <c r="E15" i="3"/>
  <c r="AM40" i="3"/>
  <c r="E46" i="3"/>
  <c r="H11" i="3"/>
  <c r="AM21" i="3"/>
  <c r="H28" i="3"/>
  <c r="H12" i="3"/>
  <c r="E44" i="3"/>
  <c r="E27" i="3"/>
  <c r="AM29" i="3"/>
  <c r="E33" i="3"/>
  <c r="AM41" i="3"/>
  <c r="H15" i="3"/>
  <c r="E47" i="3"/>
  <c r="AM53" i="3"/>
  <c r="H20" i="3"/>
  <c r="E52" i="3"/>
  <c r="X52" i="3" s="1"/>
  <c r="E36" i="3"/>
  <c r="AM11" i="3"/>
  <c r="E8" i="3"/>
  <c r="AM8" i="3"/>
  <c r="H39" i="3"/>
  <c r="H24" i="3"/>
  <c r="E14" i="3"/>
  <c r="AM26" i="3"/>
  <c r="H44" i="3"/>
  <c r="E29" i="3"/>
  <c r="X7" i="3"/>
  <c r="AM33" i="3"/>
  <c r="AM16" i="3"/>
  <c r="H42" i="3"/>
  <c r="H26" i="3"/>
  <c r="E10" i="3"/>
  <c r="E50" i="3"/>
  <c r="H31" i="3"/>
  <c r="H17" i="3"/>
  <c r="AM45" i="3"/>
  <c r="H22" i="3"/>
  <c r="H35" i="3"/>
  <c r="E53" i="3"/>
  <c r="H25" i="3"/>
  <c r="H7" i="3"/>
  <c r="E39" i="3"/>
  <c r="AM10" i="3"/>
  <c r="E34" i="3"/>
  <c r="X34" i="3" s="1"/>
  <c r="E17" i="3"/>
  <c r="H49" i="3"/>
  <c r="AM32" i="3"/>
  <c r="H54" i="3"/>
  <c r="E22" i="3"/>
  <c r="AM44" i="3"/>
  <c r="E37" i="3"/>
  <c r="E42" i="3"/>
  <c r="X42" i="3" s="1"/>
  <c r="H23" i="3"/>
  <c r="H9" i="3"/>
  <c r="AM15" i="3"/>
  <c r="X25" i="3"/>
  <c r="X31" i="3"/>
  <c r="X33" i="3"/>
  <c r="X51" i="3"/>
  <c r="X23" i="3"/>
  <c r="X48" i="3"/>
  <c r="X10" i="3"/>
  <c r="X21" i="3"/>
  <c r="X44" i="3"/>
  <c r="X13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F42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30" i="3" l="1"/>
  <c r="AI39" i="3"/>
  <c r="AI43" i="3" s="1"/>
  <c r="AI42" i="3" s="1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V40" i="3" l="1"/>
  <c r="W40" i="3"/>
  <c r="U39" i="3"/>
  <c r="U24" i="3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49" i="3" s="1"/>
  <c r="W39" i="3"/>
  <c r="V39" i="3"/>
  <c r="W24" i="3"/>
  <c r="V24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21" i="3" l="1"/>
  <c r="P15" i="3"/>
  <c r="P16" i="3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<sst xmlns="http://schemas.openxmlformats.org/spreadsheetml/2006/main" count="4374" uniqueCount="2540">
  <si>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</si>
  <si>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</si>
  <si>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</si>
  <si>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</si>
  <si>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</si>
  <si>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</si>
  <si>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</si>
  <si>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</si>
  <si>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</si>
  <si>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</si>
  <si>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</si>
  <si>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</si>
  <si>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</si>
  <si>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</si>
  <si>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</si>
  <si>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</si>
  <si>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</si>
  <si>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</si>
  <si>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</si>
  <si>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</si>
  <si>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</si>
  <si>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</si>
  <si>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</si>
  <si>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</si>
  <si>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</si>
  <si>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</si>
  <si>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</si>
  <si>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</si>
  <si>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</si>
  <si>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</si>
  <si>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</si>
  <si>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</si>
  <si>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</si>
  <si>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</si>
  <si>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</si>
  <si>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</si>
  <si>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</si>
  <si>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</si>
  <si>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</si>
  <si>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</si>
  <si>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</si>
  <si>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</si>
  <si>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</si>
  <si>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</si>
  <si>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</si>
  <si>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</si>
  <si>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</si>
  <si>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</si>
  <si>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</si>
  <si>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</si>
  <si>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</si>
  <si>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</si>
  <si>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</si>
  <si>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</si>
  <si>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</si>
  <si>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</si>
  <si>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</si>
  <si>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</si>
  <si>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</si>
  <si>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</si>
  <si>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</si>
  <si>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</si>
  <si>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</si>
  <si>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</si>
  <si>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</si>
  <si>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</si>
  <si>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</si>
  <si>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</si>
  <si>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</si>
  <si>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</si>
  <si>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</si>
  <si>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</si>
  <si>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</si>
  <si>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</si>
  <si>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</si>
  <si>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</si>
  <si>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</si>
  <si>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</si>
  <si>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</si>
  <si>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</si>
  <si>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</si>
  <si>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</si>
  <si>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</si>
  <si>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</si>
  <si>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</si>
  <si>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</si>
  <si>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</si>
  <si>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</si>
  <si>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</si>
  <si>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</si>
  <si>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</si>
  <si>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</si>
  <si>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</si>
  <si>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</si>
  <si>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</si>
  <si>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</si>
  <si>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</si>
  <si>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</si>
  <si>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</si>
  <si>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</si>
  <si>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</si>
  <si>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</si>
  <si>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</si>
  <si>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</si>
  <si>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</si>
  <si>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</si>
  <si>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</si>
  <si>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</si>
  <si>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</si>
  <si>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</si>
  <si>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</si>
  <si>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</si>
  <si>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</si>
  <si>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</si>
  <si>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</si>
  <si>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</si>
  <si>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</si>
  <si>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</si>
  <si>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</si>
  <si>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</si>
  <si>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</si>
  <si>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</si>
  <si>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</si>
  <si>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</si>
  <si>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</si>
  <si>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</si>
  <si>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</si>
  <si>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</si>
  <si>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</si>
  <si>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</si>
  <si>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</si>
  <si>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</si>
  <si>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</si>
  <si>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</si>
  <si>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</si>
  <si>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</si>
  <si>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</si>
  <si>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</si>
  <si>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</si>
  <si>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</si>
  <si>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</si>
  <si>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</si>
  <si>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</si>
  <si>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</si>
  <si>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</si>
  <si>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</si>
  <si>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</si>
  <si>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</si>
  <si>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</si>
  <si>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</si>
  <si>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</si>
  <si>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</si>
  <si>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</si>
  <si>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</si>
  <si>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</si>
  <si>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</si>
  <si>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</si>
  <si>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</si>
  <si>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</si>
  <si>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</si>
  <si>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</si>
  <si>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</si>
  <si>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</si>
  <si>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</si>
  <si>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</si>
  <si>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</si>
  <si>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</si>
  <si>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</si>
  <si>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</si>
  <si>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</si>
  <si>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</si>
  <si>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</si>
  <si>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</si>
  <si>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</si>
  <si>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</si>
  <si>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</si>
  <si>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</si>
  <si>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</si>
  <si>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</si>
  <si>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</si>
  <si>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</si>
  <si>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</si>
  <si>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</si>
  <si>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</si>
  <si>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</si>
  <si>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</si>
  <si>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</si>
  <si>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</si>
  <si>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</si>
  <si>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</si>
  <si>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</si>
  <si>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</si>
  <si>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</si>
  <si>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</si>
  <si>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</si>
  <si>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</si>
  <si>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</si>
  <si>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</si>
  <si>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</si>
  <si>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</si>
  <si>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</si>
  <si>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</si>
  <si>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</si>
  <si>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</si>
  <si>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</si>
  <si>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</si>
  <si>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</si>
  <si>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</si>
  <si>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</si>
  <si>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</si>
  <si>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</si>
  <si>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</si>
  <si>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</si>
  <si>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</si>
  <si>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</si>
  <si>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</si>
  <si>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</si>
  <si>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</si>
  <si>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</si>
  <si>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</si>
  <si>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</si>
  <si>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</si>
  <si>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</si>
  <si>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</si>
  <si>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</si>
  <si>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</si>
  <si>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</si>
  <si>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</si>
  <si>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</si>
  <si>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</si>
  <si>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</si>
  <si>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</si>
  <si>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</si>
  <si>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</si>
  <si>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</si>
  <si>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</si>
  <si>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</si>
  <si>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</si>
  <si>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</si>
  <si>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</si>
  <si>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</si>
  <si>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</si>
  <si>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</si>
  <si>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</si>
  <si>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</si>
  <si>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</si>
  <si>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</si>
  <si>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</si>
  <si>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</si>
  <si>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</si>
  <si>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</si>
  <si>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</si>
  <si>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</si>
  <si>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</si>
  <si>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</si>
  <si>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</si>
  <si>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</si>
  <si>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</si>
  <si>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</si>
  <si>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</si>
  <si>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</si>
  <si>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</si>
  <si>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</si>
  <si>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</si>
  <si>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</si>
  <si>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</si>
  <si>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</si>
  <si>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</si>
  <si>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</si>
  <si>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</si>
  <si>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</si>
  <si>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</si>
  <si>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</si>
  <si>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</si>
  <si>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</si>
  <si>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</si>
  <si>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</si>
  <si>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</si>
  <si>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</si>
  <si>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</si>
  <si>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</si>
  <si>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</si>
  <si>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</si>
  <si>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</si>
  <si>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</si>
  <si>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</si>
  <si>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</si>
  <si>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</si>
  <si>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</si>
  <si>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</si>
  <si>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</si>
  <si>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</si>
  <si>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</si>
  <si>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</si>
  <si>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</si>
  <si>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</si>
  <si>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</si>
  <si>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</si>
  <si>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</si>
  <si>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</si>
  <si>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</si>
  <si>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</si>
  <si>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</si>
  <si>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</si>
  <si>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</si>
  <si>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</si>
  <si>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</si>
  <si>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</si>
  <si>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</si>
  <si>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</si>
  <si>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</si>
  <si>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</si>
  <si>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</si>
  <si>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</si>
  <si>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</si>
  <si>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</si>
  <si>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</si>
  <si>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</si>
  <si>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</si>
  <si>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</si>
  <si>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</si>
  <si>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</si>
  <si>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</si>
  <si>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</si>
  <si>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</si>
  <si>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</si>
  <si>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</si>
  <si>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</si>
  <si>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</si>
  <si>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</si>
  <si>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</si>
  <si>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</si>
  <si>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</si>
  <si>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</si>
  <si>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</si>
  <si>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</si>
  <si>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</si>
  <si>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</si>
  <si>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</si>
  <si>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</si>
  <si>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</si>
  <si>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</si>
  <si>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</si>
  <si>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</si>
  <si>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</si>
  <si>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</si>
  <si>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</si>
  <si>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</si>
  <si>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</si>
  <si>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</si>
  <si>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</si>
  <si>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</si>
  <si>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</si>
  <si>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</si>
  <si>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</si>
  <si>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</si>
  <si>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</si>
  <si>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</si>
  <si>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</si>
  <si>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</si>
  <si>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</si>
  <si>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</si>
  <si>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</si>
  <si>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</si>
  <si>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</si>
  <si>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</si>
  <si>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</si>
  <si>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</si>
  <si>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</si>
  <si>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</si>
  <si>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</si>
  <si>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</si>
  <si>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</si>
  <si>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</si>
  <si>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</si>
  <si>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</si>
  <si>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</si>
  <si>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</si>
  <si>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</si>
  <si>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</si>
  <si>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</si>
  <si>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</si>
  <si>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</si>
  <si>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</si>
  <si>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</si>
  <si>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</si>
  <si>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</si>
  <si>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</si>
  <si>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</si>
  <si>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</si>
  <si>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</si>
  <si>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</si>
  <si>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</si>
  <si>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</si>
  <si>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</si>
  <si>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</si>
  <si>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</si>
  <si>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</si>
  <si>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</si>
  <si>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</si>
  <si>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</si>
  <si>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</si>
  <si>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</si>
  <si>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</si>
  <si>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</si>
  <si>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</si>
  <si>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</si>
  <si>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</si>
  <si>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</si>
  <si>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</si>
  <si>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</si>
  <si>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</si>
  <si>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</si>
  <si>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</si>
  <si>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</si>
  <si>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</si>
  <si>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</si>
  <si>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</si>
  <si>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</si>
  <si>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</si>
  <si>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</si>
  <si>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</si>
  <si>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</si>
  <si>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</si>
  <si>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</si>
  <si>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</si>
  <si>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</si>
  <si>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</si>
  <si>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</si>
  <si>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</si>
  <si>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</si>
  <si>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</si>
  <si>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</si>
  <si>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</si>
  <si>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</si>
  <si>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</si>
  <si>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</si>
  <si>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</si>
  <si>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</si>
  <si>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</si>
  <si>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</si>
  <si>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</si>
  <si>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</si>
  <si>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</si>
  <si>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</si>
  <si>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</si>
  <si>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</si>
  <si>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</si>
  <si>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</si>
  <si>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</si>
  <si>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</si>
  <si>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</si>
  <si>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</si>
  <si>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</si>
  <si>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</si>
  <si>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</si>
  <si>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</si>
  <si>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</si>
  <si>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</si>
  <si>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</si>
  <si>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</si>
  <si>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</si>
  <si>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</si>
  <si>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</si>
  <si>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</si>
  <si>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</si>
  <si>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</si>
  <si>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</si>
  <si>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</si>
  <si>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</si>
  <si>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</si>
  <si>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</si>
  <si>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</si>
  <si>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</si>
  <si>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</si>
  <si>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</si>
  <si>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</si>
  <si>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</si>
  <si>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</si>
  <si>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</si>
  <si>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</si>
  <si>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</si>
  <si>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</si>
  <si>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</si>
  <si>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</si>
  <si>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</si>
  <si>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</si>
  <si>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</si>
  <si>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</si>
  <si>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</si>
  <si>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</si>
  <si>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</si>
  <si>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</si>
  <si>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</si>
  <si>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</si>
  <si>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</si>
  <si>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</si>
  <si>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</si>
  <si>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</si>
  <si>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</si>
  <si>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</si>
  <si>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</si>
  <si>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</si>
  <si>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</si>
  <si>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</si>
  <si>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</si>
  <si>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</si>
  <si>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</si>
  <si>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</si>
  <si>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</si>
  <si>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</si>
  <si>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</si>
  <si>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</si>
  <si>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</si>
  <si>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</si>
  <si>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</si>
  <si>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</si>
  <si>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</si>
  <si>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</si>
  <si>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</si>
  <si>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</si>
  <si>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</si>
  <si>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</si>
  <si>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</si>
  <si>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</si>
  <si>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</si>
  <si>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</si>
  <si>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</si>
  <si>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</si>
  <si>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</si>
  <si>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</si>
  <si>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</si>
  <si>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</si>
  <si>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</si>
  <si>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</si>
  <si>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</si>
  <si>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</si>
  <si>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</si>
  <si>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</si>
  <si>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</si>
  <si>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</si>
  <si>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</si>
  <si>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</si>
  <si>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</si>
  <si>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</si>
  <si>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</si>
  <si>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</si>
  <si>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</si>
  <si>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</si>
  <si>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</si>
  <si>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</si>
  <si>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</si>
  <si>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</si>
  <si>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</si>
  <si>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</si>
  <si>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</si>
  <si>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</si>
  <si>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</si>
  <si>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</si>
  <si>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</si>
  <si>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</si>
  <si>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</si>
  <si>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</si>
  <si>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</si>
  <si>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</si>
  <si>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</si>
  <si>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</si>
  <si>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</si>
  <si>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</si>
  <si>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</si>
  <si>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</si>
  <si>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</si>
  <si>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</si>
  <si>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</si>
  <si>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</si>
  <si>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</si>
  <si>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</si>
  <si>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</si>
  <si>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</si>
  <si>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</si>
  <si>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</si>
  <si>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</si>
  <si>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</si>
  <si>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</si>
  <si>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</si>
  <si>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</si>
  <si>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</si>
  <si>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</si>
  <si>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</si>
  <si>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</si>
  <si>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</si>
  <si>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</si>
  <si>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</si>
  <si>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</si>
  <si>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</si>
  <si>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</si>
  <si>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</si>
  <si>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</si>
  <si>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</si>
  <si>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</si>
  <si>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</si>
  <si>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</si>
  <si>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</si>
  <si>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</si>
  <si>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</si>
  <si>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</si>
  <si>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</si>
  <si>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</si>
  <si>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</si>
  <si>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</si>
  <si>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</si>
  <si>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</si>
  <si>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</si>
  <si>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</si>
  <si>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</si>
  <si>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</si>
  <si>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</si>
  <si>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</si>
  <si>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</si>
  <si>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</si>
  <si>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</si>
  <si>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</si>
  <si>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</si>
  <si>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</si>
  <si>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</si>
  <si>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</si>
  <si>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</si>
  <si>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</si>
  <si>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</si>
  <si>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</si>
  <si>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</si>
  <si>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</si>
  <si>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</si>
  <si>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</si>
  <si>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</si>
  <si>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</si>
  <si>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</si>
  <si>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</si>
  <si>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</si>
  <si>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</si>
  <si>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</si>
  <si>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</si>
  <si>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</si>
  <si>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</si>
  <si>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</si>
  <si>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</si>
  <si>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</si>
  <si>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</si>
  <si>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</si>
  <si>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</si>
  <si>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</si>
  <si>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</si>
  <si>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</si>
  <si>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</si>
  <si>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</si>
  <si>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</si>
  <si>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</si>
  <si>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</si>
  <si>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</si>
  <si>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</si>
  <si>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</si>
  <si>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</si>
  <si>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</si>
  <si>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</si>
  <si>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</si>
  <si>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</si>
  <si>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</si>
  <si>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</si>
  <si>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</si>
  <si>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</si>
  <si>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</si>
  <si>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</si>
  <si>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</si>
  <si>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</si>
  <si>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</si>
  <si>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</si>
  <si>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</si>
  <si>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</si>
  <si>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</si>
  <si>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</si>
  <si>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</si>
  <si>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</si>
  <si>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</si>
  <si>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</si>
  <si>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</si>
  <si>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</si>
  <si>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</si>
  <si>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</si>
  <si>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</si>
  <si>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</si>
  <si>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</si>
  <si>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</si>
  <si>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</si>
  <si>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</si>
  <si>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</si>
  <si>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</si>
  <si>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</si>
  <si>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</si>
  <si>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</si>
  <si>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</si>
  <si>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</si>
  <si>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</si>
  <si>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</si>
  <si>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</si>
  <si>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</si>
  <si>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</si>
  <si>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</si>
  <si>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</si>
  <si>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</si>
  <si>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</si>
  <si>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</si>
  <si>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</si>
  <si>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</si>
  <si>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</si>
  <si>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</si>
  <si>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</si>
  <si>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</si>
  <si>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</si>
  <si>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</si>
  <si>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</si>
  <si>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</si>
  <si>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</si>
  <si>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</si>
  <si>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</si>
  <si>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</si>
  <si>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</si>
  <si>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</si>
  <si>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</si>
  <si>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</si>
  <si>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</si>
  <si>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</si>
  <si>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</si>
  <si>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</si>
  <si>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</si>
  <si>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</si>
  <si>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</si>
  <si>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</si>
  <si>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</si>
  <si>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</si>
  <si>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</si>
  <si>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</si>
  <si>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</si>
  <si>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</si>
  <si>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</si>
  <si>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</si>
  <si>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</si>
  <si>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</si>
  <si>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</si>
  <si>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</si>
  <si>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</si>
  <si>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</si>
  <si>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</si>
  <si>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</si>
  <si>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</si>
  <si>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</si>
  <si>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</si>
  <si>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</si>
  <si>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</si>
  <si>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</si>
  <si>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</si>
  <si>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</si>
  <si>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</si>
  <si>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</si>
  <si>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</si>
  <si>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</si>
  <si>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</si>
  <si>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</si>
  <si>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</si>
  <si>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</si>
  <si>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</si>
  <si>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</si>
  <si>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</si>
  <si>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</si>
  <si>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</si>
  <si>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</si>
  <si>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</si>
  <si>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</si>
  <si>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</si>
  <si>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</si>
  <si>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</si>
  <si>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</si>
  <si>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</si>
  <si>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</si>
  <si>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</si>
  <si>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</si>
  <si>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</si>
  <si>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</si>
  <si>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</si>
  <si>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</si>
  <si>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</si>
  <si>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</si>
  <si>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</si>
  <si>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</si>
  <si>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</si>
  <si>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</si>
  <si>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</si>
  <si>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</si>
  <si>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</si>
  <si>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</si>
  <si>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</si>
  <si>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</si>
  <si>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</si>
  <si>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</si>
  <si>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</si>
  <si>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</si>
  <si>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</si>
  <si>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</si>
  <si>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</si>
  <si>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</si>
  <si>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</si>
  <si>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</si>
  <si>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</si>
  <si>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</si>
  <si>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</si>
  <si>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</si>
  <si>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</si>
  <si>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</si>
  <si>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</si>
  <si>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</si>
  <si>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</si>
  <si>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</si>
  <si>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</si>
  <si>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</si>
  <si>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</si>
  <si>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</si>
  <si>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</si>
  <si>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</si>
  <si>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</si>
  <si>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</si>
  <si>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</si>
  <si>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</si>
  <si>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</si>
  <si>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</si>
  <si>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</si>
  <si>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</si>
  <si>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</si>
  <si>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</si>
  <si>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</si>
  <si>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</si>
  <si>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</si>
  <si>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</si>
  <si>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</si>
  <si>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</si>
  <si>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</si>
  <si>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</si>
  <si>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</si>
  <si>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</si>
  <si>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</si>
  <si>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</si>
  <si>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</si>
  <si>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</si>
  <si>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</si>
  <si>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</si>
  <si>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</si>
  <si>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</si>
  <si>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</si>
  <si>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</si>
  <si>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</si>
  <si>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</si>
  <si>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</si>
  <si>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</si>
  <si>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</si>
  <si>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</si>
  <si>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</si>
  <si>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</si>
  <si>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</si>
  <si>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</si>
  <si>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</si>
  <si>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</si>
  <si>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</si>
  <si>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</si>
  <si>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</si>
  <si>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</si>
  <si>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</si>
  <si>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</si>
  <si>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</si>
  <si>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</si>
  <si>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</si>
  <si>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</si>
  <si>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</si>
  <si>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</si>
  <si>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</si>
  <si>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</si>
  <si>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</si>
  <si>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</si>
  <si>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</si>
  <si>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</si>
  <si>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</si>
  <si>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</si>
  <si>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</si>
  <si>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</si>
  <si>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</si>
  <si>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</si>
  <si>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</si>
  <si>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</si>
  <si>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</si>
  <si>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</si>
  <si>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</si>
  <si>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</si>
  <si>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</si>
  <si>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</si>
  <si>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</si>
  <si>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</si>
  <si>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</si>
  <si>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</si>
  <si>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</si>
  <si>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</si>
  <si>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</si>
  <si>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</si>
  <si>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</si>
  <si>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</si>
  <si>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</si>
  <si>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</si>
  <si>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</si>
  <si>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</si>
  <si>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</si>
  <si>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</si>
  <si>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</si>
  <si>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</si>
  <si>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</si>
  <si>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</si>
  <si>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</si>
  <si>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</si>
  <si>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</si>
  <si>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</si>
  <si>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</si>
  <si>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</si>
  <si>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</si>
  <si>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</si>
  <si>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</si>
  <si>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</si>
  <si>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</si>
  <si>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</si>
  <si>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</si>
  <si>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</si>
  <si>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</si>
  <si>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</si>
  <si>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</si>
  <si>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</si>
  <si>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</si>
  <si>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</si>
  <si>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</si>
  <si>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</si>
  <si>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</si>
  <si>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</si>
  <si>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</si>
  <si>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</si>
  <si>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</si>
  <si>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</si>
  <si>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</si>
  <si>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</si>
  <si>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</si>
  <si>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</si>
  <si>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</si>
  <si>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</si>
  <si>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</si>
  <si>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</si>
  <si>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</si>
  <si>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</si>
  <si>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</si>
  <si>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</si>
  <si>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</si>
  <si>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</si>
  <si>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</si>
  <si>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</si>
  <si>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</si>
  <si>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</si>
  <si>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</si>
  <si>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</si>
  <si>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</si>
  <si>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</si>
  <si>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</si>
  <si>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</si>
  <si>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</si>
  <si>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</si>
  <si>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</si>
  <si>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</si>
  <si>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</si>
  <si>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</si>
  <si>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</si>
  <si>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</si>
  <si>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</si>
  <si>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</si>
  <si>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</si>
  <si>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</si>
  <si>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</si>
  <si>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</si>
  <si>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</si>
  <si>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</si>
  <si>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</si>
  <si>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</si>
  <si>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</si>
  <si>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</si>
  <si>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</si>
  <si>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</si>
  <si>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</si>
  <si>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</si>
  <si>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</si>
  <si>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</si>
  <si>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</si>
  <si>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</si>
  <si>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</si>
  <si>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</si>
  <si>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</si>
  <si>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</si>
  <si>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</si>
  <si>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</si>
  <si>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</si>
  <si>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</si>
  <si>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</si>
  <si>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</si>
  <si>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</si>
  <si>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</si>
  <si>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</si>
  <si>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</si>
  <si>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</si>
  <si>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</si>
  <si>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</si>
  <si>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</si>
  <si>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</si>
  <si>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</si>
  <si>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</si>
  <si>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</si>
  <si>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</si>
  <si>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</si>
  <si>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</si>
  <si>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</si>
  <si>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</si>
  <si>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</si>
  <si>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</si>
  <si>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</si>
  <si>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</si>
  <si>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</si>
  <si>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</si>
  <si>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</si>
  <si>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</si>
  <si>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</si>
  <si>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</si>
  <si>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</si>
  <si>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</si>
  <si>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</si>
  <si>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</si>
  <si>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</si>
  <si>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</si>
  <si>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</si>
  <si>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</si>
  <si>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</si>
  <si>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</si>
  <si>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</si>
  <si>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</si>
  <si>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</si>
  <si>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</si>
  <si>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</si>
  <si>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</si>
  <si>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</si>
  <si>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</si>
  <si>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</si>
  <si>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</si>
  <si>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</si>
  <si>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</si>
  <si>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</si>
  <si>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</si>
  <si>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</si>
  <si>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</si>
  <si>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</si>
  <si>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</si>
  <si>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</si>
  <si>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</si>
  <si>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</si>
  <si>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</si>
  <si>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</si>
  <si>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</si>
  <si>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</si>
  <si>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</si>
  <si>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</si>
  <si>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</si>
  <si>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</si>
  <si>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</si>
  <si>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</si>
  <si>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</si>
  <si>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</si>
  <si>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</si>
  <si>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</si>
  <si>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</si>
  <si>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</si>
  <si>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</si>
  <si>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</si>
  <si>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</si>
  <si>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</si>
  <si>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</si>
  <si>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</si>
  <si>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</si>
  <si>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</si>
  <si>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</si>
  <si>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</si>
  <si>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</si>
  <si>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</si>
  <si>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</si>
  <si>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</si>
  <si>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</si>
  <si>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</si>
  <si>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</si>
  <si>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</si>
  <si>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</si>
  <si>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</si>
  <si>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</si>
  <si>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</si>
  <si>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</si>
  <si>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</si>
  <si>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</si>
  <si>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</si>
  <si>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</si>
  <si>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</si>
  <si>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</si>
  <si>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</si>
  <si>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</si>
  <si>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</si>
  <si>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</si>
  <si>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</si>
  <si>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</si>
  <si>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</si>
  <si>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</si>
  <si>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</si>
  <si>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</si>
  <si>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</si>
  <si>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</si>
  <si>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</si>
  <si>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</si>
  <si>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</si>
  <si>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</si>
  <si>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</si>
  <si>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</si>
  <si>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</si>
  <si>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</si>
  <si>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</si>
  <si>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</si>
  <si>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</si>
  <si>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</si>
  <si>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</si>
  <si>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</si>
  <si>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</si>
  <si>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</si>
  <si>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</si>
  <si>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</si>
  <si>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</si>
  <si>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</si>
  <si>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</si>
  <si>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</si>
  <si>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</si>
  <si>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</si>
  <si>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</si>
  <si>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</si>
  <si>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</si>
  <si>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</si>
  <si>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</si>
  <si>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</si>
  <si>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</si>
  <si>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</si>
  <si>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</si>
  <si>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</si>
  <si>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</si>
  <si>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</si>
  <si>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</si>
  <si>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</si>
  <si>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</si>
  <si>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</si>
  <si>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</si>
  <si>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</si>
  <si>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</si>
  <si>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</si>
  <si>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</si>
  <si>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</si>
  <si>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</si>
  <si>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</si>
  <si>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</si>
  <si>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</si>
  <si>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</si>
  <si>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</si>
  <si>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</si>
  <si>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</si>
  <si>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</si>
  <si>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</si>
  <si>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</si>
  <si>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</si>
  <si>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</si>
  <si>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</si>
  <si>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</si>
  <si>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</si>
  <si>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</si>
  <si>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</si>
  <si>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</si>
  <si>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</si>
  <si>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</si>
  <si>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</si>
  <si>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</si>
  <si>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</si>
  <si>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</si>
  <si>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</si>
  <si>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</si>
  <si>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</si>
  <si>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</si>
  <si>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</si>
  <si>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</si>
  <si>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</si>
  <si>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</si>
  <si>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</si>
  <si>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</si>
  <si>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</si>
  <si>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</si>
  <si>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</si>
  <si>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</si>
  <si>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</si>
  <si>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</si>
  <si>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</si>
  <si>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</si>
  <si>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</si>
  <si>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</si>
  <si>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</si>
  <si>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</si>
  <si>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</si>
  <si>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</si>
  <si>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</si>
  <si>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</si>
  <si>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</si>
  <si>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</si>
  <si>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</si>
  <si>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</si>
  <si>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</si>
  <si>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</si>
  <si>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</si>
  <si>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</si>
  <si>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</si>
  <si>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</si>
  <si>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</si>
  <si>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</si>
  <si>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</si>
  <si>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</si>
  <si>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</si>
  <si>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</si>
  <si>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</si>
  <si>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</si>
  <si>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</si>
  <si>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</si>
  <si>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</si>
  <si>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</si>
  <si>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</si>
  <si>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</si>
  <si>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</si>
  <si>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</si>
  <si>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</si>
  <si>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</si>
  <si>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</si>
  <si>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</si>
  <si>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</si>
  <si>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</si>
  <si>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</si>
  <si>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</si>
  <si>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</si>
  <si>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</si>
  <si>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</si>
  <si>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</si>
  <si>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</si>
  <si>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</si>
  <si>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</si>
  <si>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</si>
  <si>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</si>
  <si>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</si>
  <si>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</si>
  <si>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</si>
  <si>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</si>
  <si>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</si>
  <si>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</si>
  <si>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</si>
  <si>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</si>
  <si>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</si>
  <si>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</si>
  <si>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</si>
  <si>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</si>
  <si>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</si>
  <si>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</si>
  <si>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</si>
  <si>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</si>
  <si>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</si>
  <si>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</si>
  <si>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</si>
  <si>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</si>
  <si>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</si>
  <si>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</si>
  <si>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</si>
  <si>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</si>
  <si>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</si>
  <si>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</si>
  <si>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</si>
  <si>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</si>
  <si>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</si>
  <si>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</si>
  <si>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</si>
  <si>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</si>
  <si>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</si>
  <si>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</si>
  <si>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</si>
  <si>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</si>
  <si>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</si>
  <si>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</si>
  <si>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</si>
  <si>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</si>
  <si>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</si>
  <si>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</si>
  <si>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</si>
  <si>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</si>
  <si>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</si>
  <si>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</si>
  <si>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</si>
  <si>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</si>
  <si>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</si>
  <si>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</si>
  <si>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</si>
  <si>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</si>
  <si>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</si>
  <si>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</si>
  <si>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</si>
  <si>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</si>
  <si>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</si>
  <si>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</si>
  <si>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</si>
  <si>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</si>
  <si>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</si>
  <si>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</si>
  <si>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</si>
  <si>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</si>
  <si>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</si>
  <si>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</si>
  <si>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</si>
  <si>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</si>
  <si>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</si>
  <si>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</si>
  <si>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</si>
  <si>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</si>
  <si>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</si>
  <si>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</si>
  <si>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</si>
  <si>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</si>
  <si>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</si>
  <si>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</si>
  <si>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</si>
  <si>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</si>
  <si>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</si>
  <si>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</si>
  <si>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</si>
  <si>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</si>
  <si>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</si>
  <si>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</si>
  <si>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</si>
  <si>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</si>
  <si>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</si>
  <si>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</si>
  <si>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</si>
  <si>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</si>
  <si>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</si>
  <si>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</si>
  <si>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</si>
  <si>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</si>
  <si>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</si>
  <si>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</si>
  <si>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</si>
  <si>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</si>
  <si>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</si>
  <si>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</si>
  <si>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</si>
  <si>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</si>
  <si>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</si>
  <si>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</si>
  <si>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</si>
  <si>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</si>
  <si>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</si>
  <si>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</si>
  <si>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</si>
  <si>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</si>
  <si>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</si>
  <si>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</si>
  <si>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</si>
  <si>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</si>
  <si>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</si>
  <si>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</si>
  <si>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</si>
  <si>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</si>
  <si>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</si>
  <si>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</si>
  <si>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</si>
  <si>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</si>
  <si>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</si>
  <si>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</si>
  <si>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</si>
  <si>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</si>
  <si>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</si>
  <si>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</si>
  <si>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</si>
  <si>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</si>
  <si>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</si>
  <si>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</si>
  <si>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</si>
  <si>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</si>
  <si>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</si>
  <si>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</si>
  <si>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</si>
  <si>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</si>
  <si>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</si>
  <si>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</si>
  <si>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</si>
  <si>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</si>
  <si>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</si>
  <si>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</si>
  <si>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</si>
  <si>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</si>
  <si>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</si>
  <si>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</si>
  <si>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</si>
  <si>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</si>
  <si>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</si>
  <si>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</si>
  <si>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</si>
  <si>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</si>
  <si>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</si>
  <si>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</si>
  <si>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</si>
  <si>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</si>
  <si>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</si>
  <si>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</si>
  <si>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</si>
  <si>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</si>
  <si>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</si>
  <si>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</si>
  <si>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</si>
  <si>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</si>
  <si>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</si>
  <si>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</si>
  <si>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</si>
  <si>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</si>
  <si>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</si>
  <si>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</si>
  <si>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</si>
  <si>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</si>
  <si>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</si>
  <si>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</si>
  <si>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</si>
  <si>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</si>
  <si>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</si>
  <si>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</si>
  <si>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</si>
  <si>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</si>
  <si>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</si>
  <si>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</si>
  <si>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</si>
  <si>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</si>
  <si>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</si>
  <si>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</si>
  <si>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</si>
  <si>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</si>
  <si>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</si>
  <si>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</si>
  <si>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</si>
  <si>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</si>
  <si>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</si>
  <si>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</si>
  <si>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</si>
  <si>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</si>
  <si>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</si>
  <si>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</si>
  <si>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</si>
  <si>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</si>
  <si>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</si>
  <si>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</si>
  <si>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</si>
  <si>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</si>
  <si>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</si>
  <si>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</si>
  <si>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</si>
  <si>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</si>
  <si>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</si>
  <si>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</si>
  <si>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</si>
  <si>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</si>
  <si>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</si>
  <si>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</si>
  <si>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</si>
  <si>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</si>
  <si>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</si>
  <si>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</si>
  <si>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</si>
  <si>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</si>
  <si>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</si>
  <si>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</si>
  <si>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</si>
  <si>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</si>
  <si>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</si>
  <si>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</si>
  <si>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</si>
  <si>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</si>
  <si>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</si>
  <si>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</si>
  <si>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</si>
  <si>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</si>
  <si>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</si>
  <si>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</si>
  <si>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</si>
  <si>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</si>
  <si>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</si>
  <si>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</si>
  <si>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</si>
  <si>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</si>
  <si>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</si>
  <si>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</si>
  <si>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</si>
  <si>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</si>
  <si>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</si>
  <si>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</si>
  <si>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</si>
  <si>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</si>
  <si>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</si>
  <si>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</si>
  <si>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</si>
  <si>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</si>
  <si>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</si>
  <si>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</si>
  <si>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</si>
  <si>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</si>
  <si>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</si>
  <si>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</si>
  <si>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</si>
  <si>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</si>
  <si>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</si>
  <si>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</si>
  <si>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</si>
  <si>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</si>
  <si>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</si>
  <si>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</si>
  <si>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</si>
  <si>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</si>
  <si>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</si>
  <si>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</si>
  <si>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</si>
  <si>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</si>
  <si>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</si>
  <si>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</si>
  <si>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</si>
  <si>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</si>
  <si>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</si>
  <si>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</si>
  <si>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</si>
  <si>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</si>
  <si>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</si>
  <si>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</si>
  <si>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</si>
  <si>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</si>
  <si>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</si>
  <si>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</si>
  <si>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</si>
  <si>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</si>
  <si>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</si>
  <si>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</si>
  <si>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</si>
  <si>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</si>
  <si>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</si>
  <si>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</si>
  <si>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</si>
  <si>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</si>
  <si>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</si>
  <si>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</si>
  <si>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</si>
  <si>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</si>
  <si>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</si>
  <si>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</si>
  <si>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</si>
  <si>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</si>
  <si>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</si>
  <si>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</si>
  <si>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</si>
  <si>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</si>
  <si>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</si>
  <si>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</si>
  <si>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</si>
  <si>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</si>
  <si>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</si>
  <si>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</si>
  <si>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</si>
  <si>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</si>
  <si>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</si>
  <si>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</si>
  <si>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</si>
  <si>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</si>
  <si>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</si>
  <si>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</si>
  <si>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</si>
  <si>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</si>
  <si>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</si>
  <si>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</si>
  <si>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</si>
  <si>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</si>
  <si>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</si>
  <si>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</si>
  <si>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</si>
  <si>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</si>
  <si>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</si>
  <si>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</si>
  <si>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</si>
  <si>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</si>
  <si>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</si>
  <si>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</si>
  <si>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</si>
  <si>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</si>
  <si>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</si>
  <si>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</si>
  <si>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</si>
  <si>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</si>
  <si>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</si>
  <si>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</si>
  <si>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</si>
  <si>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</si>
  <si>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</si>
  <si>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</si>
  <si>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</si>
  <si>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</si>
  <si>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</si>
  <si>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</si>
  <si>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</si>
  <si>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</si>
  <si>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</si>
  <si>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</si>
  <si>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</si>
  <si>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</si>
  <si>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</si>
  <si>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</si>
  <si>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</si>
  <si>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</si>
  <si>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</si>
  <si>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</si>
  <si>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</si>
  <si>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</si>
  <si>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</si>
  <si>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</si>
  <si>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</si>
  <si>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</si>
  <si>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</si>
  <si>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</si>
  <si>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</si>
  <si>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</si>
  <si>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</si>
  <si>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</si>
  <si>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</si>
  <si>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</si>
  <si>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</si>
  <si>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</si>
  <si>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</si>
  <si>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</si>
  <si>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</si>
  <si>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</si>
  <si>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</si>
  <si>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</si>
  <si>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</si>
  <si>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</si>
  <si>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</si>
  <si>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</si>
  <si>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</si>
  <si>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</si>
  <si>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</si>
  <si>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</si>
  <si>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</si>
  <si>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</si>
  <si>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</si>
  <si>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</si>
  <si>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</si>
  <si>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</si>
  <si>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</si>
  <si>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</si>
  <si>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</si>
  <si>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</si>
  <si>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</si>
  <si>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</si>
  <si>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</si>
  <si>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</si>
  <si>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</si>
  <si>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</si>
  <si>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</si>
  <si>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</si>
  <si>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</si>
  <si>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</si>
  <si>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</si>
  <si>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</si>
  <si>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</si>
  <si>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</si>
  <si>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</si>
  <si>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</si>
  <si>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</si>
  <si>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</si>
  <si>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</si>
  <si>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</si>
  <si>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</si>
  <si>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</si>
  <si>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</si>
  <si>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</si>
  <si>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</si>
  <si>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</si>
  <si>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</si>
  <si>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</si>
  <si>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</si>
  <si>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</si>
  <si>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</si>
  <si>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</si>
  <si>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</si>
  <si>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</si>
  <si>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</si>
  <si>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</si>
  <si>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</si>
  <si>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</si>
  <si>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</si>
  <si>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</si>
  <si>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</si>
  <si>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</si>
  <si>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</si>
  <si>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</si>
  <si>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</si>
  <si>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</si>
  <si>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</si>
  <si>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</si>
  <si>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</si>
  <si>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</si>
  <si>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</si>
  <si>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</si>
  <si>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</si>
  <si>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</si>
  <si>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</si>
  <si>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</si>
  <si>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</si>
  <si>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</si>
  <si>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</si>
  <si>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</si>
  <si>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</si>
  <si>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</si>
  <si>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</si>
  <si>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</si>
  <si>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</si>
  <si>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</si>
  <si>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</si>
  <si>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</si>
  <si>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</si>
  <si>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</si>
  <si>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</si>
  <si>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</si>
  <si>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</si>
  <si>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</si>
  <si>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</si>
  <si>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</si>
  <si>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</si>
  <si>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</si>
  <si>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</si>
  <si>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</si>
  <si>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</si>
  <si>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</si>
  <si>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</si>
  <si>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</si>
  <si>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</si>
  <si>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</si>
  <si>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</si>
  <si>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</si>
  <si>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</si>
  <si>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</si>
  <si>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</si>
  <si>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</si>
  <si>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</si>
  <si>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</si>
  <si>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</si>
  <si>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</si>
  <si>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</si>
  <si>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</si>
  <si>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</si>
  <si>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</si>
  <si>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</si>
  <si>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</si>
  <si>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</si>
  <si>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</si>
  <si>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</si>
  <si>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</si>
  <si>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</si>
  <si>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</si>
  <si>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</si>
  <si>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</si>
  <si>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</si>
  <si>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</si>
  <si>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</si>
  <si>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</si>
  <si>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</si>
  <si>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</si>
  <si>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</si>
  <si>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</si>
  <si>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</si>
  <si>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</si>
  <si>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</si>
  <si>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</si>
  <si>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</si>
  <si>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</si>
  <si>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</si>
  <si>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</si>
  <si>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</si>
  <si>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</si>
  <si>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</si>
  <si>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</si>
  <si>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</si>
  <si>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</si>
  <si>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</si>
  <si>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</si>
  <si>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</si>
  <si>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</si>
  <si>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</si>
  <si>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</si>
  <si>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</si>
  <si>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</si>
  <si>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</si>
  <si>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</si>
  <si>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</si>
  <si>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</si>
  <si>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</si>
  <si>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</si>
  <si>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</si>
  <si>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</si>
  <si>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</si>
  <si>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</si>
  <si>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</si>
  <si>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</si>
  <si>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</si>
  <si>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</si>
  <si>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</si>
  <si>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</si>
  <si>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</si>
  <si>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</si>
  <si>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</si>
  <si>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</si>
  <si>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</si>
  <si>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</si>
  <si>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</si>
  <si>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</si>
  <si>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</si>
  <si>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</si>
  <si>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</si>
  <si>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</si>
  <si>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</si>
  <si>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</si>
  <si>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</si>
  <si>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</si>
  <si>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</si>
  <si>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</si>
  <si>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</si>
  <si>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</si>
  <si>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</si>
  <si>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</si>
  <si>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</si>
  <si>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</si>
  <si>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</si>
  <si>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</si>
  <si>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</si>
  <si>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</si>
  <si>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</si>
  <si>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</si>
  <si>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</si>
  <si>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</si>
  <si>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</si>
  <si>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</si>
  <si>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</si>
  <si>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</si>
  <si>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</si>
  <si>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</si>
  <si>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</si>
  <si>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</si>
  <si>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</si>
  <si>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</si>
  <si>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</si>
  <si>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</si>
  <si>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</si>
  <si>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</si>
  <si>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</si>
  <si>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</si>
  <si>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</si>
  <si>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</si>
  <si>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</si>
  <si>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</si>
  <si>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</si>
  <si>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</si>
  <si>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</si>
  <si>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</si>
  <si>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</si>
  <si>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</si>
  <si>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</si>
  <si>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</si>
  <si>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</si>
  <si>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</si>
  <si>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</si>
  <si>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</si>
  <si>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</si>
  <si>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</si>
  <si>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</si>
  <si>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</si>
  <si>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</si>
  <si>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</si>
  <si>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</si>
  <si>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</si>
  <si>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</si>
  <si>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</si>
  <si>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</si>
  <si>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</si>
  <si>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</si>
  <si>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</si>
  <si>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</si>
  <si>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</si>
  <si>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</si>
  <si>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</si>
  <si>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</si>
  <si>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</si>
  <si>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</si>
  <si>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</si>
  <si>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</si>
  <si>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</si>
  <si>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</si>
  <si>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</si>
  <si>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</si>
  <si>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</si>
  <si>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</si>
  <si>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</si>
  <si>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</si>
  <si>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</si>
  <si>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</si>
  <si>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</si>
  <si>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</si>
  <si>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</si>
  <si>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</si>
  <si>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</si>
  <si>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</si>
  <si>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</si>
  <si>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</si>
  <si>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</si>
  <si>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</si>
  <si>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</si>
  <si>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</si>
  <si>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</si>
  <si>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</si>
  <si>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</si>
  <si>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</si>
  <si>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</si>
  <si>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</si>
  <si>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</si>
  <si>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</si>
  <si>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</si>
  <si>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</si>
  <si>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</si>
  <si>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</si>
  <si>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</si>
  <si>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</si>
  <si>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</si>
  <si>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</si>
  <si>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</si>
  <si>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</si>
  <si>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</si>
  <si>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</si>
  <si>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</si>
  <si>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</si>
  <si>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</si>
  <si>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</si>
  <si>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</si>
  <si>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</si>
  <si>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</si>
  <si>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</si>
  <si>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</si>
  <si>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</si>
  <si>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</si>
  <si>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</si>
  <si>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</si>
  <si>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</si>
  <si>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</si>
  <si>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</si>
  <si>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</si>
  <si>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</si>
  <si>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</si>
  <si>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</si>
  <si>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</si>
  <si>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</si>
  <si>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</si>
  <si>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</si>
  <si>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</si>
  <si>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</si>
  <si>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</si>
  <si>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</si>
  <si>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</si>
  <si>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</si>
  <si>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</si>
  <si>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</si>
  <si>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</si>
  <si>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</si>
  <si>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</si>
  <si>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</si>
  <si>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</si>
  <si>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</si>
  <si>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</si>
  <si>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</si>
  <si>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</si>
  <si>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</si>
  <si>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</si>
  <si>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</si>
  <si>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</si>
  <si>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</si>
  <si>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</si>
  <si>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</si>
  <si>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</si>
  <si>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</si>
  <si>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</si>
  <si>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</si>
  <si>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</si>
  <si>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</si>
  <si>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</si>
  <si>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</si>
  <si>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</si>
  <si>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</si>
  <si>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</si>
  <si>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</si>
  <si>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</si>
  <si>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</si>
  <si>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</si>
  <si>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</si>
  <si>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</si>
  <si>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</si>
  <si>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</si>
  <si>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</si>
  <si>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</si>
  <si>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</si>
  <si>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</si>
  <si>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</si>
  <si>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</si>
  <si>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</si>
  <si>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</si>
  <si>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</si>
  <si>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</si>
  <si>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</si>
  <si>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</si>
  <si>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</si>
  <si>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</si>
  <si>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</si>
  <si>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</si>
  <si>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</si>
  <si>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</si>
  <si>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</si>
  <si>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</si>
  <si>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</si>
  <si>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</si>
  <si>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</si>
  <si>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</si>
  <si>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</si>
  <si>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</si>
  <si>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</si>
  <si>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</si>
  <si>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</si>
  <si>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</si>
  <si>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</si>
  <si>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</si>
  <si>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</si>
  <si>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</si>
  <si>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</si>
  <si>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</si>
  <si>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</si>
  <si>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</si>
  <si>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</si>
  <si>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</si>
  <si>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</si>
  <si>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</si>
  <si>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</si>
  <si>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</si>
  <si>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</si>
  <si>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</si>
  <si>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</si>
  <si>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</si>
  <si>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</si>
  <si>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</si>
  <si>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</si>
  <si>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</si>
  <si>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</si>
  <si>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</si>
  <si>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</si>
  <si>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</si>
  <si>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</si>
  <si>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</si>
  <si>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</si>
  <si>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</si>
  <si>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</si>
  <si>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</si>
  <si>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</si>
  <si>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</si>
  <si>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</si>
  <si>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</si>
  <si>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</si>
  <si>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</si>
  <si>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</si>
  <si>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</si>
  <si>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</si>
  <si>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</si>
  <si>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</si>
  <si>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</si>
  <si>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</si>
  <si>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</si>
  <si>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</si>
  <si>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</si>
  <si>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</si>
  <si>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</si>
  <si>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</si>
  <si>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</si>
  <si>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</si>
  <si>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</si>
  <si>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</si>
  <si>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</si>
  <si>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</si>
  <si>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</si>
  <si>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</si>
  <si>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</si>
  <si>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</si>
  <si>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</si>
  <si>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</si>
  <si>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</si>
  <si>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</si>
  <si>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</si>
  <si>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</si>
  <si>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</si>
  <si>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</si>
  <si>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</si>
  <si>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</si>
  <si>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</si>
  <si>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</si>
  <si>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</si>
  <si>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</si>
  <si>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</si>
  <si>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</si>
  <si>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</si>
  <si>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</si>
  <si>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</si>
  <si>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</si>
  <si>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</si>
  <si>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</si>
  <si>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</si>
  <si>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</si>
  <si>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</si>
  <si>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</si>
  <si>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</si>
  <si>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</si>
  <si>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</si>
  <si>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</si>
  <si>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</si>
  <si>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</si>
  <si>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</si>
  <si>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</si>
  <si>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</si>
  <si>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</si>
  <si>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</si>
  <si>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</si>
  <si>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</si>
  <si>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</si>
  <si>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</si>
  <si>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</si>
  <si>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</si>
  <si>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</si>
  <si>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</si>
  <si>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</si>
  <si>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</si>
  <si>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</si>
  <si>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</si>
  <si>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</si>
  <si>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</si>
  <si>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</si>
  <si>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</si>
  <si>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</si>
  <si>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</si>
  <si>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</si>
  <si>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</si>
  <si>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</si>
  <si>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</si>
  <si>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</si>
  <si>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</si>
  <si>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</si>
  <si>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</si>
  <si>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</si>
  <si>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</si>
  <si>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</si>
  <si>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</si>
  <si>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</si>
  <si>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</si>
  <si>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</si>
  <si>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</si>
  <si>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</si>
  <si>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</si>
  <si>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</si>
  <si>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</si>
  <si>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</si>
  <si>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</si>
  <si>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</si>
  <si>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</si>
  <si>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</si>
  <si>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</si>
  <si>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</si>
  <si>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</si>
  <si>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</si>
  <si>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</si>
  <si>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</si>
  <si>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</si>
  <si>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</si>
  <si>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</si>
  <si>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</si>
  <si>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</si>
  <si>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</si>
  <si>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</si>
  <si>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</si>
  <si>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</si>
  <si>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</si>
  <si>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</si>
  <si>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</si>
  <si>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</si>
  <si>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</si>
  <si>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</si>
  <si>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</si>
  <si>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</si>
  <si>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</si>
  <si>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</si>
  <si>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</si>
  <si>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</si>
  <si>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</si>
  <si>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</si>
  <si>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</si>
  <si>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</si>
  <si>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</si>
  <si>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</si>
  <si>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</si>
  <si>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</si>
  <si>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</si>
  <si>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</si>
  <si>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</si>
  <si>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</si>
  <si>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</si>
  <si>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</si>
  <si>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</si>
  <si>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</si>
  <si>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</si>
  <si>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</si>
  <si>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</si>
  <si>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</si>
  <si>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</si>
  <si>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</si>
  <si>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</si>
  <si>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</si>
  <si>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</si>
  <si>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</si>
  <si>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</si>
  <si>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</si>
  <si>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</si>
  <si>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</si>
  <si>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</si>
  <si>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</si>
  <si>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</si>
  <si>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</si>
  <si>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</si>
  <si>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</si>
  <si>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</si>
  <si>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</si>
  <si>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</si>
  <si>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</si>
  <si>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</si>
  <si>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</si>
  <si>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</si>
  <si>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</si>
  <si>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</si>
  <si>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</si>
  <si>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</si>
  <si>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</si>
  <si>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</si>
  <si>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</si>
  <si>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</si>
  <si>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</si>
  <si>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</si>
  <si>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</si>
  <si>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</si>
  <si>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</si>
  <si>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</si>
  <si>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</si>
  <si>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</si>
  <si>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</si>
  <si>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</si>
  <si>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</si>
  <si>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</si>
  <si>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</si>
  <si>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</si>
  <si>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</si>
  <si>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</si>
  <si>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</si>
  <si>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</si>
  <si>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</si>
  <si>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</si>
  <si>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</si>
  <si>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</si>
  <si>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</si>
  <si>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</si>
  <si>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</si>
  <si>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</si>
  <si>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</si>
  <si>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</si>
  <si>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</si>
  <si>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</si>
  <si>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</si>
  <si>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</si>
  <si>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</si>
  <si>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</si>
  <si>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</si>
  <si>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</si>
  <si>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</si>
  <si>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</si>
  <si>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</si>
  <si>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</si>
  <si>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</si>
  <si>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</si>
  <si>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</si>
  <si>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</si>
  <si>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</si>
  <si>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</si>
  <si>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</si>
  <si>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</si>
  <si>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</si>
  <si>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</si>
  <si>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</si>
  <si>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</si>
  <si>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</si>
  <si>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</si>
  <si>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</si>
  <si>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</si>
  <si>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</si>
  <si>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</si>
  <si>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</si>
  <si>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</si>
  <si>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</si>
  <si>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</si>
  <si>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</si>
  <si>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</si>
  <si>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</si>
  <si>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</si>
  <si>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</si>
  <si>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</si>
  <si>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</si>
  <si>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</si>
  <si>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</si>
  <si>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</si>
  <si>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</si>
  <si>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</si>
  <si>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</si>
  <si>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</si>
  <si>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</si>
  <si>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</si>
  <si>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</si>
  <si>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</si>
  <si>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</si>
  <si>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</si>
  <si>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</si>
  <si>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</si>
  <si>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</si>
  <si>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</si>
  <si>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</si>
  <si>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</si>
  <si>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</si>
  <si>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</si>
  <si>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</si>
  <si>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</si>
  <si>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</si>
  <si>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</si>
  <si>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</si>
  <si>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</si>
  <si>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</si>
  <si>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</si>
  <si>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</si>
  <si>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</si>
  <si>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</si>
  <si>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</si>
  <si>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</si>
  <si>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</si>
  <si>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</si>
  <si>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</si>
  <si>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</si>
  <si>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</si>
  <si>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</si>
  <si>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</si>
  <si>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</si>
  <si>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</si>
  <si>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</si>
  <si>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</si>
  <si>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</si>
  <si>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</si>
  <si>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</si>
  <si>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</si>
  <si>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</si>
  <si>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</si>
  <si>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</si>
  <si>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</si>
  <si>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</si>
  <si>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</si>
  <si>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</si>
  <si>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</si>
  <si>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</si>
  <si>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</si>
  <si>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</si>
  <si>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</si>
  <si>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</si>
  <si>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</si>
  <si>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</si>
  <si>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</si>
  <si>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</si>
  <si>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</si>
  <si>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</si>
  <si>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</si>
  <si>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</si>
  <si>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</si>
  <si>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</si>
  <si>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</si>
  <si>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</si>
  <si>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</si>
  <si>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</si>
  <si>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</si>
  <si>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</si>
  <si>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</si>
  <si>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</si>
  <si>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</si>
  <si>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</si>
  <si>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</si>
  <si>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</si>
  <si>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</si>
  <si>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</si>
  <si>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</si>
  <si>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</si>
  <si>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</si>
  <si>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</si>
  <si>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</si>
  <si>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</si>
  <si>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</si>
  <si>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</si>
  <si>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</si>
  <si>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</si>
  <si>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</si>
  <si>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</si>
  <si>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</si>
  <si>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</si>
  <si>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</si>
  <si>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</si>
  <si>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</si>
  <si>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</si>
  <si>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</si>
  <si>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</si>
  <si>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</si>
  <si>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</si>
  <si>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</si>
  <si>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</si>
  <si>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</si>
  <si>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</si>
  <si>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</si>
  <si>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</si>
  <si>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</si>
  <si>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</si>
  <si>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</si>
  <si>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</si>
  <si>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</si>
  <si>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</si>
  <si>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</si>
  <si>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</si>
  <si>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</si>
  <si>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</si>
  <si>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</si>
  <si>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</si>
  <si>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</si>
  <si>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</si>
  <si>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</si>
  <si>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</si>
  <si>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</si>
  <si>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</si>
  <si>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</si>
  <si>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</si>
  <si>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</si>
  <si>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</si>
  <si>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</si>
  <si>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</si>
  <si>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</si>
  <si>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</si>
  <si>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</si>
  <si>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</si>
  <si>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</si>
  <si>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</si>
  <si>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</si>
  <si>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</si>
  <si>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</si>
  <si>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</si>
  <si>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</si>
  <si>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</si>
  <si>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</si>
  <si>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</si>
  <si>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</si>
  <si>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</si>
  <si>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</si>
  <si>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</si>
  <si>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</si>
  <si>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</si>
  <si>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</si>
  <si>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</si>
  <si>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</si>
  <si>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</si>
  <si>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</si>
  <si>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</si>
  <si>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</si>
  <si>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</si>
  <si>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</si>
  <si>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</si>
  <si>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</si>
  <si>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</si>
  <si>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</si>
  <si>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</si>
  <si>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</si>
  <si>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</si>
  <si>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</si>
  <si>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</si>
  <si>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</si>
  <si>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</si>
  <si>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</si>
  <si>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</si>
  <si>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</si>
  <si>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</si>
  <si>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</si>
  <si>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</si>
  <si>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Lautaro Martinez</t>
  </si>
  <si>
    <t>2. Ecuador</t>
  </si>
  <si>
    <t>3. Netherlands</t>
  </si>
  <si>
    <t>4. 0</t>
  </si>
  <si>
    <t>5. Neymar</t>
  </si>
  <si>
    <t>6. Brazil</t>
  </si>
  <si>
    <t>7. Saudi Arabia</t>
  </si>
  <si>
    <t>8. Senegal</t>
  </si>
  <si>
    <t>9. Messi</t>
  </si>
  <si>
    <t>10.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</si>
</sst>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6" workbookViewId="0">
      <selection activeCell="C4" sqref="C4"/>
    </sheetView>
  </sheetViews>
  <sheetFormatPr baseColWidth="10" defaultColWidth="9.1640625" defaultRowHeight="15" x14ac:dyDescent="0.2"/>
  <cols>
    <col min="1" max="1" width="1.1640625" style="10" customWidth="1"/>
    <col min="2" max="2" width="18.83203125" style="10" bestFit="1" customWidth="1"/>
    <col min="3" max="3" width="20.33203125" style="10" customWidth="1"/>
    <col min="4" max="4" width="9.1640625" style="10"/>
    <col min="5" max="5" width="1.1640625" style="10" customWidth="1"/>
    <col min="6" max="6" width="9.1640625" style="10"/>
    <col min="7" max="7" width="27.5" style="10" bestFit="1" customWidth="1"/>
    <col min="8" max="8" width="2.6640625" style="10" customWidth="1"/>
    <col min="9" max="9" width="1.1640625" style="10" customWidth="1"/>
    <col min="10" max="16384" width="9.1640625" style="10"/>
  </cols>
  <sheetData>
    <row r="1" spans="2:12" ht="7.5" customHeight="1" x14ac:dyDescent="0.2"/>
    <row r="2" spans="2:12" ht="17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7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="120" zoomScaleNormal="120" workbookViewId="0">
      <selection activeCell="BV37" sqref="BV37"/>
    </sheetView>
  </sheetViews>
  <sheetFormatPr baseColWidth="10" defaultColWidth="9.1640625" defaultRowHeight="15" x14ac:dyDescent="0.2"/>
  <cols>
    <col min="1" max="1" width="4.83203125" style="3" customWidth="1"/>
    <col min="2" max="2" width="6.1640625" style="3" customWidth="1"/>
    <col min="3" max="3" width="11.6640625" style="3" bestFit="1" customWidth="1"/>
    <col min="4" max="4" width="7.33203125" style="4" customWidth="1"/>
    <col min="5" max="5" width="22.5" style="5" customWidth="1"/>
    <col min="6" max="7" width="4.33203125" style="6" customWidth="1"/>
    <col min="8" max="8" width="22.5" style="7" customWidth="1"/>
    <col min="9" max="9" width="3.5" style="2" customWidth="1"/>
    <col min="10" max="10" width="14" style="8" customWidth="1"/>
    <col min="11" max="14" width="5.5" style="9" customWidth="1"/>
    <col min="15" max="15" width="7.6640625" style="9" customWidth="1"/>
    <col min="16" max="16" width="6.6640625" style="9" customWidth="1"/>
    <col min="17" max="17" width="3.5" style="98" customWidth="1"/>
    <col min="18" max="18" width="15.5" style="47" hidden="1" customWidth="1"/>
    <col min="19" max="20" width="16" style="88" hidden="1" customWidth="1"/>
    <col min="21" max="21" width="5" style="48" hidden="1" customWidth="1"/>
    <col min="22" max="25" width="6.1640625" style="47" hidden="1" customWidth="1"/>
    <col min="26" max="26" width="4.33203125" style="48" hidden="1" customWidth="1"/>
    <col min="27" max="27" width="5.5" style="47" hidden="1" customWidth="1"/>
    <col min="28" max="28" width="13.5" style="48" hidden="1" customWidth="1"/>
    <col min="29" max="33" width="5.5" style="47" hidden="1" customWidth="1"/>
    <col min="34" max="36" width="6" style="47" hidden="1" customWidth="1"/>
    <col min="37" max="37" width="5.5" style="47" hidden="1" customWidth="1"/>
    <col min="38" max="38" width="6" style="47" hidden="1" customWidth="1"/>
    <col min="39" max="39" width="7.1640625" style="48" hidden="1" customWidth="1"/>
    <col min="40" max="40" width="10" style="48" hidden="1" customWidth="1"/>
    <col min="41" max="41" width="15.33203125" style="48" hidden="1" customWidth="1"/>
    <col min="42" max="46" width="4.6640625" style="47" hidden="1" customWidth="1"/>
    <col min="47" max="49" width="9.1640625" style="48" hidden="1" customWidth="1"/>
    <col min="50" max="50" width="9.1640625" style="49" hidden="1" customWidth="1"/>
    <col min="51" max="51" width="3.33203125" style="2" customWidth="1"/>
    <col min="52" max="52" width="19.6640625" style="2" customWidth="1"/>
    <col min="53" max="55" width="3" style="2" customWidth="1"/>
    <col min="56" max="57" width="2" style="2" customWidth="1"/>
    <col min="58" max="58" width="3.33203125" style="2" customWidth="1"/>
    <col min="59" max="59" width="19.6640625" style="2" customWidth="1"/>
    <col min="60" max="62" width="3" style="2" customWidth="1"/>
    <col min="63" max="64" width="2" style="2" customWidth="1"/>
    <col min="65" max="65" width="3.33203125" style="2" customWidth="1"/>
    <col min="66" max="66" width="19.6640625" style="2" customWidth="1"/>
    <col min="67" max="69" width="3" style="2" customWidth="1"/>
    <col min="70" max="71" width="2" style="2" customWidth="1"/>
    <col min="72" max="72" width="3.33203125" style="2" customWidth="1"/>
    <col min="73" max="73" width="19.6640625" style="2" customWidth="1"/>
    <col min="74" max="76" width="3" style="2" customWidth="1"/>
    <col min="77" max="16384" width="9.1640625" style="2"/>
  </cols>
  <sheetData>
    <row r="1" spans="1:76" ht="47" x14ac:dyDescent="0.2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3</v>
      </c>
      <c r="AG8" s="47">
        <f>SUMIF($E$7:$E$54,$AB8,$G$7:$G$54) + SUMIF($H$7:$H$54,$AB8,$F$7:$F$54)</f>
        <v>4</v>
      </c>
      <c r="AH8" s="47">
        <f>(AF8-AG8)*100+AK8*10000+AF8</f>
        <v>29903</v>
      </c>
      <c r="AI8" s="47">
        <f>AF8-AG8</f>
        <v>-1</v>
      </c>
      <c r="AJ8" s="47">
        <f>(AI8-AI13)/AI12</f>
        <v>0.30769230769230771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368.38907046827836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2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2</v>
      </c>
      <c r="AG9" s="47">
        <f>SUMIF($E$7:$E$54,$AB9,$G$7:$G$54) + SUMIF($H$7:$H$54,$AB9,$F$7:$F$54)</f>
        <v>7</v>
      </c>
      <c r="AH9" s="47">
        <f>(AF9-AG9)*100+AK9*10000+AF9</f>
        <v>9502</v>
      </c>
      <c r="AI9" s="47">
        <f>AF9-AG9</f>
        <v>-5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113.96897446825398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3 - 4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4</v>
      </c>
      <c r="AH10" s="47">
        <f>(AF10-AG10)*100+AK10*10000+AF10</f>
        <v>39903</v>
      </c>
      <c r="AI10" s="47">
        <f>AF10-AG10</f>
        <v>-1</v>
      </c>
      <c r="AJ10" s="47">
        <f>(AI10-AI13)/AI12</f>
        <v>0.30769230769230771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479.50011599938949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1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1103.7370930662637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2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2 - 7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7</v>
      </c>
      <c r="AG12" s="47">
        <f t="shared" si="10"/>
        <v>7</v>
      </c>
      <c r="AH12" s="47">
        <f>MAX(AH8:AH11)-AH13+1</f>
        <v>81207</v>
      </c>
      <c r="AI12" s="47">
        <f>MAX(AI8:AI11)-AI13+1</f>
        <v>13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>
        <v>0</v>
      </c>
      <c r="BJ12" s="27">
        <v>4</v>
      </c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9502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0</v>
      </c>
      <c r="BI13" s="87">
        <v>0</v>
      </c>
      <c r="BJ13" s="30">
        <v>5</v>
      </c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1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5</v>
      </c>
      <c r="AH14" s="47">
        <f>(AF14-AG14)*100+AK14*10000+AF14</f>
        <v>70207</v>
      </c>
      <c r="AI14" s="47">
        <f>AF14-AG14</f>
        <v>2</v>
      </c>
      <c r="AJ14" s="47">
        <f>(AI14-AI19)/AI18</f>
        <v>0.8571428571428571</v>
      </c>
      <c r="AK14" s="47">
        <f>AC14*3+AD14</f>
        <v>7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974.71516671428571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>
        <v>3</v>
      </c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7 - 5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4</v>
      </c>
      <c r="AG15" s="47">
        <f>SUMIF($E$7:$E$54,$AB15,$G$7:$G$54) + SUMIF($H$7:$H$54,$AB15,$F$7:$F$54)</f>
        <v>8</v>
      </c>
      <c r="AH15" s="47">
        <f>(AF15-AG15)*100+AK15*10000+AF15</f>
        <v>-396</v>
      </c>
      <c r="AI15" s="47">
        <f>AF15-AG15</f>
        <v>-4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8.0007819999999992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2</v>
      </c>
      <c r="BB15" s="87">
        <v>2</v>
      </c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5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6 - 4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6</v>
      </c>
      <c r="AG16" s="47">
        <f>SUMIF($E$7:$E$54,$AB16,$G$7:$G$54) + SUMIF($H$7:$H$54,$AB16,$F$7:$F$54)</f>
        <v>4</v>
      </c>
      <c r="AH16" s="47">
        <f>(AF16-AG16)*100+AK16*10000+AF16</f>
        <v>60206</v>
      </c>
      <c r="AI16" s="47">
        <f>AF16-AG16</f>
        <v>2</v>
      </c>
      <c r="AJ16" s="47">
        <f>(AI16-AI19)/AI18</f>
        <v>0.8571428571428571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847.71510257428565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4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1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3</v>
      </c>
      <c r="AH17" s="47">
        <f>(AF17-AG17)*100+AK17*10000+AF17</f>
        <v>40003</v>
      </c>
      <c r="AI17" s="47">
        <f>AF17-AG17</f>
        <v>0</v>
      </c>
      <c r="AJ17" s="47">
        <f>(AI17-AI19)/AI18</f>
        <v>0.5714285714285714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563.14364820785715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Germany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2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4 - 8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Belgium_lose</v>
      </c>
      <c r="T18" s="88" t="str">
        <f t="shared" si="4"/>
        <v>Canada_win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-1</v>
      </c>
      <c r="AC18" s="47">
        <f t="shared" ref="AC18:AL18" si="11">MAX(AC14:AC17)-MIN(AC14:AC17)+1</f>
        <v>3</v>
      </c>
      <c r="AD18" s="47">
        <f t="shared" si="11"/>
        <v>2</v>
      </c>
      <c r="AE18" s="47">
        <f t="shared" si="11"/>
        <v>4</v>
      </c>
      <c r="AF18" s="47">
        <f t="shared" si="11"/>
        <v>5</v>
      </c>
      <c r="AG18" s="47">
        <f t="shared" si="11"/>
        <v>6</v>
      </c>
      <c r="AH18" s="47">
        <f>MAX(AH14:AH17)-AH19+1</f>
        <v>70604</v>
      </c>
      <c r="AI18" s="47">
        <f>MAX(AI14:AI17)-AI19+1</f>
        <v>7</v>
      </c>
      <c r="AK18" s="47">
        <f t="shared" si="11"/>
        <v>8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4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0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-396</v>
      </c>
      <c r="AI19" s="47">
        <f>MIN(AI14:AI17)</f>
        <v>-4</v>
      </c>
      <c r="AY19" s="125"/>
      <c r="AZ19" s="28" t="str">
        <f>AO39</f>
        <v>Canada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1</v>
      </c>
      <c r="AH20" s="47">
        <f>(AF20-AG20)*100+AK20*10000+AF20</f>
        <v>90708</v>
      </c>
      <c r="AI20" s="47">
        <f>AF20-AG20</f>
        <v>7</v>
      </c>
      <c r="AJ20" s="47">
        <f>(AI20-AI25)/AI24</f>
        <v>0.94444444444444442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1005.8738983730159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3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2</v>
      </c>
      <c r="AG21" s="47">
        <f>SUMIF($E$7:$E$54,$AB21,$G$7:$G$54) + SUMIF($H$7:$H$54,$AB21,$F$7:$F$54)</f>
        <v>12</v>
      </c>
      <c r="AH21" s="47">
        <f>(AF21-AG21)*100+AK21*10000+AF21</f>
        <v>-998</v>
      </c>
      <c r="AI21" s="47">
        <f>AF21-AG21</f>
        <v>-10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2.8578653571428574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2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6 - 3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5</v>
      </c>
      <c r="AH22" s="47">
        <f>(AF22-AG22)*100+AK22*10000+AF22</f>
        <v>30005</v>
      </c>
      <c r="AI22" s="47">
        <f>AF22-AG22</f>
        <v>0</v>
      </c>
      <c r="AJ22" s="47">
        <f>(AI22-AI25)/AI24</f>
        <v>0.55555555555555558</v>
      </c>
      <c r="AK22" s="47">
        <f>AC22*3+AD22</f>
        <v>3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362.6992421084127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5 - 5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6</v>
      </c>
      <c r="AG23" s="47">
        <f>SUMIF($E$7:$E$54,$AB23,$G$7:$G$54) + SUMIF($H$7:$H$54,$AB23,$F$7:$F$54)</f>
        <v>3</v>
      </c>
      <c r="AH23" s="47">
        <f>(AF23-AG23)*100+AK23*10000+AF23</f>
        <v>60306</v>
      </c>
      <c r="AI23" s="47">
        <f>AF23-AG23</f>
        <v>3</v>
      </c>
      <c r="AJ23" s="47">
        <f>(AI23-AI25)/AI24</f>
        <v>0.72222222222222221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680.79442279365071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Portugal</v>
      </c>
      <c r="BA23" s="85">
        <v>2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3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2 - 12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7</v>
      </c>
      <c r="AG24" s="47">
        <f t="shared" si="12"/>
        <v>12</v>
      </c>
      <c r="AH24" s="47">
        <f>MAX(AH20:AH23)-AH25+1</f>
        <v>91707</v>
      </c>
      <c r="AI24" s="47">
        <f>MAX(AI20:AI23)-AI25+1</f>
        <v>18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Spain</v>
      </c>
      <c r="BV24" s="85">
        <v>0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-998</v>
      </c>
      <c r="AI25" s="47">
        <f>MIN(AI20:AI23)</f>
        <v>-10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2</v>
      </c>
      <c r="AH26" s="47">
        <f>(AF26-AG26)*100+AK26*10000+AF26</f>
        <v>70608</v>
      </c>
      <c r="AI26" s="47">
        <f>AF26-AG26</f>
        <v>6</v>
      </c>
      <c r="AJ26" s="47">
        <f>(AI26-AI31)/AI30</f>
        <v>0.90909090909090906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1099.7988747979798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8 - 2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4</v>
      </c>
      <c r="AH27" s="47">
        <f>(AF27-AG27)*100+AK27*10000+AF27</f>
        <v>9600</v>
      </c>
      <c r="AI27" s="47">
        <f>AF27-AG27</f>
        <v>-4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142.85788472214287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4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2</v>
      </c>
      <c r="N28" s="25">
        <f>VLOOKUP(2,AA26:AK29,5,FALSE)</f>
        <v>0</v>
      </c>
      <c r="O28" s="25" t="str">
        <f>VLOOKUP(2,AA26:AK29,6,FALSE) &amp; " - " &amp; VLOOKUP(2,AA26:AK29,7,FALSE)</f>
        <v>5 - 4</v>
      </c>
      <c r="P28" s="54">
        <f>L28*3+M28</f>
        <v>5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2</v>
      </c>
      <c r="AE28" s="47">
        <f>COUNTIF($S$7:$T$54,"=" &amp; AB28 &amp; "_lose")</f>
        <v>0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4</v>
      </c>
      <c r="AH28" s="47">
        <f>(AF28-AG28)*100+AK28*10000+AF28</f>
        <v>50105</v>
      </c>
      <c r="AI28" s="47">
        <f>AF28-AG28</f>
        <v>1</v>
      </c>
      <c r="AJ28" s="47">
        <f>(AI28-AI31)/AI30</f>
        <v>0.45454545454545453</v>
      </c>
      <c r="AK28" s="47">
        <f>AC28*3+AD28</f>
        <v>5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765.2966420958154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>
        <v>2</v>
      </c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2</v>
      </c>
      <c r="N29" s="25">
        <f>VLOOKUP(3,AA26:AK29,5,FALSE)</f>
        <v>1</v>
      </c>
      <c r="O29" s="25" t="str">
        <f>VLOOKUP(3,AA26:AK29,6,FALSE) &amp; " - " &amp; VLOOKUP(3,AA26:AK29,7,FALSE)</f>
        <v>2 - 5</v>
      </c>
      <c r="P29" s="54">
        <f>L29*3+M29</f>
        <v>2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2</v>
      </c>
      <c r="AE29" s="47">
        <f>COUNTIF($S$7:$T$54,"=" &amp; AB29 &amp; "_lose")</f>
        <v>1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5</v>
      </c>
      <c r="AH29" s="47">
        <f>(AF29-AG29)*100+AK29*10000+AF29</f>
        <v>19702</v>
      </c>
      <c r="AI29" s="47">
        <f>AF29-AG29</f>
        <v>-3</v>
      </c>
      <c r="AJ29" s="47">
        <f>(AI29-AI31)/AI30</f>
        <v>9.0909090909090912E-2</v>
      </c>
      <c r="AK29" s="47">
        <f>AC29*3+AD29</f>
        <v>2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297.02816692741703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Poland</v>
      </c>
      <c r="BH29" s="85">
        <v>1</v>
      </c>
      <c r="BI29" s="87">
        <v>1</v>
      </c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0 - 4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4</v>
      </c>
      <c r="AH30" s="47">
        <f>MAX(AH26:AH29)-AH31+1</f>
        <v>61009</v>
      </c>
      <c r="AI30" s="47">
        <f>MAX(AI26:AI29)-AI31+1</f>
        <v>11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>
        <v>2</v>
      </c>
      <c r="BC30" s="27">
        <v>3</v>
      </c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9600</v>
      </c>
      <c r="AI31" s="47">
        <f>MIN(AI26:AI29)</f>
        <v>-4</v>
      </c>
      <c r="AY31" s="125"/>
      <c r="AZ31" s="28" t="str">
        <f>AO21</f>
        <v>Poland</v>
      </c>
      <c r="BA31" s="85">
        <v>2</v>
      </c>
      <c r="BB31" s="87">
        <v>2</v>
      </c>
      <c r="BC31" s="30">
        <v>4</v>
      </c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3</v>
      </c>
      <c r="AH32" s="47">
        <f>(AF32-AG32)*100+AK32*10000+AF32</f>
        <v>60407</v>
      </c>
      <c r="AI32" s="47">
        <f>AF32-AG32</f>
        <v>4</v>
      </c>
      <c r="AJ32" s="47">
        <f>(AI32-AI37)/AI36</f>
        <v>0.6470588235294118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671.70673685294116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0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0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11 - 2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Croatia_draw</v>
      </c>
      <c r="T33" s="88" t="str">
        <f t="shared" si="4"/>
        <v>Canada_draw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0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3</v>
      </c>
      <c r="AG33" s="47">
        <f>SUMIF($E$7:$E$54,$AB33,$G$7:$G$54) + SUMIF($H$7:$H$54,$AB33,$F$7:$F$54)</f>
        <v>9</v>
      </c>
      <c r="AH33" s="47">
        <f>(AF33-AG33)*100+AK33*10000+AF33</f>
        <v>-597</v>
      </c>
      <c r="AI33" s="47">
        <f>AF33-AG33</f>
        <v>-6</v>
      </c>
      <c r="AJ33" s="47">
        <f>(AI33-AI37)/AI36</f>
        <v>5.8823529411764705E-2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8.8831029711764717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Spain</v>
      </c>
      <c r="BO33" s="85">
        <v>3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7 - 3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11</v>
      </c>
      <c r="AG34" s="47">
        <f>SUMIF($E$7:$E$54,$AB34,$G$7:$G$54) + SUMIF($H$7:$H$54,$AB34,$F$7:$F$54)</f>
        <v>2</v>
      </c>
      <c r="AH34" s="47">
        <f>(AF34-AG34)*100+AK34*10000+AF34</f>
        <v>90911</v>
      </c>
      <c r="AI34" s="47">
        <f>AF34-AG34</f>
        <v>9</v>
      </c>
      <c r="AJ34" s="47">
        <f>(AI34-AI37)/AI36</f>
        <v>0.94117647058823528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1005.1184723238235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Croatia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2 - 9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9</v>
      </c>
      <c r="AH35" s="47">
        <f>(AF35-AG35)*100+AK35*10000+AF35</f>
        <v>29302</v>
      </c>
      <c r="AI35" s="47">
        <f>AF35-AG35</f>
        <v>-7</v>
      </c>
      <c r="AJ35" s="47">
        <f>(AI35-AI37)/AI36</f>
        <v>0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302.00077671999998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3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Germany</v>
      </c>
      <c r="BV35" s="84">
        <v>4</v>
      </c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3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3 - 9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10</v>
      </c>
      <c r="AG36" s="47">
        <f t="shared" si="14"/>
        <v>8</v>
      </c>
      <c r="AH36" s="47">
        <f>MAX(AH32:AH35)-AH37+1</f>
        <v>91509</v>
      </c>
      <c r="AI36" s="47">
        <f>MAX(AI32:AI35)-AI37+1</f>
        <v>17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3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England</v>
      </c>
      <c r="BV36" s="85">
        <v>0</v>
      </c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4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-597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Uruguay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3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Portugal_lose</v>
      </c>
      <c r="T38" s="88" t="str">
        <f t="shared" si="4"/>
        <v>Uruguay_win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-1</v>
      </c>
      <c r="AA38" s="47">
        <f>COUNTIF(AN38:AN41,CONCATENATE("&gt;=",AN38))</f>
        <v>3</v>
      </c>
      <c r="AB38" s="48" t="str">
        <f>VLOOKUP("Belgium",T,lang,FALSE)</f>
        <v>Belgium</v>
      </c>
      <c r="AC38" s="47">
        <f>COUNTIF($S$7:$T$54,"=" &amp; AB38 &amp; "_win")</f>
        <v>1</v>
      </c>
      <c r="AD38" s="47">
        <f>COUNTIF($S$7:$T$54,"=" &amp; AB38 &amp; "_draw")</f>
        <v>0</v>
      </c>
      <c r="AE38" s="47">
        <f>COUNTIF($S$7:$T$54,"=" &amp; AB38 &amp; "_lose")</f>
        <v>2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5</v>
      </c>
      <c r="AH38" s="47">
        <f>(AF38-AG38)*100+AK38*10000+AF38</f>
        <v>30005</v>
      </c>
      <c r="AI38" s="47">
        <f>AF38-AG38</f>
        <v>0</v>
      </c>
      <c r="AJ38" s="47">
        <f>(AI38-AI43)/AI42</f>
        <v>0.33333333333333331</v>
      </c>
      <c r="AK38" s="47">
        <f>AC38*3+AD38</f>
        <v>3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645.8342468333334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Uruguay</v>
      </c>
      <c r="BA38" s="84">
        <v>3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0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4 - 1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2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1</v>
      </c>
      <c r="AE39" s="47">
        <f>COUNTIF($S$7:$T$54,"=" &amp; AB39 &amp; "_lose")</f>
        <v>1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4</v>
      </c>
      <c r="AH39" s="47">
        <f>(AF39-AG39)*100+AK39*10000+AF39</f>
        <v>39802</v>
      </c>
      <c r="AI39" s="47">
        <f>AF39-AG39</f>
        <v>-2</v>
      </c>
      <c r="AJ39" s="47">
        <f>(AI39-AI43)/AI42</f>
        <v>0</v>
      </c>
      <c r="AK39" s="47">
        <f>AC39*3+AD39</f>
        <v>4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805.00073950000001</v>
      </c>
      <c r="AO39" s="48" t="str">
        <f>IF(SUM(AC38:AE41)=12,J40,INDEX(T,81,lang))</f>
        <v>Canada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1</v>
      </c>
      <c r="H40" s="90" t="str">
        <f>AB9</f>
        <v>Qatar</v>
      </c>
      <c r="J40" s="53" t="str">
        <f>VLOOKUP(2,AA38:AK41,2,FALSE)</f>
        <v>Canada</v>
      </c>
      <c r="K40" s="25">
        <f>L40+M40+N40</f>
        <v>3</v>
      </c>
      <c r="L40" s="25">
        <f>VLOOKUP(2,AA38:AK41,3,FALSE)</f>
        <v>1</v>
      </c>
      <c r="M40" s="25">
        <f>VLOOKUP(2,AA38:AK41,4,FALSE)</f>
        <v>1</v>
      </c>
      <c r="N40" s="25">
        <f>VLOOKUP(2,AA38:AK41,5,FALSE)</f>
        <v>1</v>
      </c>
      <c r="O40" s="25" t="str">
        <f>VLOOKUP(2,AA38:AK41,6,FALSE) &amp; " - " &amp; VLOOKUP(2,AA38:AK41,7,FALSE)</f>
        <v>2 - 4</v>
      </c>
      <c r="P40" s="54">
        <f>L40*3+M40</f>
        <v>4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4</v>
      </c>
      <c r="AG40" s="47">
        <f>SUMIF($E$7:$E$54,$AB40,$G$7:$G$54) + SUMIF($H$7:$H$54,$AB40,$F$7:$F$54)</f>
        <v>5</v>
      </c>
      <c r="AH40" s="47">
        <f>(AF40-AG40)*100+AK40*10000+AF40</f>
        <v>29904</v>
      </c>
      <c r="AI40" s="47">
        <f>AF40-AG40</f>
        <v>-1</v>
      </c>
      <c r="AJ40" s="47">
        <f>(AI40-AI43)/AI42</f>
        <v>0.16666666666666666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626.66744260666667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1</v>
      </c>
      <c r="H41" s="90" t="str">
        <f>AB14</f>
        <v>England</v>
      </c>
      <c r="J41" s="53" t="str">
        <f>VLOOKUP(3,AA38:AK41,2,FALSE)</f>
        <v>Belgium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5 - 5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1</v>
      </c>
      <c r="AH41" s="47">
        <f>(AF41-AG41)*100+AK41*10000+AF41</f>
        <v>70304</v>
      </c>
      <c r="AI41" s="47">
        <f>AF41-AG41</f>
        <v>3</v>
      </c>
      <c r="AJ41" s="47">
        <f>(AI41-AI43)/AI42</f>
        <v>0.83333333333333337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1493.3341438883333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3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1</v>
      </c>
      <c r="M42" s="56">
        <f>VLOOKUP(4,AA38:AK41,4,FALSE)</f>
        <v>0</v>
      </c>
      <c r="N42" s="56">
        <f>VLOOKUP(4,AA38:AK41,5,FALSE)</f>
        <v>2</v>
      </c>
      <c r="O42" s="56" t="str">
        <f>VLOOKUP(4,AA38:AK41,6,FALSE) &amp; " - " &amp; VLOOKUP(4,AA38:AK41,7,FALSE)</f>
        <v>4 - 5</v>
      </c>
      <c r="P42" s="57">
        <f>L42*3+M42</f>
        <v>3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2</v>
      </c>
      <c r="AD42" s="47">
        <f t="shared" si="15"/>
        <v>2</v>
      </c>
      <c r="AE42" s="47">
        <f t="shared" si="15"/>
        <v>3</v>
      </c>
      <c r="AF42" s="47">
        <f t="shared" si="15"/>
        <v>4</v>
      </c>
      <c r="AG42" s="47">
        <f t="shared" si="15"/>
        <v>5</v>
      </c>
      <c r="AH42" s="47">
        <f>MAX(AH38:AH41)-AH43+1</f>
        <v>40401</v>
      </c>
      <c r="AI42" s="47">
        <f>MAX(AI38:AI41)-AI43+1</f>
        <v>6</v>
      </c>
      <c r="AK42" s="47">
        <f t="shared" si="15"/>
        <v>5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29904</v>
      </c>
      <c r="AI43" s="47">
        <f>MIN(AI38:AI41)</f>
        <v>-2</v>
      </c>
      <c r="AY43" s="135"/>
      <c r="AZ43" s="136"/>
      <c r="BA43" s="136"/>
      <c r="BB43" s="136"/>
      <c r="BC43" s="137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2</v>
      </c>
      <c r="AH44" s="47">
        <f>(AF44-AG44)*100+AK44*10000+AF44</f>
        <v>90810</v>
      </c>
      <c r="AI44" s="47">
        <f>AF44-AG44</f>
        <v>8</v>
      </c>
      <c r="AJ44" s="47">
        <f>(AI44-AI49)/AI48</f>
        <v>0.94117647058823528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1003.2094724947326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5</v>
      </c>
      <c r="AG45" s="47">
        <f>SUMIF($E$7:$E$54,$AB45,$G$7:$G$54) + SUMIF($H$7:$H$54,$AB45,$F$7:$F$54)</f>
        <v>4</v>
      </c>
      <c r="AH45" s="47">
        <f>(AF45-AG45)*100+AK45*10000+AF45</f>
        <v>60105</v>
      </c>
      <c r="AI45" s="47">
        <f>AF45-AG45</f>
        <v>1</v>
      </c>
      <c r="AJ45" s="47">
        <f>(AI45-AI49)/AI48</f>
        <v>0.52941176470588236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657.48740478104276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4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5 - 4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0</v>
      </c>
      <c r="AE46" s="47">
        <f>COUNTIF($S$7:$T$54,"=" &amp; AB46 &amp; "_lose")</f>
        <v>3</v>
      </c>
      <c r="AF46" s="47">
        <f>SUMIF($E$7:$E$54,$AB46,$F$7:$F$54) + SUMIF($H$7:$H$54,$AB46,$G$7:$G$54)</f>
        <v>0</v>
      </c>
      <c r="AG46" s="47">
        <f>SUMIF($E$7:$E$54,$AB46,$G$7:$G$54) + SUMIF($H$7:$H$54,$AB46,$F$7:$F$54)</f>
        <v>8</v>
      </c>
      <c r="AH46" s="47">
        <f>(AF46-AG46)*100+AK46*10000+AF46</f>
        <v>-800</v>
      </c>
      <c r="AI46" s="47">
        <f>AF46-AG46</f>
        <v>-8</v>
      </c>
      <c r="AJ46" s="47">
        <f>(AI46-AI49)/AI48</f>
        <v>0</v>
      </c>
      <c r="AK46" s="47">
        <f>AC46*3+AD46</f>
        <v>0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8.1766E-4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1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2 - 3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Croatia_win</v>
      </c>
      <c r="T47" s="88" t="str">
        <f t="shared" si="4"/>
        <v>Belgium_lose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3</v>
      </c>
      <c r="AH47" s="47">
        <f>(AF47-AG47)*100+AK47*10000+AF47</f>
        <v>29902</v>
      </c>
      <c r="AI47" s="47">
        <f>AF47-AG47</f>
        <v>-1</v>
      </c>
      <c r="AJ47" s="47">
        <f>(AI47-AI49)/AI48</f>
        <v>0.41176470588235292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342.99539264641714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3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0 - 8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11</v>
      </c>
      <c r="AG48" s="47">
        <f t="shared" si="16"/>
        <v>7</v>
      </c>
      <c r="AH48" s="47">
        <f>MAX(AH44:AH47)-AH49+1</f>
        <v>91611</v>
      </c>
      <c r="AI48" s="47">
        <f>MAX(AI44:AI47)-AI49+1</f>
        <v>17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4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-800</v>
      </c>
      <c r="AI49" s="47">
        <f>MIN(AI44:AI47)</f>
        <v>-8</v>
      </c>
      <c r="AY49" s="135"/>
      <c r="AZ49" s="136"/>
      <c r="BA49" s="136"/>
      <c r="BB49" s="136"/>
      <c r="BC49" s="137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2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2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0</v>
      </c>
      <c r="AE50" s="47">
        <f>COUNTIF($S$7:$T$54,"=" &amp; AB50 &amp; "_lose")</f>
        <v>1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4</v>
      </c>
      <c r="AH50" s="47">
        <f>(AF50-AG50)*100+AK50*10000+AF50</f>
        <v>60307</v>
      </c>
      <c r="AI50" s="47">
        <f>AF50-AG50</f>
        <v>3</v>
      </c>
      <c r="AJ50" s="47">
        <f>(AI50-AI55)/AI54</f>
        <v>0.75</v>
      </c>
      <c r="AK50" s="47">
        <f>AC50*3+AD50</f>
        <v>6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682.77861516777784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8 - 3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6</v>
      </c>
      <c r="AH51" s="47">
        <f>(AF51-AG51)*100+AK51*10000+AF51</f>
        <v>-600</v>
      </c>
      <c r="AI51" s="47">
        <f>AF51-AG51</f>
        <v>-6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Portugal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4</v>
      </c>
      <c r="H52" s="90" t="str">
        <f>AB50</f>
        <v>Portugal</v>
      </c>
      <c r="J52" s="53" t="str">
        <f>VLOOKUP(2,AA50:AK53,2,FALSE)</f>
        <v>Portugal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7 - 4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3</v>
      </c>
      <c r="AD52" s="47">
        <f>COUNTIF($S$7:$T$54,"=" &amp; AB52 &amp; "_draw")</f>
        <v>0</v>
      </c>
      <c r="AE52" s="47">
        <f>COUNTIF($S$7:$T$54,"=" &amp; AB52 &amp; "_lose")</f>
        <v>0</v>
      </c>
      <c r="AF52" s="47">
        <f>SUMIF($E$7:$E$54,$AB52,$F$7:$F$54) + SUMIF($H$7:$H$54,$AB52,$G$7:$G$54)</f>
        <v>8</v>
      </c>
      <c r="AG52" s="47">
        <f>SUMIF($E$7:$E$54,$AB52,$G$7:$G$54) + SUMIF($H$7:$H$54,$AB52,$F$7:$F$54)</f>
        <v>3</v>
      </c>
      <c r="AH52" s="47">
        <f>(AF52-AG52)*100+AK52*10000+AF52</f>
        <v>90508</v>
      </c>
      <c r="AI52" s="47">
        <f>AF52-AG52</f>
        <v>5</v>
      </c>
      <c r="AJ52" s="47">
        <f>(AI52-AI55)/AI54</f>
        <v>0.91666666666666663</v>
      </c>
      <c r="AK52" s="47">
        <f>AC52*3+AD52</f>
        <v>9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1000.5563734205556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0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5 - 7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5</v>
      </c>
      <c r="AG53" s="47">
        <f>SUMIF($E$7:$E$54,$AB53,$G$7:$G$54) + SUMIF($H$7:$H$54,$AB53,$F$7:$F$54)</f>
        <v>7</v>
      </c>
      <c r="AH53" s="47">
        <f>(AF53-AG53)*100+AK53*10000+AF53</f>
        <v>29805</v>
      </c>
      <c r="AI53" s="47">
        <f>AF53-AG53</f>
        <v>-2</v>
      </c>
      <c r="AJ53" s="47">
        <f>(AI53-AI55)/AI54</f>
        <v>0.33333333333333331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338.88964865888886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9</v>
      </c>
      <c r="AG54" s="47">
        <f t="shared" si="17"/>
        <v>5</v>
      </c>
      <c r="AH54" s="47">
        <f>MAX(AH50:AH53)-AH55+1</f>
        <v>91109</v>
      </c>
      <c r="AI54" s="47">
        <f>MAX(AI50:AI53)-AI55+1</f>
        <v>12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-600</v>
      </c>
      <c r="AI55" s="47">
        <f>MIN(AI50:AI53)</f>
        <v>-6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Poland</v>
      </c>
      <c r="T61" s="88" t="str">
        <f>IF(OR(S61="",S61="draw"),INDEX(T,89,lang),S61)</f>
        <v>Poland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88" t="str">
        <f>IF(OR(S65="",S65="draw"),INDEX(T,93,lang),S65)</f>
        <v>Uruguay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88" t="str">
        <f>IF(OR(S70="",S70="draw"),INDEX(T,95,lang),S70)</f>
        <v>Germany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Germany</v>
      </c>
      <c r="Z76" s="88" t="str">
        <f>IF(OR(U76="",U76="draw"),INDEX(T,100,lang),U76)</f>
        <v>Germany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Spain</v>
      </c>
      <c r="T77" s="88" t="str">
        <f>IF(OR(S77="",S77="draw"),INDEX(T,99,lang),S77)</f>
        <v>Spain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Germany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80.33203125" customWidth="1"/>
    <col min="2" max="2" width="63.8320312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2530</v>
      </c>
    </row>
    <row r="3" spans="1:2" x14ac:dyDescent="0.2">
      <c r="A3" s="100" t="s">
        <v>2519</v>
      </c>
      <c r="B3" s="103" t="s">
        <v>2531</v>
      </c>
    </row>
    <row r="4" spans="1:2" x14ac:dyDescent="0.2">
      <c r="A4" s="103" t="s">
        <v>2520</v>
      </c>
      <c r="B4" s="100" t="s">
        <v>2532</v>
      </c>
    </row>
    <row r="5" spans="1:2" x14ac:dyDescent="0.2">
      <c r="A5" s="100" t="s">
        <v>2529</v>
      </c>
      <c r="B5" s="103" t="s">
        <v>2533</v>
      </c>
    </row>
    <row r="6" spans="1:2" x14ac:dyDescent="0.2">
      <c r="A6" s="103" t="s">
        <v>2521</v>
      </c>
      <c r="B6" s="100" t="s">
        <v>2534</v>
      </c>
    </row>
    <row r="7" spans="1:2" x14ac:dyDescent="0.2">
      <c r="A7" s="100" t="s">
        <v>2522</v>
      </c>
      <c r="B7" s="103" t="s">
        <v>2535</v>
      </c>
    </row>
    <row r="8" spans="1:2" x14ac:dyDescent="0.2">
      <c r="A8" s="103" t="s">
        <v>2523</v>
      </c>
      <c r="B8" s="100" t="s">
        <v>2536</v>
      </c>
    </row>
    <row r="9" spans="1:2" x14ac:dyDescent="0.2">
      <c r="A9" s="100" t="s">
        <v>2524</v>
      </c>
      <c r="B9" s="103" t="s">
        <v>2537</v>
      </c>
    </row>
    <row r="10" spans="1:2" x14ac:dyDescent="0.2">
      <c r="A10" s="103" t="s">
        <v>2525</v>
      </c>
      <c r="B10" s="100" t="s">
        <v>2538</v>
      </c>
    </row>
    <row r="11" spans="1:2" x14ac:dyDescent="0.2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Microsoft Office User</cp:lastModifiedBy>
  <cp:lastPrinted>2018-01-03T15:36:04Z</cp:lastPrinted>
  <dcterms:created xsi:type="dcterms:W3CDTF">2017-12-27T19:32:51Z</dcterms:created>
  <dcterms:modified xsi:type="dcterms:W3CDTF">2022-11-20T09:29:42Z</dcterms:modified>
</cp:coreProperties>
</file>