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arlk\OneDrive\Töölaud\"/>
    </mc:Choice>
  </mc:AlternateContent>
  <xr:revisionPtr revIDLastSave="0" documentId="8_{8B50A363-4255-470F-B64F-052867AD136C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35" i="3" l="1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P44" i="3" l="1"/>
  <c r="AB53" i="3"/>
  <c r="AB52" i="3"/>
  <c r="AB51" i="3"/>
  <c r="AB50" i="3"/>
  <c r="AB47" i="3"/>
  <c r="AB46" i="3"/>
  <c r="AB45" i="3"/>
  <c r="AB44" i="3"/>
  <c r="AB41" i="3"/>
  <c r="AB40" i="3"/>
  <c r="AB39" i="3"/>
  <c r="AB38" i="3"/>
  <c r="AB35" i="3"/>
  <c r="AB34" i="3"/>
  <c r="AB33" i="3"/>
  <c r="AB32" i="3"/>
  <c r="AB29" i="3"/>
  <c r="AB28" i="3"/>
  <c r="AB27" i="3"/>
  <c r="AB26" i="3"/>
  <c r="AB23" i="3"/>
  <c r="AB22" i="3"/>
  <c r="AB21" i="3"/>
  <c r="AB20" i="3"/>
  <c r="AB17" i="3"/>
  <c r="AB16" i="3"/>
  <c r="AB15" i="3"/>
  <c r="AB14" i="3"/>
  <c r="AB11" i="3"/>
  <c r="AB10" i="3"/>
  <c r="AB9" i="3"/>
  <c r="AB8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AM33" i="3" s="1"/>
  <c r="R37" i="3"/>
  <c r="R36" i="3"/>
  <c r="R33" i="3"/>
  <c r="R32" i="3"/>
  <c r="R29" i="3"/>
  <c r="R28" i="3"/>
  <c r="R21" i="3"/>
  <c r="R20" i="3"/>
  <c r="R17" i="3"/>
  <c r="R16" i="3"/>
  <c r="R13" i="3"/>
  <c r="R12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AM11" i="3" l="1"/>
  <c r="E8" i="3"/>
  <c r="AM8" i="3"/>
  <c r="H39" i="3"/>
  <c r="H24" i="3"/>
  <c r="H40" i="3"/>
  <c r="E7" i="3"/>
  <c r="AM9" i="3"/>
  <c r="E24" i="3"/>
  <c r="H25" i="3"/>
  <c r="E39" i="3"/>
  <c r="H7" i="3"/>
  <c r="AM10" i="3"/>
  <c r="E25" i="3"/>
  <c r="E40" i="3"/>
  <c r="H8" i="3"/>
  <c r="E26" i="3"/>
  <c r="E9" i="3"/>
  <c r="H41" i="3"/>
  <c r="AM14" i="3"/>
  <c r="E42" i="3"/>
  <c r="H23" i="3"/>
  <c r="H9" i="3"/>
  <c r="AM15" i="3"/>
  <c r="AM16" i="3"/>
  <c r="E10" i="3"/>
  <c r="H26" i="3"/>
  <c r="H42" i="3"/>
  <c r="H10" i="3"/>
  <c r="E23" i="3"/>
  <c r="AM17" i="3"/>
  <c r="E41" i="3"/>
  <c r="E30" i="3"/>
  <c r="AM20" i="3"/>
  <c r="E11" i="3"/>
  <c r="H45" i="3"/>
  <c r="E46" i="3"/>
  <c r="H11" i="3"/>
  <c r="H28" i="3"/>
  <c r="AM21" i="3"/>
  <c r="H46" i="3"/>
  <c r="E13" i="3"/>
  <c r="AM22" i="3"/>
  <c r="H30" i="3"/>
  <c r="AM23" i="3"/>
  <c r="E28" i="3"/>
  <c r="E45" i="3"/>
  <c r="H13" i="3"/>
  <c r="E14" i="3"/>
  <c r="H44" i="3"/>
  <c r="E29" i="3"/>
  <c r="AM26" i="3"/>
  <c r="H14" i="3"/>
  <c r="E43" i="3"/>
  <c r="H27" i="3"/>
  <c r="AM27" i="3"/>
  <c r="H29" i="3"/>
  <c r="AM28" i="3"/>
  <c r="H43" i="3"/>
  <c r="E12" i="3"/>
  <c r="H12" i="3"/>
  <c r="E27" i="3"/>
  <c r="E44" i="3"/>
  <c r="AM29" i="3"/>
  <c r="E34" i="3"/>
  <c r="E17" i="3"/>
  <c r="H49" i="3"/>
  <c r="AM32" i="3"/>
  <c r="E50" i="3"/>
  <c r="H31" i="3"/>
  <c r="H17" i="3"/>
  <c r="E16" i="3"/>
  <c r="AM34" i="3"/>
  <c r="H34" i="3"/>
  <c r="H50" i="3"/>
  <c r="E49" i="3"/>
  <c r="E31" i="3"/>
  <c r="AM35" i="3"/>
  <c r="H16" i="3"/>
  <c r="E18" i="3"/>
  <c r="H47" i="3"/>
  <c r="E32" i="3"/>
  <c r="AM38" i="3"/>
  <c r="H18" i="3"/>
  <c r="E48" i="3"/>
  <c r="H33" i="3"/>
  <c r="AM39" i="3"/>
  <c r="H48" i="3"/>
  <c r="AM40" i="3"/>
  <c r="E15" i="3"/>
  <c r="H32" i="3"/>
  <c r="E33" i="3"/>
  <c r="E47" i="3"/>
  <c r="H15" i="3"/>
  <c r="AM41" i="3"/>
  <c r="H54" i="3"/>
  <c r="E37" i="3"/>
  <c r="E22" i="3"/>
  <c r="AM44" i="3"/>
  <c r="AM45" i="3"/>
  <c r="H35" i="3"/>
  <c r="E53" i="3"/>
  <c r="H22" i="3"/>
  <c r="H53" i="3"/>
  <c r="E19" i="3"/>
  <c r="AM46" i="3"/>
  <c r="H37" i="3"/>
  <c r="E54" i="3"/>
  <c r="E35" i="3"/>
  <c r="H19" i="3"/>
  <c r="AM47" i="3"/>
  <c r="E38" i="3"/>
  <c r="H52" i="3"/>
  <c r="E21" i="3"/>
  <c r="AM50" i="3"/>
  <c r="H21" i="3"/>
  <c r="E51" i="3"/>
  <c r="H36" i="3"/>
  <c r="AM51" i="3"/>
  <c r="H38" i="3"/>
  <c r="AM52" i="3"/>
  <c r="H51" i="3"/>
  <c r="E20" i="3"/>
  <c r="AM53" i="3"/>
  <c r="E36" i="3"/>
  <c r="E52" i="3"/>
  <c r="H20" i="3"/>
  <c r="X25" i="3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F28" i="3"/>
  <c r="AI28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K34" i="3" s="1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K22" i="3" s="1"/>
  <c r="AH22" i="3" s="1"/>
  <c r="AE53" i="3"/>
  <c r="AE27" i="3"/>
  <c r="AE23" i="3"/>
  <c r="AE35" i="3"/>
  <c r="AE41" i="3"/>
  <c r="AD40" i="3"/>
  <c r="AE29" i="3"/>
  <c r="AK39" i="3" l="1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H35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W40" i="3" l="1"/>
  <c r="V40" i="3"/>
  <c r="U39" i="3"/>
  <c r="U24" i="3"/>
  <c r="AH13" i="3"/>
  <c r="AH12" i="3" s="1"/>
  <c r="U8" i="3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W39" i="3"/>
  <c r="V39" i="3"/>
  <c r="W24" i="3"/>
  <c r="V24" i="3"/>
  <c r="W8" i="3"/>
  <c r="V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 s="1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 l="1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J39" i="3" s="1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N33" i="3" l="1"/>
  <c r="L15" i="3"/>
  <c r="M15" i="3"/>
  <c r="P15" i="3" s="1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P16" i="3" s="1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K15" i="3"/>
  <c r="N51" i="3"/>
  <c r="O54" i="3"/>
  <c r="M21" i="3"/>
  <c r="P21" i="3" s="1"/>
  <c r="O12" i="3"/>
  <c r="M54" i="3"/>
  <c r="N23" i="3"/>
  <c r="J22" i="3"/>
  <c r="N22" i="3"/>
  <c r="L54" i="3"/>
  <c r="O23" i="3"/>
  <c r="N54" i="3"/>
  <c r="BG20" i="3"/>
  <c r="N52" i="3"/>
  <c r="O53" i="3"/>
  <c r="J52" i="3"/>
  <c r="M52" i="3"/>
  <c r="AO21" i="3"/>
  <c r="AZ31" i="3" s="1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18" i="3" l="1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<sst xmlns="http://schemas.openxmlformats.org/spreadsheetml/2006/main" count="4374" uniqueCount="2540">
  <si>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</si>
  <si>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</si>
  <si>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</si>
  <si>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</si>
  <si>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</si>
  <si>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</si>
  <si>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</si>
  <si>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</si>
  <si>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</si>
  <si>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</si>
  <si>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</si>
  <si>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</si>
  <si>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</si>
  <si>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</si>
  <si>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</si>
  <si>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</si>
  <si>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</si>
  <si>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</si>
  <si>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</si>
  <si>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</si>
  <si>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</si>
  <si>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</si>
  <si>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</si>
  <si>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</si>
  <si>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</si>
  <si>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</si>
  <si>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</si>
  <si>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</si>
  <si>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</si>
  <si>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</si>
  <si>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</si>
  <si>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</si>
  <si>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</si>
  <si>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</si>
  <si>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</si>
  <si>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</si>
  <si>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</si>
  <si>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</si>
  <si>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</si>
  <si>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</si>
  <si>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</si>
  <si>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</si>
  <si>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</si>
  <si>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</si>
  <si>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</si>
  <si>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</si>
  <si>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</si>
  <si>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</si>
  <si>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</si>
  <si>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</si>
  <si>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</si>
  <si>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</si>
  <si>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</si>
  <si>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</si>
  <si>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</si>
  <si>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</si>
  <si>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</si>
  <si>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</si>
  <si>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</si>
  <si>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</si>
  <si>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</si>
  <si>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</si>
  <si>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</si>
  <si>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</si>
  <si>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</si>
  <si>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</si>
  <si>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</si>
  <si>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</si>
  <si>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</si>
  <si>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</si>
  <si>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</si>
  <si>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</si>
  <si>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</si>
  <si>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</si>
  <si>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</si>
  <si>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</si>
  <si>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</si>
  <si>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</si>
  <si>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</si>
  <si>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</si>
  <si>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</si>
  <si>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</si>
  <si>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</si>
  <si>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</si>
  <si>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</si>
  <si>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</si>
  <si>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</si>
  <si>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</si>
  <si>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</si>
  <si>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</si>
  <si>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</si>
  <si>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</si>
  <si>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</si>
  <si>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</si>
  <si>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</si>
  <si>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</si>
  <si>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</si>
  <si>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</si>
  <si>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</si>
  <si>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</si>
  <si>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</si>
  <si>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</si>
  <si>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</si>
  <si>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</si>
  <si>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</si>
  <si>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</si>
  <si>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</si>
  <si>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</si>
  <si>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</si>
  <si>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</si>
  <si>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</si>
  <si>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</si>
  <si>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</si>
  <si>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</si>
  <si>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</si>
  <si>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</si>
  <si>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</si>
  <si>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</si>
  <si>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</si>
  <si>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</si>
  <si>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</si>
  <si>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</si>
  <si>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</si>
  <si>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</si>
  <si>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</si>
  <si>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</si>
  <si>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</si>
  <si>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</si>
  <si>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</si>
  <si>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</si>
  <si>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</si>
  <si>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</si>
  <si>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</si>
  <si>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</si>
  <si>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</si>
  <si>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</si>
  <si>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</si>
  <si>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</si>
  <si>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</si>
  <si>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</si>
  <si>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</si>
  <si>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</si>
  <si>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</si>
  <si>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</si>
  <si>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</si>
  <si>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</si>
  <si>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</si>
  <si>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</si>
  <si>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</si>
  <si>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</si>
  <si>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</si>
  <si>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</si>
  <si>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</si>
  <si>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</si>
  <si>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</si>
  <si>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</si>
  <si>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</si>
  <si>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</si>
  <si>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</si>
  <si>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</si>
  <si>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</si>
  <si>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</si>
  <si>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</si>
  <si>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</si>
  <si>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</si>
  <si>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</si>
  <si>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</si>
  <si>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</si>
  <si>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</si>
  <si>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</si>
  <si>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</si>
  <si>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</si>
  <si>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</si>
  <si>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</si>
  <si>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</si>
  <si>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</si>
  <si>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</si>
  <si>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</si>
  <si>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</si>
  <si>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</si>
  <si>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</si>
  <si>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</si>
  <si>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</si>
  <si>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</si>
  <si>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</si>
  <si>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</si>
  <si>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</si>
  <si>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</si>
  <si>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</si>
  <si>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</si>
  <si>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</si>
  <si>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</si>
  <si>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</si>
  <si>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</si>
  <si>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</si>
  <si>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</si>
  <si>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</si>
  <si>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</si>
  <si>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</si>
  <si>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</si>
  <si>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</si>
  <si>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</si>
  <si>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</si>
  <si>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</si>
  <si>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</si>
  <si>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</si>
  <si>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</si>
  <si>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</si>
  <si>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</si>
  <si>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</si>
  <si>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</si>
  <si>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</si>
  <si>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</si>
  <si>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</si>
  <si>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</si>
  <si>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</si>
  <si>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</si>
  <si>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</si>
  <si>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</si>
  <si>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</si>
  <si>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</si>
  <si>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</si>
  <si>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</si>
  <si>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</si>
  <si>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</si>
  <si>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</si>
  <si>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</si>
  <si>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</si>
  <si>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</si>
  <si>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</si>
  <si>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</si>
  <si>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</si>
  <si>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</si>
  <si>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</si>
  <si>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</si>
  <si>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</si>
  <si>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</si>
  <si>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</si>
  <si>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</si>
  <si>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</si>
  <si>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</si>
  <si>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</si>
  <si>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</si>
  <si>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</si>
  <si>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</si>
  <si>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</si>
  <si>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</si>
  <si>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</si>
  <si>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</si>
  <si>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</si>
  <si>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</si>
  <si>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</si>
  <si>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</si>
  <si>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</si>
  <si>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</si>
  <si>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</si>
  <si>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</si>
  <si>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</si>
  <si>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</si>
  <si>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</si>
  <si>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</si>
  <si>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</si>
  <si>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</si>
  <si>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</si>
  <si>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</si>
  <si>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</si>
  <si>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</si>
  <si>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</si>
  <si>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</si>
  <si>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</si>
  <si>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</si>
  <si>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</si>
  <si>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</si>
  <si>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</si>
  <si>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</si>
  <si>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</si>
  <si>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</si>
  <si>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</si>
  <si>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</si>
  <si>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</si>
  <si>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</si>
  <si>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</si>
  <si>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</si>
  <si>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</si>
  <si>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</si>
  <si>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</si>
  <si>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</si>
  <si>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</si>
  <si>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</si>
  <si>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</si>
  <si>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</si>
  <si>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</si>
  <si>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</si>
  <si>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</si>
  <si>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</si>
  <si>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</si>
  <si>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</si>
  <si>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</si>
  <si>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</si>
  <si>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</si>
  <si>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</si>
  <si>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</si>
  <si>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</si>
  <si>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</si>
  <si>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</si>
  <si>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</si>
  <si>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</si>
  <si>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</si>
  <si>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</si>
  <si>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</si>
  <si>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</si>
  <si>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</si>
  <si>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</si>
  <si>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</si>
  <si>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</si>
  <si>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</si>
  <si>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</si>
  <si>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</si>
  <si>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</si>
  <si>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</si>
  <si>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</si>
  <si>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</si>
  <si>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</si>
  <si>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</si>
  <si>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</si>
  <si>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</si>
  <si>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</si>
  <si>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</si>
  <si>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</si>
  <si>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</si>
  <si>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</si>
  <si>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</si>
  <si>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</si>
  <si>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</si>
  <si>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</si>
  <si>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</si>
  <si>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</si>
  <si>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</si>
  <si>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</si>
  <si>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</si>
  <si>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</si>
  <si>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</si>
  <si>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</si>
  <si>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</si>
  <si>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</si>
  <si>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</si>
  <si>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</si>
  <si>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</si>
  <si>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</si>
  <si>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</si>
  <si>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</si>
  <si>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</si>
  <si>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</si>
  <si>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</si>
  <si>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</si>
  <si>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</si>
  <si>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</si>
  <si>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</si>
  <si>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</si>
  <si>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</si>
  <si>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</si>
  <si>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</si>
  <si>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</si>
  <si>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</si>
  <si>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</si>
  <si>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</si>
  <si>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</si>
  <si>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</si>
  <si>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</si>
  <si>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</si>
  <si>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</si>
  <si>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</si>
  <si>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</si>
  <si>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</si>
  <si>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</si>
  <si>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</si>
  <si>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</si>
  <si>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</si>
  <si>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</si>
  <si>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</si>
  <si>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</si>
  <si>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</si>
  <si>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</si>
  <si>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</si>
  <si>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</si>
  <si>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</si>
  <si>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</si>
  <si>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</si>
  <si>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</si>
  <si>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</si>
  <si>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</si>
  <si>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</si>
  <si>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</si>
  <si>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</si>
  <si>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</si>
  <si>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</si>
  <si>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</si>
  <si>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</si>
  <si>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</si>
  <si>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</si>
  <si>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</si>
  <si>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</si>
  <si>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</si>
  <si>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</si>
  <si>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</si>
  <si>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</si>
  <si>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</si>
  <si>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</si>
  <si>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</si>
  <si>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</si>
  <si>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</si>
  <si>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</si>
  <si>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</si>
  <si>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</si>
  <si>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</si>
  <si>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</si>
  <si>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</si>
  <si>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</si>
  <si>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</si>
  <si>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</si>
  <si>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</si>
  <si>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</si>
  <si>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</si>
  <si>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</si>
  <si>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</si>
  <si>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</si>
  <si>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</si>
  <si>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</si>
  <si>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</si>
  <si>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</si>
  <si>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</si>
  <si>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</si>
  <si>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</si>
  <si>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</si>
  <si>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</si>
  <si>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</si>
  <si>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</si>
  <si>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</si>
  <si>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</si>
  <si>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</si>
  <si>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</si>
  <si>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</si>
  <si>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</si>
  <si>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</si>
  <si>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</si>
  <si>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</si>
  <si>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</si>
  <si>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</si>
  <si>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</si>
  <si>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</si>
  <si>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</si>
  <si>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</si>
  <si>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</si>
  <si>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</si>
  <si>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</si>
  <si>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</si>
  <si>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</si>
  <si>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</si>
  <si>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</si>
  <si>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</si>
  <si>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</si>
  <si>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</si>
  <si>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</si>
  <si>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</si>
  <si>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</si>
  <si>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</si>
  <si>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</si>
  <si>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</si>
  <si>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</si>
  <si>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</si>
  <si>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</si>
  <si>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</si>
  <si>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</si>
  <si>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</si>
  <si>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</si>
  <si>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</si>
  <si>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</si>
  <si>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</si>
  <si>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</si>
  <si>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</si>
  <si>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</si>
  <si>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</si>
  <si>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</si>
  <si>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</si>
  <si>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</si>
  <si>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</si>
  <si>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</si>
  <si>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</si>
  <si>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</si>
  <si>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</si>
  <si>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</si>
  <si>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</si>
  <si>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</si>
  <si>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</si>
  <si>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</si>
  <si>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</si>
  <si>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</si>
  <si>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</si>
  <si>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</si>
  <si>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</si>
  <si>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</si>
  <si>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</si>
  <si>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</si>
  <si>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</si>
  <si>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</si>
  <si>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</si>
  <si>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</si>
  <si>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</si>
  <si>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</si>
  <si>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</si>
  <si>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</si>
  <si>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</si>
  <si>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</si>
  <si>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</si>
  <si>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</si>
  <si>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</si>
  <si>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</si>
  <si>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</si>
  <si>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</si>
  <si>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</si>
  <si>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</si>
  <si>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</si>
  <si>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</si>
  <si>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</si>
  <si>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</si>
  <si>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</si>
  <si>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</si>
  <si>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</si>
  <si>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</si>
  <si>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</si>
  <si>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</si>
  <si>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</si>
  <si>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</si>
  <si>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</si>
  <si>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</si>
  <si>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</si>
  <si>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</si>
  <si>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</si>
  <si>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</si>
  <si>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</si>
  <si>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</si>
  <si>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</si>
  <si>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</si>
  <si>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</si>
  <si>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</si>
  <si>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</si>
  <si>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</si>
  <si>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</si>
  <si>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</si>
  <si>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</si>
  <si>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</si>
  <si>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</si>
  <si>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</si>
  <si>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</si>
  <si>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</si>
  <si>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</si>
  <si>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</si>
  <si>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</si>
  <si>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</si>
  <si>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</si>
  <si>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</si>
  <si>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</si>
  <si>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</si>
  <si>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</si>
  <si>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</si>
  <si>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</si>
  <si>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</si>
  <si>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</si>
  <si>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</si>
  <si>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</si>
  <si>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</si>
  <si>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</si>
  <si>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</si>
  <si>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</si>
  <si>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</si>
  <si>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</si>
  <si>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</si>
  <si>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</si>
  <si>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</si>
  <si>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</si>
  <si>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</si>
  <si>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</si>
  <si>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</si>
  <si>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</si>
  <si>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</si>
  <si>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</si>
  <si>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</si>
  <si>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</si>
  <si>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</si>
  <si>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</si>
  <si>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</si>
  <si>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</si>
  <si>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</si>
  <si>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</si>
  <si>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</si>
  <si>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</si>
  <si>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</si>
  <si>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</si>
  <si>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</si>
  <si>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</si>
  <si>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</si>
  <si>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</si>
  <si>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</si>
  <si>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</si>
  <si>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</si>
  <si>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</si>
  <si>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</si>
  <si>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</si>
  <si>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</si>
  <si>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</si>
  <si>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</si>
  <si>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</si>
  <si>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</si>
  <si>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</si>
  <si>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</si>
  <si>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</si>
  <si>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</si>
  <si>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</si>
  <si>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</si>
  <si>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</si>
  <si>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</si>
  <si>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</si>
  <si>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</si>
  <si>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</si>
  <si>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</si>
  <si>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</si>
  <si>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</si>
  <si>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</si>
  <si>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</si>
  <si>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</si>
  <si>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</si>
  <si>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</si>
  <si>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</si>
  <si>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</si>
  <si>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</si>
  <si>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</si>
  <si>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</si>
  <si>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</si>
  <si>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</si>
  <si>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</si>
  <si>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</si>
  <si>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</si>
  <si>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</si>
  <si>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</si>
  <si>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</si>
  <si>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</si>
  <si>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</si>
  <si>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</si>
  <si>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</si>
  <si>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</si>
  <si>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</si>
  <si>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</si>
  <si>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</si>
  <si>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</si>
  <si>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</si>
  <si>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</si>
  <si>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</si>
  <si>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</si>
  <si>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</si>
  <si>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</si>
  <si>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</si>
  <si>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</si>
  <si>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</si>
  <si>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</si>
  <si>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</si>
  <si>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</si>
  <si>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</si>
  <si>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</si>
  <si>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</si>
  <si>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</si>
  <si>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</si>
  <si>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</si>
  <si>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</si>
  <si>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</si>
  <si>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</si>
  <si>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</si>
  <si>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</si>
  <si>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</si>
  <si>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</si>
  <si>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</si>
  <si>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</si>
  <si>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</si>
  <si>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</si>
  <si>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</si>
  <si>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</si>
  <si>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</si>
  <si>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</si>
  <si>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</si>
  <si>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</si>
  <si>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</si>
  <si>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</si>
  <si>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</si>
  <si>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</si>
  <si>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</si>
  <si>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</si>
  <si>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</si>
  <si>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</si>
  <si>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</si>
  <si>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</si>
  <si>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</si>
  <si>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</si>
  <si>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</si>
  <si>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</si>
  <si>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</si>
  <si>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</si>
  <si>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</si>
  <si>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</si>
  <si>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</si>
  <si>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</si>
  <si>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</si>
  <si>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</si>
  <si>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</si>
  <si>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</si>
  <si>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</si>
  <si>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</si>
  <si>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</si>
  <si>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</si>
  <si>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</si>
  <si>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</si>
  <si>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</si>
  <si>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</si>
  <si>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</si>
  <si>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</si>
  <si>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</si>
  <si>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</si>
  <si>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</si>
  <si>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</si>
  <si>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</si>
  <si>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</si>
  <si>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</si>
  <si>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</si>
  <si>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</si>
  <si>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</si>
  <si>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</si>
  <si>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</si>
  <si>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</si>
  <si>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</si>
  <si>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</si>
  <si>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</si>
  <si>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</si>
  <si>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</si>
  <si>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</si>
  <si>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</si>
  <si>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</si>
  <si>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</si>
  <si>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</si>
  <si>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</si>
  <si>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</si>
  <si>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</si>
  <si>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</si>
  <si>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</si>
  <si>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</si>
  <si>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</si>
  <si>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</si>
  <si>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</si>
  <si>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</si>
  <si>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</si>
  <si>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</si>
  <si>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</si>
  <si>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</si>
  <si>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</si>
  <si>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</si>
  <si>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</si>
  <si>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</si>
  <si>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</si>
  <si>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</si>
  <si>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</si>
  <si>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</si>
  <si>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</si>
  <si>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</si>
  <si>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</si>
  <si>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</si>
  <si>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</si>
  <si>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</si>
  <si>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</si>
  <si>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</si>
  <si>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</si>
  <si>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</si>
  <si>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</si>
  <si>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</si>
  <si>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</si>
  <si>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</si>
  <si>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</si>
  <si>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</si>
  <si>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</si>
  <si>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</si>
  <si>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</si>
  <si>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</si>
  <si>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</si>
  <si>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</si>
  <si>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</si>
  <si>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</si>
  <si>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</si>
  <si>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</si>
  <si>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</si>
  <si>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</si>
  <si>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</si>
  <si>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</si>
  <si>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</si>
  <si>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</si>
  <si>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</si>
  <si>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</si>
  <si>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</si>
  <si>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</si>
  <si>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</si>
  <si>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</si>
  <si>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</si>
  <si>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</si>
  <si>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</si>
  <si>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</si>
  <si>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</si>
  <si>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</si>
  <si>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</si>
  <si>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</si>
  <si>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</si>
  <si>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</si>
  <si>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</si>
  <si>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</si>
  <si>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</si>
  <si>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</si>
  <si>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</si>
  <si>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</si>
  <si>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</si>
  <si>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</si>
  <si>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</si>
  <si>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</si>
  <si>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</si>
  <si>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</si>
  <si>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</si>
  <si>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</si>
  <si>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</si>
  <si>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</si>
  <si>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</si>
  <si>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</si>
  <si>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</si>
  <si>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</si>
  <si>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</si>
  <si>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</si>
  <si>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</si>
  <si>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</si>
  <si>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</si>
  <si>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</si>
  <si>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</si>
  <si>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</si>
  <si>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</si>
  <si>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</si>
  <si>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</si>
  <si>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</si>
  <si>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</si>
  <si>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</si>
  <si>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</si>
  <si>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</si>
  <si>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</si>
  <si>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</si>
  <si>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</si>
  <si>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</si>
  <si>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</si>
  <si>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</si>
  <si>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</si>
  <si>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</si>
  <si>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</si>
  <si>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</si>
  <si>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</si>
  <si>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</si>
  <si>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</si>
  <si>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</si>
  <si>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</si>
  <si>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</si>
  <si>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</si>
  <si>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</si>
  <si>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</si>
  <si>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</si>
  <si>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</si>
  <si>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</si>
  <si>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</si>
  <si>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</si>
  <si>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</si>
  <si>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</si>
  <si>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</si>
  <si>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</si>
  <si>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</si>
  <si>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</si>
  <si>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</si>
  <si>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</si>
  <si>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</si>
  <si>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</si>
  <si>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</si>
  <si>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</si>
  <si>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</si>
  <si>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</si>
  <si>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</si>
  <si>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</si>
  <si>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</si>
  <si>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</si>
  <si>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</si>
  <si>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</si>
  <si>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</si>
  <si>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</si>
  <si>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</si>
  <si>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</si>
  <si>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</si>
  <si>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</si>
  <si>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</si>
  <si>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</si>
  <si>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</si>
  <si>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</si>
  <si>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</si>
  <si>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</si>
  <si>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</si>
  <si>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</si>
  <si>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</si>
  <si>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</si>
  <si>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</si>
  <si>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</si>
  <si>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</si>
  <si>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</si>
  <si>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</si>
  <si>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</si>
  <si>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</si>
  <si>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</si>
  <si>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</si>
  <si>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</si>
  <si>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</si>
  <si>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</si>
  <si>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</si>
  <si>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</si>
  <si>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</si>
  <si>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</si>
  <si>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</si>
  <si>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</si>
  <si>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</si>
  <si>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</si>
  <si>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</si>
  <si>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</si>
  <si>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</si>
  <si>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</si>
  <si>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</si>
  <si>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</si>
  <si>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</si>
  <si>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</si>
  <si>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</si>
  <si>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</si>
  <si>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</si>
  <si>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</si>
  <si>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</si>
  <si>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</si>
  <si>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</si>
  <si>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</si>
  <si>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</si>
  <si>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</si>
  <si>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</si>
  <si>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</si>
  <si>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</si>
  <si>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</si>
  <si>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</si>
  <si>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</si>
  <si>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</si>
  <si>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</si>
  <si>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</si>
  <si>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</si>
  <si>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</si>
  <si>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</si>
  <si>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</si>
  <si>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</si>
  <si>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</si>
  <si>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</si>
  <si>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</si>
  <si>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</si>
  <si>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</si>
  <si>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</si>
  <si>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</si>
  <si>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</si>
  <si>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</si>
  <si>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</si>
  <si>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</si>
  <si>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</si>
  <si>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</si>
  <si>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</si>
  <si>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</si>
  <si>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</si>
  <si>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</si>
  <si>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</si>
  <si>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</si>
  <si>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</si>
  <si>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</si>
  <si>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</si>
  <si>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</si>
  <si>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</si>
  <si>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</si>
  <si>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</si>
  <si>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</si>
  <si>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</si>
  <si>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</si>
  <si>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</si>
  <si>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</si>
  <si>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</si>
  <si>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</si>
  <si>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</si>
  <si>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</si>
  <si>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</si>
  <si>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</si>
  <si>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</si>
  <si>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</si>
  <si>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</si>
  <si>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</si>
  <si>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</si>
  <si>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</si>
  <si>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</si>
  <si>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</si>
  <si>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</si>
  <si>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</si>
  <si>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</si>
  <si>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</si>
  <si>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</si>
  <si>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</si>
  <si>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</si>
  <si>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</si>
  <si>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</si>
  <si>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</si>
  <si>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</si>
  <si>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</si>
  <si>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</si>
  <si>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</si>
  <si>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</si>
  <si>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</si>
  <si>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</si>
  <si>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</si>
  <si>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</si>
  <si>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</si>
  <si>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</si>
  <si>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</si>
  <si>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</si>
  <si>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</si>
  <si>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</si>
  <si>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</si>
  <si>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</si>
  <si>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</si>
  <si>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</si>
  <si>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</si>
  <si>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</si>
  <si>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</si>
  <si>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</si>
  <si>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</si>
  <si>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</si>
  <si>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</si>
  <si>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</si>
  <si>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</si>
  <si>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</si>
  <si>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</si>
  <si>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</si>
  <si>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</si>
  <si>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</si>
  <si>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</si>
  <si>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</si>
  <si>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</si>
  <si>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</si>
  <si>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</si>
  <si>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</si>
  <si>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</si>
  <si>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</si>
  <si>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</si>
  <si>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</si>
  <si>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</si>
  <si>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</si>
  <si>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</si>
  <si>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</si>
  <si>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</si>
  <si>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</si>
  <si>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</si>
  <si>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</si>
  <si>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</si>
  <si>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</si>
  <si>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</si>
  <si>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</si>
  <si>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</si>
  <si>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</si>
  <si>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</si>
  <si>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</si>
  <si>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</si>
  <si>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</si>
  <si>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</si>
  <si>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</si>
  <si>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</si>
  <si>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</si>
  <si>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</si>
  <si>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</si>
  <si>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</si>
  <si>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</si>
  <si>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</si>
  <si>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</si>
  <si>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</si>
  <si>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</si>
  <si>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</si>
  <si>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</si>
  <si>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</si>
  <si>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</si>
  <si>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</si>
  <si>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</si>
  <si>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</si>
  <si>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</si>
  <si>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</si>
  <si>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</si>
  <si>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</si>
  <si>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</si>
  <si>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</si>
  <si>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</si>
  <si>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</si>
  <si>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</si>
  <si>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</si>
  <si>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</si>
  <si>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</si>
  <si>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</si>
  <si>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</si>
  <si>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</si>
  <si>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</si>
  <si>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</si>
  <si>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</si>
  <si>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</si>
  <si>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</si>
  <si>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</si>
  <si>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</si>
  <si>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</si>
  <si>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</si>
  <si>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</si>
  <si>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</si>
  <si>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</si>
  <si>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</si>
  <si>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</si>
  <si>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</si>
  <si>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</si>
  <si>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</si>
  <si>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</si>
  <si>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</si>
  <si>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</si>
  <si>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</si>
  <si>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</si>
  <si>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</si>
  <si>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</si>
  <si>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</si>
  <si>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</si>
  <si>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</si>
  <si>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</si>
  <si>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</si>
  <si>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</si>
  <si>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</si>
  <si>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</si>
  <si>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</si>
  <si>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</si>
  <si>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</si>
  <si>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</si>
  <si>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</si>
  <si>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</si>
  <si>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</si>
  <si>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</si>
  <si>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</si>
  <si>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</si>
  <si>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</si>
  <si>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</si>
  <si>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</si>
  <si>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</si>
  <si>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</si>
  <si>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</si>
  <si>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</si>
  <si>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</si>
  <si>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</si>
  <si>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</si>
  <si>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</si>
  <si>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</si>
  <si>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</si>
  <si>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</si>
  <si>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</si>
  <si>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</si>
  <si>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</si>
  <si>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</si>
  <si>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</si>
  <si>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</si>
  <si>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</si>
  <si>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</si>
  <si>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</si>
  <si>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</si>
  <si>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</si>
  <si>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</si>
  <si>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</si>
  <si>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</si>
  <si>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</si>
  <si>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</si>
  <si>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</si>
  <si>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</si>
  <si>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</si>
  <si>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</si>
  <si>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</si>
  <si>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</si>
  <si>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</si>
  <si>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</si>
  <si>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</si>
  <si>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</si>
  <si>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</si>
  <si>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</si>
  <si>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</si>
  <si>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</si>
  <si>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</si>
  <si>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</si>
  <si>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</si>
  <si>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</si>
  <si>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</si>
  <si>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</si>
  <si>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</si>
  <si>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</si>
  <si>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</si>
  <si>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</si>
  <si>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</si>
  <si>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</si>
  <si>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</si>
  <si>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</si>
  <si>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</si>
  <si>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</si>
  <si>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</si>
  <si>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</si>
  <si>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</si>
  <si>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</si>
  <si>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</si>
  <si>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</si>
  <si>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</si>
  <si>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</si>
  <si>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</si>
  <si>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</si>
  <si>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</si>
  <si>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</si>
  <si>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</si>
  <si>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</si>
  <si>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</si>
  <si>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</si>
  <si>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</si>
  <si>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</si>
  <si>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</si>
  <si>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</si>
  <si>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</si>
  <si>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</si>
  <si>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</si>
  <si>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</si>
  <si>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</si>
  <si>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</si>
  <si>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</si>
  <si>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</si>
  <si>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</si>
  <si>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</si>
  <si>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</si>
  <si>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</si>
  <si>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</si>
  <si>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</si>
  <si>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</si>
  <si>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</si>
  <si>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</si>
  <si>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</si>
  <si>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</si>
  <si>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</si>
  <si>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</si>
  <si>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</si>
  <si>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</si>
  <si>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</si>
  <si>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</si>
  <si>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</si>
  <si>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</si>
  <si>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</si>
  <si>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</si>
  <si>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</si>
  <si>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</si>
  <si>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</si>
  <si>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</si>
  <si>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</si>
  <si>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</si>
  <si>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</si>
  <si>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</si>
  <si>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</si>
  <si>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</si>
  <si>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</si>
  <si>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</si>
  <si>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</si>
  <si>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</si>
  <si>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</si>
  <si>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</si>
  <si>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</si>
  <si>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</si>
  <si>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</si>
  <si>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</si>
  <si>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</si>
  <si>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</si>
  <si>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</si>
  <si>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</si>
  <si>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</si>
  <si>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</si>
  <si>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</si>
  <si>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</si>
  <si>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</si>
  <si>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</si>
  <si>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</si>
  <si>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</si>
  <si>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</si>
  <si>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</si>
  <si>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</si>
  <si>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</si>
  <si>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</si>
  <si>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</si>
  <si>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</si>
  <si>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</si>
  <si>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</si>
  <si>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</si>
  <si>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</si>
  <si>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</si>
  <si>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</si>
  <si>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</si>
  <si>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</si>
  <si>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</si>
  <si>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</si>
  <si>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</si>
  <si>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</si>
  <si>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</si>
  <si>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</si>
  <si>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</si>
  <si>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</si>
  <si>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</si>
  <si>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</si>
  <si>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</si>
  <si>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</si>
  <si>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</si>
  <si>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</si>
  <si>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</si>
  <si>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</si>
  <si>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</si>
  <si>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</si>
  <si>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</si>
  <si>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</si>
  <si>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</si>
  <si>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</si>
  <si>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</si>
  <si>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</si>
  <si>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</si>
  <si>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</si>
  <si>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</si>
  <si>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</si>
  <si>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</si>
  <si>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</si>
  <si>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</si>
  <si>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</si>
  <si>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</si>
  <si>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</si>
  <si>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</si>
  <si>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</si>
  <si>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</si>
  <si>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</si>
  <si>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</si>
  <si>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</si>
  <si>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</si>
  <si>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</si>
  <si>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</si>
  <si>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</si>
  <si>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</si>
  <si>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</si>
  <si>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</si>
  <si>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</si>
  <si>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</si>
  <si>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</si>
  <si>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</si>
  <si>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</si>
  <si>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</si>
  <si>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</si>
  <si>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</si>
  <si>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</si>
  <si>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</si>
  <si>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</si>
  <si>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</si>
  <si>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</si>
  <si>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</si>
  <si>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</si>
  <si>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</si>
  <si>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</si>
  <si>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</si>
  <si>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</si>
  <si>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</si>
  <si>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</si>
  <si>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</si>
  <si>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</si>
  <si>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</si>
  <si>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</si>
  <si>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</si>
  <si>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</si>
  <si>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</si>
  <si>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</si>
  <si>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</si>
  <si>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</si>
  <si>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</si>
  <si>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</si>
  <si>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</si>
  <si>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</si>
  <si>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</si>
  <si>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</si>
  <si>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</si>
  <si>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</si>
  <si>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</si>
  <si>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</si>
  <si>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</si>
  <si>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</si>
  <si>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</si>
  <si>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</si>
  <si>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</si>
  <si>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</si>
  <si>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</si>
  <si>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</si>
  <si>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</si>
  <si>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</si>
  <si>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</si>
  <si>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</si>
  <si>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</si>
  <si>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</si>
  <si>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</si>
  <si>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</si>
  <si>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</si>
  <si>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</si>
  <si>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</si>
  <si>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</si>
  <si>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</si>
  <si>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</si>
  <si>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</si>
  <si>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</si>
  <si>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</si>
  <si>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</si>
  <si>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</si>
  <si>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</si>
  <si>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</si>
  <si>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</si>
  <si>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</si>
  <si>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</si>
  <si>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</si>
  <si>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</si>
  <si>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</si>
  <si>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</si>
  <si>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</si>
  <si>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</si>
  <si>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</si>
  <si>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</si>
  <si>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</si>
  <si>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</si>
  <si>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</si>
  <si>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</si>
  <si>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</si>
  <si>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</si>
  <si>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</si>
  <si>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</si>
  <si>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</si>
  <si>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</si>
  <si>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</si>
  <si>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</si>
  <si>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</si>
  <si>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</si>
  <si>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</si>
  <si>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</si>
  <si>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</si>
  <si>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</si>
  <si>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</si>
  <si>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</si>
  <si>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</si>
  <si>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</si>
  <si>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</si>
  <si>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</si>
  <si>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</si>
  <si>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</si>
  <si>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</si>
  <si>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</si>
  <si>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</si>
  <si>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</si>
  <si>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</si>
  <si>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</si>
  <si>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</si>
  <si>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</si>
  <si>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</si>
  <si>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</si>
  <si>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</si>
  <si>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</si>
  <si>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</si>
  <si>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</si>
  <si>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</si>
  <si>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</si>
  <si>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</si>
  <si>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</si>
  <si>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</si>
  <si>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</si>
  <si>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</si>
  <si>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</si>
  <si>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</si>
  <si>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</si>
  <si>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</si>
  <si>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</si>
  <si>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</si>
  <si>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</si>
  <si>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</si>
  <si>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</si>
  <si>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</si>
  <si>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</si>
  <si>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</si>
  <si>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</si>
  <si>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</si>
  <si>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</si>
  <si>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</si>
  <si>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</si>
  <si>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</si>
  <si>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</si>
  <si>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</si>
  <si>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</si>
  <si>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</si>
  <si>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</si>
  <si>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</si>
  <si>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</si>
  <si>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</si>
  <si>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</si>
  <si>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</si>
  <si>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</si>
  <si>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</si>
  <si>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</si>
  <si>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</si>
  <si>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</si>
  <si>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</si>
  <si>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</si>
  <si>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</si>
  <si>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</si>
  <si>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</si>
  <si>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</si>
  <si>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</si>
  <si>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</si>
  <si>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</si>
  <si>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</si>
  <si>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</si>
  <si>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</si>
  <si>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</si>
  <si>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</si>
  <si>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</si>
  <si>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</si>
  <si>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</si>
  <si>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</si>
  <si>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</si>
  <si>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</si>
  <si>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</si>
  <si>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</si>
  <si>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</si>
  <si>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</si>
  <si>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</si>
  <si>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</si>
  <si>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</si>
  <si>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</si>
  <si>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</si>
  <si>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</si>
  <si>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</si>
  <si>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</si>
  <si>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</si>
  <si>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</si>
  <si>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</si>
  <si>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</si>
  <si>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</si>
  <si>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</si>
  <si>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</si>
  <si>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</si>
  <si>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</si>
  <si>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</si>
  <si>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</si>
  <si>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</si>
  <si>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</si>
  <si>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</si>
  <si>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</si>
  <si>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</si>
  <si>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</si>
  <si>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</si>
  <si>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</si>
  <si>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</si>
  <si>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</si>
  <si>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</si>
  <si>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</si>
  <si>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</si>
  <si>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</si>
  <si>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</si>
  <si>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</si>
  <si>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</si>
  <si>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</si>
  <si>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</si>
  <si>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</si>
  <si>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</si>
  <si>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</si>
  <si>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</si>
  <si>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</si>
  <si>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</si>
  <si>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</si>
  <si>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</si>
  <si>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</si>
  <si>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</si>
  <si>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</si>
  <si>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</si>
  <si>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</si>
  <si>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</si>
  <si>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</si>
  <si>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</si>
  <si>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</si>
  <si>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</si>
  <si>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</si>
  <si>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</si>
  <si>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</si>
  <si>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</si>
  <si>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</si>
  <si>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</si>
  <si>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</si>
  <si>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</si>
  <si>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</si>
  <si>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</si>
  <si>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</si>
  <si>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</si>
  <si>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</si>
  <si>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</si>
  <si>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</si>
  <si>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</si>
  <si>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</si>
  <si>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</si>
  <si>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</si>
  <si>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</si>
  <si>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</si>
  <si>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</si>
  <si>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</si>
  <si>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</si>
  <si>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</si>
  <si>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</si>
  <si>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</si>
  <si>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</si>
  <si>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</si>
  <si>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</si>
  <si>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</si>
  <si>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</si>
  <si>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</si>
  <si>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</si>
  <si>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</si>
  <si>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</si>
  <si>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</si>
  <si>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</si>
  <si>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</si>
  <si>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</si>
  <si>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</si>
  <si>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</si>
  <si>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</si>
  <si>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</si>
  <si>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</si>
  <si>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</si>
  <si>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</si>
  <si>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</si>
  <si>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</si>
  <si>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</si>
  <si>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</si>
  <si>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</si>
  <si>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</si>
  <si>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</si>
  <si>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</si>
  <si>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</si>
  <si>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</si>
  <si>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</si>
  <si>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</si>
  <si>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</si>
  <si>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</si>
  <si>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</si>
  <si>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</si>
  <si>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</si>
  <si>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</si>
  <si>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</si>
  <si>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</si>
  <si>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</si>
  <si>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</si>
  <si>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</si>
  <si>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</si>
  <si>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</si>
  <si>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</si>
  <si>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</si>
  <si>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</si>
  <si>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</si>
  <si>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</si>
  <si>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</si>
  <si>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</si>
  <si>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</si>
  <si>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</si>
  <si>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</si>
  <si>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</si>
  <si>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</si>
  <si>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</si>
  <si>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</si>
  <si>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</si>
  <si>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</si>
  <si>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</si>
  <si>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</si>
  <si>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</si>
  <si>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</si>
  <si>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</si>
  <si>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</si>
  <si>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</si>
  <si>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</si>
  <si>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</si>
  <si>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</si>
  <si>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</si>
  <si>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</si>
  <si>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</si>
  <si>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</si>
  <si>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</si>
  <si>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</si>
  <si>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</si>
  <si>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</si>
  <si>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</si>
  <si>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</si>
  <si>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</si>
  <si>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</si>
  <si>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</si>
  <si>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</si>
  <si>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</si>
  <si>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</si>
  <si>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</si>
  <si>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</si>
  <si>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</si>
  <si>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</si>
  <si>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</si>
  <si>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</si>
  <si>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</si>
  <si>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</si>
  <si>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</si>
  <si>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</si>
  <si>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</si>
  <si>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</si>
  <si>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</si>
  <si>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</si>
  <si>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</si>
  <si>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</si>
  <si>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</si>
  <si>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</si>
  <si>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</si>
  <si>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</si>
  <si>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</si>
  <si>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</si>
  <si>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</si>
  <si>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</si>
  <si>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</si>
  <si>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</si>
  <si>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</si>
  <si>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</si>
  <si>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</si>
  <si>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</si>
  <si>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</si>
  <si>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</si>
  <si>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</si>
  <si>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</si>
  <si>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</si>
  <si>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</si>
  <si>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</si>
  <si>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</si>
  <si>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</si>
  <si>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</si>
  <si>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</si>
  <si>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</si>
  <si>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</si>
  <si>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</si>
  <si>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</si>
  <si>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</si>
  <si>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</si>
  <si>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</si>
  <si>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</si>
  <si>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</si>
  <si>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</si>
  <si>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</si>
  <si>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</si>
  <si>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</si>
  <si>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</si>
  <si>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</si>
  <si>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</si>
  <si>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</si>
  <si>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</si>
  <si>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</si>
  <si>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</si>
  <si>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</si>
  <si>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</si>
  <si>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</si>
  <si>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</si>
  <si>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</si>
  <si>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</si>
  <si>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</si>
  <si>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</si>
  <si>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</si>
  <si>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</si>
  <si>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</si>
  <si>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</si>
  <si>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</si>
  <si>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</si>
  <si>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</si>
  <si>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</si>
  <si>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</si>
  <si>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</si>
  <si>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</si>
  <si>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</si>
  <si>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</si>
  <si>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</si>
  <si>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</si>
  <si>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</si>
  <si>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</si>
  <si>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</si>
  <si>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</si>
  <si>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</si>
  <si>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</si>
  <si>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</si>
  <si>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</si>
  <si>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</si>
  <si>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</si>
  <si>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</si>
  <si>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</si>
  <si>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</si>
  <si>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</si>
  <si>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</si>
  <si>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</si>
  <si>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</si>
  <si>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</si>
  <si>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</si>
  <si>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</si>
  <si>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</si>
  <si>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</si>
  <si>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</si>
  <si>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</si>
  <si>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</si>
  <si>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</si>
  <si>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</si>
  <si>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</si>
  <si>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</si>
  <si>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</si>
  <si>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</si>
  <si>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</si>
  <si>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</si>
  <si>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</si>
  <si>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</si>
  <si>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</si>
  <si>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</si>
  <si>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</si>
  <si>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</si>
  <si>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</si>
  <si>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</si>
  <si>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</si>
  <si>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</si>
  <si>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</si>
  <si>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</si>
  <si>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</si>
  <si>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</si>
  <si>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</si>
  <si>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</si>
  <si>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</si>
  <si>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</si>
  <si>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</si>
  <si>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</si>
  <si>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</si>
  <si>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</si>
  <si>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</si>
  <si>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</si>
  <si>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</si>
  <si>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</si>
  <si>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</si>
  <si>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</si>
  <si>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</si>
  <si>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</si>
  <si>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</si>
  <si>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</si>
  <si>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</si>
  <si>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</si>
  <si>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</si>
  <si>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</si>
  <si>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</si>
  <si>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</si>
  <si>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</si>
  <si>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</si>
  <si>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</si>
  <si>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</si>
  <si>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</si>
  <si>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</si>
  <si>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</si>
  <si>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</si>
  <si>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</si>
  <si>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</si>
  <si>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</si>
  <si>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</si>
  <si>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</si>
  <si>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</si>
  <si>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</si>
  <si>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</si>
  <si>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</si>
  <si>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</si>
  <si>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</si>
  <si>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</si>
  <si>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</si>
  <si>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</si>
  <si>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</si>
  <si>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</si>
  <si>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</si>
  <si>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</si>
  <si>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</si>
  <si>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</si>
  <si>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</si>
  <si>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</si>
  <si>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</si>
  <si>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</si>
  <si>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</si>
  <si>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</si>
  <si>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</si>
  <si>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</si>
  <si>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</si>
  <si>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</si>
  <si>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</si>
  <si>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</si>
  <si>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</si>
  <si>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</si>
  <si>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</si>
  <si>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</si>
  <si>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</si>
  <si>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</si>
  <si>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</si>
  <si>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</si>
  <si>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</si>
  <si>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</si>
  <si>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</si>
  <si>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</si>
  <si>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</si>
  <si>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</si>
  <si>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</si>
  <si>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</si>
  <si>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</si>
  <si>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</si>
  <si>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</si>
  <si>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</si>
  <si>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</si>
  <si>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</si>
  <si>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</si>
  <si>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</si>
  <si>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</si>
  <si>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</si>
  <si>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</si>
  <si>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</si>
  <si>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</si>
  <si>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</si>
  <si>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</si>
  <si>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</si>
  <si>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</si>
  <si>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</si>
  <si>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</si>
  <si>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</si>
  <si>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</si>
  <si>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</si>
  <si>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</si>
  <si>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</si>
  <si>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</si>
  <si>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</si>
  <si>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</si>
  <si>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</si>
  <si>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</si>
  <si>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</si>
  <si>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</si>
  <si>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</si>
  <si>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</si>
  <si>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</si>
  <si>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</si>
  <si>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</si>
  <si>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</si>
  <si>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</si>
  <si>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</si>
  <si>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</si>
  <si>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</si>
  <si>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</si>
  <si>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</si>
  <si>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</si>
  <si>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</si>
  <si>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</si>
  <si>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</si>
  <si>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</si>
  <si>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</si>
  <si>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</si>
  <si>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</si>
  <si>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</si>
  <si>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</si>
  <si>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</si>
  <si>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</si>
  <si>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</si>
  <si>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</si>
  <si>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</si>
  <si>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</si>
  <si>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</si>
  <si>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</si>
  <si>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</si>
  <si>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</si>
  <si>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</si>
  <si>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</si>
  <si>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</si>
  <si>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</si>
  <si>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</si>
  <si>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</si>
  <si>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</si>
  <si>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</si>
  <si>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</si>
  <si>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</si>
  <si>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</si>
  <si>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</si>
  <si>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</si>
  <si>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</si>
  <si>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</si>
  <si>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</si>
  <si>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</si>
  <si>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</si>
  <si>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</si>
  <si>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</si>
  <si>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</si>
  <si>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</si>
  <si>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</si>
  <si>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</si>
  <si>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</si>
  <si>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</si>
  <si>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</si>
  <si>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</si>
  <si>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</si>
  <si>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</si>
  <si>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</si>
  <si>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</si>
  <si>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</si>
  <si>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</si>
  <si>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</si>
  <si>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</si>
  <si>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</si>
  <si>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</si>
  <si>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</si>
  <si>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</si>
  <si>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</si>
  <si>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</si>
  <si>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</si>
  <si>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</si>
  <si>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</si>
  <si>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</si>
  <si>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</si>
  <si>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</si>
  <si>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</si>
  <si>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</si>
  <si>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</si>
  <si>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</si>
  <si>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</si>
  <si>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</si>
  <si>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</si>
  <si>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</si>
  <si>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</si>
  <si>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</si>
  <si>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</si>
  <si>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</si>
  <si>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</si>
  <si>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</si>
  <si>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</si>
  <si>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</si>
  <si>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</si>
  <si>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</si>
  <si>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</si>
  <si>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</si>
  <si>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</si>
  <si>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</si>
  <si>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</si>
  <si>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</si>
  <si>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</si>
  <si>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</si>
  <si>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</si>
  <si>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</si>
  <si>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</si>
  <si>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</si>
  <si>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</si>
  <si>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</si>
  <si>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</si>
  <si>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</si>
  <si>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</si>
  <si>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</si>
  <si>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</si>
  <si>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</si>
  <si>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</si>
  <si>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</si>
  <si>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</si>
  <si>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</si>
  <si>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</si>
  <si>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</si>
  <si>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</si>
  <si>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</si>
  <si>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</si>
  <si>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</si>
  <si>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</si>
  <si>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</si>
  <si>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</si>
  <si>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</si>
  <si>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</si>
  <si>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</si>
  <si>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</si>
  <si>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</si>
  <si>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</si>
  <si>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</si>
  <si>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</si>
  <si>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</si>
  <si>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</si>
  <si>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</si>
  <si>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</si>
  <si>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</si>
  <si>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</si>
  <si>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</si>
  <si>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</si>
  <si>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</si>
  <si>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</si>
  <si>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</si>
  <si>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</si>
  <si>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</si>
  <si>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</si>
  <si>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</si>
  <si>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</si>
  <si>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</si>
  <si>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</si>
  <si>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</si>
  <si>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</si>
  <si>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</si>
  <si>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</si>
  <si>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</si>
  <si>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</si>
  <si>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</si>
  <si>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</si>
  <si>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</si>
  <si>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</si>
  <si>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</si>
  <si>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</si>
  <si>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</si>
  <si>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</si>
  <si>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</si>
  <si>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</si>
  <si>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</si>
  <si>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</si>
  <si>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</si>
  <si>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</si>
  <si>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</si>
  <si>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</si>
  <si>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</si>
  <si>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</si>
  <si>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</si>
  <si>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</si>
  <si>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</si>
  <si>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</si>
  <si>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</si>
  <si>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</si>
  <si>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</si>
  <si>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</si>
  <si>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</si>
  <si>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</si>
  <si>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</si>
  <si>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</si>
  <si>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</si>
  <si>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</si>
  <si>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</si>
  <si>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</si>
  <si>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</si>
  <si>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</si>
  <si>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</si>
  <si>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</si>
  <si>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</si>
  <si>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</si>
  <si>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</si>
  <si>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</si>
  <si>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</si>
  <si>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</si>
  <si>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</si>
  <si>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</si>
  <si>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</si>
  <si>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</si>
  <si>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</si>
  <si>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</si>
  <si>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</si>
  <si>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</si>
  <si>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</si>
  <si>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</si>
  <si>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</si>
  <si>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</si>
  <si>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</si>
  <si>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</si>
  <si>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</si>
  <si>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</si>
  <si>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</si>
  <si>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</si>
  <si>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</si>
  <si>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</si>
  <si>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</si>
  <si>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</si>
  <si>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</si>
  <si>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</si>
  <si>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</si>
  <si>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</si>
  <si>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</si>
  <si>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</si>
  <si>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</si>
  <si>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</si>
  <si>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</si>
  <si>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</si>
  <si>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</si>
  <si>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</si>
  <si>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</si>
  <si>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</si>
  <si>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</si>
  <si>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</si>
  <si>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</si>
  <si>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</si>
  <si>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</si>
  <si>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</si>
  <si>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</si>
  <si>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</si>
  <si>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</si>
  <si>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</si>
  <si>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</si>
  <si>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</si>
  <si>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</si>
  <si>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</si>
  <si>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</si>
  <si>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</si>
  <si>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</si>
  <si>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</si>
  <si>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</si>
  <si>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</si>
  <si>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</si>
  <si>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</si>
  <si>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</si>
  <si>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</si>
  <si>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</si>
  <si>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</si>
  <si>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</si>
  <si>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</si>
  <si>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</si>
  <si>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</si>
  <si>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</si>
  <si>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</si>
  <si>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</si>
  <si>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</si>
  <si>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</si>
  <si>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</si>
  <si>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</si>
  <si>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</si>
  <si>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</si>
  <si>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</si>
  <si>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</si>
  <si>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</si>
  <si>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</si>
  <si>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</si>
  <si>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</si>
  <si>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</si>
  <si>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</si>
  <si>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</si>
  <si>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</si>
  <si>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</si>
  <si>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</si>
  <si>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</si>
  <si>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</si>
  <si>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</si>
  <si>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</si>
  <si>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</si>
  <si>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</si>
  <si>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</si>
  <si>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</si>
  <si>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</si>
  <si>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</si>
  <si>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</si>
  <si>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</si>
  <si>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</si>
  <si>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</si>
  <si>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</si>
  <si>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</si>
  <si>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</si>
  <si>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</si>
  <si>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</si>
  <si>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</si>
  <si>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</si>
  <si>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</si>
  <si>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</si>
  <si>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</si>
  <si>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</si>
  <si>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</si>
  <si>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</si>
  <si>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</si>
  <si>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</si>
  <si>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</si>
  <si>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</si>
  <si>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</si>
  <si>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</si>
  <si>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</si>
  <si>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</si>
  <si>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</si>
  <si>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</si>
  <si>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</si>
  <si>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</si>
  <si>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</si>
  <si>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</si>
  <si>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</si>
  <si>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</si>
  <si>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</si>
  <si>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</si>
  <si>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</si>
  <si>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</si>
  <si>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</si>
  <si>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</si>
  <si>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</si>
  <si>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</si>
  <si>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</si>
  <si>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</si>
  <si>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</si>
  <si>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</si>
  <si>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</si>
  <si>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</si>
  <si>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</si>
  <si>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</si>
  <si>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</si>
  <si>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</si>
  <si>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</si>
  <si>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</si>
  <si>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</si>
  <si>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</si>
  <si>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</si>
  <si>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</si>
  <si>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</si>
  <si>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</si>
  <si>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</si>
  <si>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</si>
  <si>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</si>
  <si>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</si>
  <si>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</si>
  <si>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</si>
  <si>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</si>
  <si>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</si>
  <si>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</si>
  <si>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</si>
  <si>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</si>
  <si>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</si>
  <si>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</si>
  <si>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</si>
  <si>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</si>
  <si>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</si>
  <si>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</si>
  <si>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</si>
  <si>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</si>
  <si>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</si>
  <si>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</si>
  <si>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</si>
  <si>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</si>
  <si>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</si>
  <si>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</si>
  <si>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</si>
  <si>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</si>
  <si>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</si>
  <si>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</si>
  <si>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</si>
  <si>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</si>
  <si>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</si>
  <si>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</si>
  <si>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</si>
  <si>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</si>
  <si>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</si>
  <si>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</si>
  <si>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</si>
  <si>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</si>
  <si>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</si>
  <si>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</si>
  <si>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</si>
  <si>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</si>
  <si>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</si>
  <si>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</si>
  <si>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</si>
  <si>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</si>
  <si>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</si>
  <si>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</si>
  <si>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</si>
  <si>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</si>
  <si>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</si>
  <si>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</si>
  <si>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</si>
  <si>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</si>
  <si>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</si>
  <si>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</si>
  <si>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</si>
  <si>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</si>
  <si>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</si>
  <si>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</si>
  <si>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</si>
  <si>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</si>
  <si>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</si>
  <si>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</si>
  <si>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</si>
  <si>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</si>
  <si>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</si>
  <si>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</si>
  <si>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</si>
  <si>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</si>
  <si>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</si>
  <si>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</si>
  <si>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</si>
  <si>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</si>
  <si>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</si>
  <si>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</si>
  <si>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</si>
  <si>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</si>
  <si>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</si>
  <si>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</si>
  <si>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</si>
  <si>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</si>
  <si>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</si>
  <si>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</si>
  <si>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</si>
  <si>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</si>
  <si>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</si>
  <si>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</si>
  <si>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</si>
  <si>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</si>
  <si>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</si>
  <si>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</si>
  <si>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</si>
  <si>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</si>
  <si>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</si>
  <si>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</si>
  <si>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</si>
  <si>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</si>
  <si>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</si>
  <si>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</si>
  <si>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</si>
  <si>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</si>
  <si>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</si>
  <si>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</si>
  <si>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</si>
  <si>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</si>
  <si>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</si>
  <si>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</si>
  <si>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</si>
  <si>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</si>
  <si>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</si>
  <si>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</si>
  <si>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</si>
  <si>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</si>
  <si>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</si>
  <si>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</si>
  <si>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</si>
  <si>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</si>
  <si>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</si>
  <si>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</si>
  <si>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</si>
  <si>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</si>
  <si>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</si>
  <si>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</si>
  <si>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</si>
  <si>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</si>
  <si>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</si>
  <si>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</si>
  <si>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</si>
  <si>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</si>
  <si>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</si>
  <si>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</si>
  <si>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</si>
  <si>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</si>
  <si>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</si>
  <si>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</si>
  <si>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</si>
  <si>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</si>
  <si>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</si>
  <si>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</si>
  <si>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</si>
  <si>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</si>
  <si>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</si>
  <si>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</si>
  <si>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</si>
  <si>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</si>
  <si>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</si>
  <si>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</si>
  <si>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</si>
  <si>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</si>
  <si>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</si>
  <si>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</si>
  <si>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</si>
  <si>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</si>
  <si>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</si>
  <si>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</si>
  <si>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</si>
  <si>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</si>
  <si>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</si>
  <si>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</si>
  <si>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</si>
  <si>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</si>
  <si>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</si>
  <si>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</si>
  <si>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</si>
  <si>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</si>
  <si>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</si>
  <si>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</si>
  <si>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</si>
  <si>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</si>
  <si>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</si>
  <si>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</si>
  <si>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</si>
  <si>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</si>
  <si>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</si>
  <si>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</si>
  <si>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</si>
  <si>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</si>
  <si>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</si>
  <si>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</si>
  <si>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</si>
  <si>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</si>
  <si>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</si>
  <si>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</si>
  <si>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</si>
  <si>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</si>
  <si>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</si>
  <si>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</si>
  <si>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</si>
  <si>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</si>
  <si>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</si>
  <si>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</si>
  <si>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</si>
  <si>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</si>
  <si>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</si>
  <si>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</si>
  <si>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</si>
  <si>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</si>
  <si>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</si>
  <si>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</si>
  <si>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</si>
  <si>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</si>
  <si>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</si>
  <si>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</si>
  <si>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</si>
  <si>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</si>
  <si>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</si>
  <si>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</si>
  <si>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</si>
  <si>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</si>
  <si>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Neymar</t>
  </si>
  <si>
    <t>2.Austraalia</t>
  </si>
  <si>
    <t>3. Inglismaa</t>
  </si>
  <si>
    <t>5. Neymar</t>
  </si>
  <si>
    <t>6. Brasiilia</t>
  </si>
  <si>
    <t>7. Kanada</t>
  </si>
  <si>
    <t>8. Holland</t>
  </si>
  <si>
    <t>9. Vinicius jr</t>
  </si>
  <si>
    <t>10. 2tk pannakse</t>
  </si>
  <si>
    <t>4. Kaks punti saavad kokku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</si>
</sst>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16" fontId="0" fillId="12" borderId="0" xfId="0" applyNumberFormat="1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0" Type="http://schemas.openxmlformats.org/officeDocument/2006/relationships/image" Target="../media/image21.svg"/><Relationship Id="rId29" Type="http://schemas.openxmlformats.org/officeDocument/2006/relationships/image" Target="../media/image30.pn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61" Type="http://schemas.openxmlformats.org/officeDocument/2006/relationships/image" Target="../media/image62.png"/><Relationship Id="rId10" Type="http://schemas.openxmlformats.org/officeDocument/2006/relationships/image" Target="../media/image11.sv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zoomScale="80" zoomScaleNormal="80" workbookViewId="0">
      <selection activeCell="B3" sqref="B3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1" t="str">
        <f>INDEX(T,2,lang)</f>
        <v>2022 World Cup Final Tournament Schedule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2" t="str">
        <f>"Language: " &amp; Settings!C4</f>
        <v>Language: English</v>
      </c>
      <c r="P3" s="112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3" t="str">
        <f>INDEX(T,3,lang)</f>
        <v>Group Stage</v>
      </c>
      <c r="B5" s="114"/>
      <c r="C5" s="114"/>
      <c r="D5" s="114"/>
      <c r="E5" s="114"/>
      <c r="F5" s="114"/>
      <c r="G5" s="114"/>
      <c r="H5" s="115"/>
      <c r="J5" s="119" t="s">
        <v>2006</v>
      </c>
      <c r="K5" s="120"/>
      <c r="L5" s="120"/>
      <c r="M5" s="120"/>
      <c r="N5" s="120"/>
      <c r="O5" s="120"/>
      <c r="P5" s="121"/>
    </row>
    <row r="6" spans="1:76" ht="15" customHeight="1" x14ac:dyDescent="0.25">
      <c r="A6" s="116"/>
      <c r="B6" s="117"/>
      <c r="C6" s="117"/>
      <c r="D6" s="117"/>
      <c r="E6" s="117"/>
      <c r="F6" s="117"/>
      <c r="G6" s="117"/>
      <c r="H6" s="118"/>
      <c r="J6" s="122"/>
      <c r="K6" s="123"/>
      <c r="L6" s="123"/>
      <c r="M6" s="123"/>
      <c r="N6" s="123"/>
      <c r="O6" s="123"/>
      <c r="P6" s="124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5" t="str">
        <f>INDEX(T,4,lang)</f>
        <v>Round of 16</v>
      </c>
      <c r="AZ6" s="106"/>
      <c r="BA6" s="106"/>
      <c r="BB6" s="106"/>
      <c r="BC6" s="107"/>
      <c r="BF6" s="105" t="str">
        <f>INDEX(T,5,lang)</f>
        <v>Quarterfinals</v>
      </c>
      <c r="BG6" s="106"/>
      <c r="BH6" s="106"/>
      <c r="BI6" s="106"/>
      <c r="BJ6" s="107"/>
      <c r="BM6" s="105" t="str">
        <f>INDEX(T,6,lang)</f>
        <v>Semi-Finals</v>
      </c>
      <c r="BN6" s="106"/>
      <c r="BO6" s="106"/>
      <c r="BP6" s="106"/>
      <c r="BQ6" s="107"/>
      <c r="BT6" s="105" t="str">
        <f>INDEX(T,8,lang)</f>
        <v>Final</v>
      </c>
      <c r="BU6" s="106"/>
      <c r="BV6" s="106"/>
      <c r="BW6" s="106"/>
      <c r="BX6" s="107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8"/>
      <c r="AZ7" s="109"/>
      <c r="BA7" s="109"/>
      <c r="BB7" s="109"/>
      <c r="BC7" s="110"/>
      <c r="BF7" s="108"/>
      <c r="BG7" s="109"/>
      <c r="BH7" s="109"/>
      <c r="BI7" s="109"/>
      <c r="BJ7" s="110"/>
      <c r="BM7" s="108"/>
      <c r="BN7" s="109"/>
      <c r="BO7" s="109"/>
      <c r="BP7" s="109"/>
      <c r="BQ7" s="110"/>
      <c r="BT7" s="108"/>
      <c r="BU7" s="109"/>
      <c r="BV7" s="109"/>
      <c r="BW7" s="109"/>
      <c r="BX7" s="110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6</v>
      </c>
      <c r="AH8" s="47">
        <f>(AF8-AG8)*100+AK8*10000+AF8</f>
        <v>39905</v>
      </c>
      <c r="AI8" s="47">
        <f>AF8-AG8</f>
        <v>-1</v>
      </c>
      <c r="AJ8" s="47">
        <f>(AI8-AI13)/AI12</f>
        <v>0.33333333333333331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438.88968096888885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9 - 1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7</v>
      </c>
      <c r="AH9" s="47">
        <f>(AF9-AG9)*100+AK9*10000+AF9</f>
        <v>-599</v>
      </c>
      <c r="AI9" s="47">
        <f>AF9-AG9</f>
        <v>-6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1.1118316111111111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2</v>
      </c>
      <c r="G10" s="22">
        <v>2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5 - 6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4</v>
      </c>
      <c r="AH10" s="47">
        <f>(AF10-AG10)*100+AK10*10000+AF10</f>
        <v>39903</v>
      </c>
      <c r="AI10" s="47">
        <f>AF10-AG10</f>
        <v>-1</v>
      </c>
      <c r="AJ10" s="47">
        <f>(AI10-AI13)/AI12</f>
        <v>0.33333333333333331</v>
      </c>
      <c r="AK10" s="47">
        <f>AC10*3+AD10</f>
        <v>4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436.66739316666661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5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1</v>
      </c>
      <c r="N11" s="25">
        <f>VLOOKUP(3,AA8:AK11,5,FALSE)</f>
        <v>1</v>
      </c>
      <c r="O11" s="25" t="str">
        <f>VLOOKUP(3,AA8:AK11,6,FALSE) &amp; " - " &amp; VLOOKUP(3,AA8:AK11,7,FALSE)</f>
        <v>3 - 4</v>
      </c>
      <c r="P11" s="54">
        <f>L11*3+M11</f>
        <v>4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9</v>
      </c>
      <c r="AG11" s="47">
        <f>SUMIF($E$7:$E$54,$AB11,$G$7:$G$54) + SUMIF($H$7:$H$54,$AB11,$F$7:$F$54)</f>
        <v>1</v>
      </c>
      <c r="AH11" s="47">
        <f>(AF11-AG11)*100+AK11*10000+AF11</f>
        <v>90809</v>
      </c>
      <c r="AI11" s="47">
        <f>AF11-AG11</f>
        <v>8</v>
      </c>
      <c r="AJ11" s="47">
        <f>(AI11-AI13)/AI12</f>
        <v>0.93333333333333335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1003.3341626633334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6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1 - 7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4</v>
      </c>
      <c r="AF12" s="47">
        <f t="shared" si="10"/>
        <v>9</v>
      </c>
      <c r="AG12" s="47">
        <f t="shared" si="10"/>
        <v>7</v>
      </c>
      <c r="AH12" s="47">
        <f>MAX(AH8:AH11)-AH13+1</f>
        <v>91409</v>
      </c>
      <c r="AI12" s="47">
        <f>MAX(AI8:AI11)-AI13+1</f>
        <v>15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5">
        <v>57</v>
      </c>
      <c r="BG12" s="26" t="str">
        <f>T58</f>
        <v>Netherlands</v>
      </c>
      <c r="BH12" s="84">
        <v>2</v>
      </c>
      <c r="BI12" s="86">
        <v>1</v>
      </c>
      <c r="BJ12" s="27">
        <v>4</v>
      </c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-599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6"/>
      <c r="BG13" s="28" t="str">
        <f>T59</f>
        <v>Argentina</v>
      </c>
      <c r="BH13" s="85">
        <v>2</v>
      </c>
      <c r="BI13" s="87">
        <v>1</v>
      </c>
      <c r="BJ13" s="30">
        <v>5</v>
      </c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9</v>
      </c>
      <c r="AG14" s="47">
        <f>SUMIF($E$7:$E$54,$AB14,$G$7:$G$54) + SUMIF($H$7:$H$54,$AB14,$F$7:$F$54)</f>
        <v>2</v>
      </c>
      <c r="AH14" s="47">
        <f>(AF14-AG14)*100+AK14*10000+AF14</f>
        <v>90709</v>
      </c>
      <c r="AI14" s="47">
        <f>AF14-AG14</f>
        <v>7</v>
      </c>
      <c r="AJ14" s="47">
        <f>(AI14-AI19)/AI18</f>
        <v>0.9375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1002.750881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5">
        <v>50</v>
      </c>
      <c r="AZ14" s="26" t="str">
        <f>AO20</f>
        <v>Argentina</v>
      </c>
      <c r="BA14" s="84">
        <v>3</v>
      </c>
      <c r="BB14" s="86">
        <v>1</v>
      </c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9 - 2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Morocco_draw</v>
      </c>
      <c r="T15" s="88" t="str">
        <f t="shared" si="4"/>
        <v>Croatia_draw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0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8</v>
      </c>
      <c r="AH15" s="47">
        <f>(AF15-AG15)*100+AK15*10000+AF15</f>
        <v>-800</v>
      </c>
      <c r="AI15" s="47">
        <f>AF15-AG15</f>
        <v>-8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6"/>
      <c r="AZ15" s="28" t="str">
        <f>AO27</f>
        <v>Denmark</v>
      </c>
      <c r="BA15" s="85">
        <v>3</v>
      </c>
      <c r="BB15" s="87">
        <v>0</v>
      </c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0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6 - 5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6</v>
      </c>
      <c r="AG16" s="47">
        <f>SUMIF($E$7:$E$54,$AB16,$G$7:$G$54) + SUMIF($H$7:$H$54,$AB16,$F$7:$F$54)</f>
        <v>5</v>
      </c>
      <c r="AH16" s="47">
        <f>(AF16-AG16)*100+AK16*10000+AF16</f>
        <v>40106</v>
      </c>
      <c r="AI16" s="47">
        <f>AF16-AG16</f>
        <v>1</v>
      </c>
      <c r="AJ16" s="47">
        <f>(AI16-AI19)/AI18</f>
        <v>0.5625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462.25081685999999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5">
        <v>61</v>
      </c>
      <c r="BN16" s="26" t="str">
        <f>T69</f>
        <v>Argentina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5 - 5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5</v>
      </c>
      <c r="AG17" s="47">
        <f>SUMIF($E$7:$E$54,$AB17,$G$7:$G$54) + SUMIF($H$7:$H$54,$AB17,$F$7:$F$54)</f>
        <v>5</v>
      </c>
      <c r="AH17" s="47">
        <f>(AF17-AG17)*100+AK17*10000+AF17</f>
        <v>40005</v>
      </c>
      <c r="AI17" s="47">
        <f>AF17-AG17</f>
        <v>0</v>
      </c>
      <c r="AJ17" s="47">
        <f>(AI17-AI19)/AI18</f>
        <v>0.5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455.00079106499999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6"/>
      <c r="BN17" s="28" t="str">
        <f>T70</f>
        <v>Brazil</v>
      </c>
      <c r="BO17" s="85">
        <v>3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3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0 - 8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10</v>
      </c>
      <c r="AG18" s="47">
        <f t="shared" si="11"/>
        <v>7</v>
      </c>
      <c r="AH18" s="47">
        <f>MAX(AH14:AH17)-AH19+1</f>
        <v>91510</v>
      </c>
      <c r="AI18" s="47">
        <f>MAX(AI14:AI17)-AI19+1</f>
        <v>16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5">
        <v>53</v>
      </c>
      <c r="AZ18" s="26" t="str">
        <f>AO32</f>
        <v>Spain</v>
      </c>
      <c r="BA18" s="84">
        <v>3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-800</v>
      </c>
      <c r="AI19" s="47">
        <f>MIN(AI14:AI17)</f>
        <v>-8</v>
      </c>
      <c r="AY19" s="126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3</v>
      </c>
      <c r="G20" s="22">
        <v>2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10</v>
      </c>
      <c r="AG20" s="47">
        <f>SUMIF($E$7:$E$54,$AB20,$G$7:$G$54) + SUMIF($H$7:$H$54,$AB20,$F$7:$F$54)</f>
        <v>3</v>
      </c>
      <c r="AH20" s="47">
        <f>(AF20-AG20)*100+AK20*10000+AF20</f>
        <v>90710</v>
      </c>
      <c r="AI20" s="47">
        <f>AF20-AG20</f>
        <v>7</v>
      </c>
      <c r="AJ20" s="47">
        <f>(AI20-AI25)/AI24</f>
        <v>0.9285714285714286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1001.948934448052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5">
        <v>58</v>
      </c>
      <c r="BG20" s="26" t="str">
        <f>T62</f>
        <v>Spain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10 - 3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6</v>
      </c>
      <c r="AH21" s="47">
        <f>(AF21-AG21)*100+AK21*10000+AF21</f>
        <v>-600</v>
      </c>
      <c r="AI21" s="47">
        <f>AF21-AG21</f>
        <v>-6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6"/>
      <c r="BG21" s="28" t="str">
        <f>T63</f>
        <v>Brazil</v>
      </c>
      <c r="BH21" s="85">
        <v>3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4</v>
      </c>
      <c r="G22" s="22">
        <v>2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5 - 4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4</v>
      </c>
      <c r="AH22" s="47">
        <f>(AF22-AG22)*100+AK22*10000+AF22</f>
        <v>60105</v>
      </c>
      <c r="AI22" s="47">
        <f>AF22-AG22</f>
        <v>1</v>
      </c>
      <c r="AJ22" s="47">
        <f>(AI22-AI25)/AI24</f>
        <v>0.5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654.54628395545456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5">
        <v>54</v>
      </c>
      <c r="AZ22" s="26" t="str">
        <f>AO44</f>
        <v>Brazil</v>
      </c>
      <c r="BA22" s="84">
        <v>4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0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3 - 5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3</v>
      </c>
      <c r="AG23" s="47">
        <f>SUMIF($E$7:$E$54,$AB23,$G$7:$G$54) + SUMIF($H$7:$H$54,$AB23,$F$7:$F$54)</f>
        <v>5</v>
      </c>
      <c r="AH23" s="47">
        <f>(AF23-AG23)*100+AK23*10000+AF23</f>
        <v>29803</v>
      </c>
      <c r="AI23" s="47">
        <f>AF23-AG23</f>
        <v>-2</v>
      </c>
      <c r="AJ23" s="47">
        <f>(AI23-AI25)/AI24</f>
        <v>0.2857142857142857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331.29947329870129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6"/>
      <c r="AZ23" s="28" t="str">
        <f>AO51</f>
        <v>Uruguay</v>
      </c>
      <c r="BA23" s="85">
        <v>2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5">
        <v>64</v>
      </c>
      <c r="BU23" s="26" t="str">
        <f>T76</f>
        <v>Brazil</v>
      </c>
      <c r="BV23" s="84">
        <v>2</v>
      </c>
      <c r="BW23" s="86">
        <v>2</v>
      </c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0 - 6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11</v>
      </c>
      <c r="AG24" s="47">
        <f t="shared" si="12"/>
        <v>4</v>
      </c>
      <c r="AH24" s="47">
        <f>MAX(AH20:AH23)-AH25+1</f>
        <v>91311</v>
      </c>
      <c r="AI24" s="47">
        <f>MAX(AI20:AI23)-AI25+1</f>
        <v>14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6"/>
      <c r="BU24" s="28" t="str">
        <f>T77</f>
        <v>Portugal</v>
      </c>
      <c r="BV24" s="85">
        <v>2</v>
      </c>
      <c r="BW24" s="87">
        <v>1</v>
      </c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-600</v>
      </c>
      <c r="AI25" s="47">
        <f>MIN(AI20:AI23)</f>
        <v>-6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3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9</v>
      </c>
      <c r="AG26" s="47">
        <f>SUMIF($E$7:$E$54,$AB26,$G$7:$G$54) + SUMIF($H$7:$H$54,$AB26,$F$7:$F$54)</f>
        <v>3</v>
      </c>
      <c r="AH26" s="47">
        <f>(AF26-AG26)*100+AK26*10000+AF26</f>
        <v>90609</v>
      </c>
      <c r="AI26" s="47">
        <f>AF26-AG26</f>
        <v>6</v>
      </c>
      <c r="AJ26" s="47">
        <f>(AI26-AI31)/AI30</f>
        <v>0.91666666666666663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1101.6675616666666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5">
        <v>51</v>
      </c>
      <c r="AZ26" s="26" t="str">
        <f>AO14</f>
        <v>England</v>
      </c>
      <c r="BA26" s="84">
        <v>3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9 - 3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6</v>
      </c>
      <c r="AH27" s="47">
        <f>(AF27-AG27)*100+AK27*10000+AF27</f>
        <v>9501</v>
      </c>
      <c r="AI27" s="47">
        <f>AF27-AG27</f>
        <v>-5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112.22296408722222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6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6 - 4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4</v>
      </c>
      <c r="AH28" s="47">
        <f>(AF28-AG28)*100+AK28*10000+AF28</f>
        <v>60206</v>
      </c>
      <c r="AI28" s="47">
        <f>AF28-AG28</f>
        <v>2</v>
      </c>
      <c r="AJ28" s="47">
        <f>(AI28-AI31)/AI30</f>
        <v>0.58333333333333337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731.66749346666666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5">
        <v>59</v>
      </c>
      <c r="BG28" s="26" t="str">
        <f>T60</f>
        <v>England</v>
      </c>
      <c r="BH28" s="84">
        <v>3</v>
      </c>
      <c r="BI28" s="86">
        <v>0</v>
      </c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3</v>
      </c>
      <c r="G29" s="22">
        <v>2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3 - 6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3</v>
      </c>
      <c r="AG29" s="47">
        <f>SUMIF($E$7:$E$54,$AB29,$G$7:$G$54) + SUMIF($H$7:$H$54,$AB29,$F$7:$F$54)</f>
        <v>6</v>
      </c>
      <c r="AH29" s="47">
        <f>(AF29-AG29)*100+AK29*10000+AF29</f>
        <v>9703</v>
      </c>
      <c r="AI29" s="47">
        <f>AF29-AG29</f>
        <v>-3</v>
      </c>
      <c r="AJ29" s="47">
        <f>(AI29-AI31)/AI30</f>
        <v>0.16666666666666666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131.1118610111111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6"/>
      <c r="BG29" s="28" t="str">
        <f>T61</f>
        <v>France</v>
      </c>
      <c r="BH29" s="85">
        <v>3</v>
      </c>
      <c r="BI29" s="87">
        <v>2</v>
      </c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2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1 - 6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9</v>
      </c>
      <c r="AG30" s="47">
        <f t="shared" si="13"/>
        <v>4</v>
      </c>
      <c r="AH30" s="47">
        <f>MAX(AH26:AH29)-AH31+1</f>
        <v>81109</v>
      </c>
      <c r="AI30" s="47">
        <f>MAX(AI26:AI29)-AI31+1</f>
        <v>12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5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9501</v>
      </c>
      <c r="AI31" s="47">
        <f>MIN(AI26:AI29)</f>
        <v>-5</v>
      </c>
      <c r="AY31" s="126"/>
      <c r="AZ31" s="28" t="str">
        <f>AO21</f>
        <v>Mexico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7" t="str">
        <f>INDEX(T,7,lang)</f>
        <v>Third-Place Play-Off</v>
      </c>
      <c r="BU31" s="128"/>
      <c r="BV31" s="128"/>
      <c r="BW31" s="128"/>
      <c r="BX31" s="129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7</v>
      </c>
      <c r="AG32" s="47">
        <f>SUMIF($E$7:$E$54,$AB32,$G$7:$G$54) + SUMIF($H$7:$H$54,$AB32,$F$7:$F$54)</f>
        <v>2</v>
      </c>
      <c r="AH32" s="47">
        <f>(AF32-AG32)*100+AK32*10000+AF32</f>
        <v>70507</v>
      </c>
      <c r="AI32" s="47">
        <f>AF32-AG32</f>
        <v>5</v>
      </c>
      <c r="AJ32" s="47">
        <f>(AI32-AI37)/AI36</f>
        <v>0.91666666666666663</v>
      </c>
      <c r="AK32" s="47">
        <f>AC32*3+AD32</f>
        <v>7</v>
      </c>
      <c r="AL32" s="47">
        <f>AP32/AP36*1000+AQ32/AQ36*100+AT32/AT36*10+AR32/AR36</f>
        <v>50.666666666666664</v>
      </c>
      <c r="AM32" s="47">
        <f>VLOOKUP(AB32,db_fifarank,2,FALSE)/2000000</f>
        <v>8.5450000000000001E-4</v>
      </c>
      <c r="AN32" s="48">
        <f>1000*AK32/AK36+100*AJ32+10*AF32/AF36+1*AL32/AL36+AM32</f>
        <v>977.64816632795691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1</v>
      </c>
      <c r="AR32" s="47">
        <f>SUMPRODUCT(($E$7:$E$54=AB32)*($U$7:$U$54)*($F$7:$F$54))+SUMPRODUCT(($H$7:$H$54=AB32)*($U$7:$U$54)*($G$7:$G$54))</f>
        <v>2</v>
      </c>
      <c r="AS32" s="47">
        <f>SUMPRODUCT(($E$7:$E$54=AB32)*($U$7:$U$54)*($G$7:$G$54))+SUMPRODUCT(($H$7:$H$54=AB32)*($U$7:$U$54)*($F$7:$F$54))</f>
        <v>2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5">
        <v>62</v>
      </c>
      <c r="BN32" s="26" t="str">
        <f>T71</f>
        <v>France</v>
      </c>
      <c r="BO32" s="84">
        <v>2</v>
      </c>
      <c r="BP32" s="86"/>
      <c r="BQ32" s="27"/>
      <c r="BR32" s="35"/>
      <c r="BS32" s="23"/>
      <c r="BT32" s="130"/>
      <c r="BU32" s="131"/>
      <c r="BV32" s="131"/>
      <c r="BW32" s="131"/>
      <c r="BX32" s="132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3</v>
      </c>
      <c r="G33" s="22">
        <v>1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7 - 2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7</v>
      </c>
      <c r="AH33" s="47">
        <f>(AF33-AG33)*100+AK33*10000+AF33</f>
        <v>-599</v>
      </c>
      <c r="AI33" s="47">
        <f>AF33-AG33</f>
        <v>-6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1.4293214585714287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6"/>
      <c r="BN33" s="28" t="str">
        <f>T72</f>
        <v>Portugal</v>
      </c>
      <c r="BO33" s="85">
        <v>3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2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7 - 2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1</v>
      </c>
      <c r="V34" s="47">
        <f t="shared" si="6"/>
        <v>2</v>
      </c>
      <c r="W34" s="47">
        <f t="shared" si="7"/>
        <v>2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7</v>
      </c>
      <c r="AG34" s="47">
        <f>SUMIF($E$7:$E$54,$AB34,$G$7:$G$54) + SUMIF($H$7:$H$54,$AB34,$F$7:$F$54)</f>
        <v>2</v>
      </c>
      <c r="AH34" s="47">
        <f>(AF34-AG34)*100+AK34*10000+AF34</f>
        <v>70507</v>
      </c>
      <c r="AI34" s="47">
        <f>AF34-AG34</f>
        <v>5</v>
      </c>
      <c r="AJ34" s="47">
        <f>(AI34-AI37)/AI36</f>
        <v>0.91666666666666663</v>
      </c>
      <c r="AK34" s="47">
        <f>AC34*3+AD34</f>
        <v>7</v>
      </c>
      <c r="AL34" s="47">
        <f>AP34/AP36*1000+AQ34/AQ36*100+AT34/AT36*10+AR34/AR36</f>
        <v>50.666666666666664</v>
      </c>
      <c r="AM34" s="47">
        <f>VLOOKUP(AB34,db_fifarank,2,FALSE)/2000000</f>
        <v>8.2526499999999994E-4</v>
      </c>
      <c r="AN34" s="48">
        <f>1000*AK34/AK36+100*AJ34+10*AF34/AF36+1*AL34/AL36+AM34</f>
        <v>977.64813709295697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1</v>
      </c>
      <c r="AR34" s="47">
        <f>SUMPRODUCT(($E$7:$E$54=AB34)*($U$7:$U$54)*($F$7:$F$54))+SUMPRODUCT(($H$7:$H$54=AB34)*($U$7:$U$54)*($G$7:$G$54))</f>
        <v>2</v>
      </c>
      <c r="AS34" s="47">
        <f>SUMPRODUCT(($E$7:$E$54=AB34)*($U$7:$U$54)*($G$7:$G$54))+SUMPRODUCT(($H$7:$H$54=AB34)*($U$7:$U$54)*($F$7:$F$54))</f>
        <v>2</v>
      </c>
      <c r="AT34" s="47">
        <f>AR34-AS34</f>
        <v>0</v>
      </c>
      <c r="AY34" s="125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2</v>
      </c>
      <c r="G35" s="22">
        <v>3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2 - 6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2</v>
      </c>
      <c r="AG35" s="47">
        <f>SUMIF($E$7:$E$54,$AB35,$G$7:$G$54) + SUMIF($H$7:$H$54,$AB35,$F$7:$F$54)</f>
        <v>6</v>
      </c>
      <c r="AH35" s="47">
        <f>(AF35-AG35)*100+AK35*10000+AF35</f>
        <v>29602</v>
      </c>
      <c r="AI35" s="47">
        <f>AF35-AG35</f>
        <v>-4</v>
      </c>
      <c r="AJ35" s="47">
        <f>(AI35-AI37)/AI36</f>
        <v>0.16666666666666666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394.52458624380949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6"/>
      <c r="AZ35" s="28" t="str">
        <f>AO33</f>
        <v>Germany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5">
        <v>63</v>
      </c>
      <c r="BU35" s="26" t="str">
        <f>Z76</f>
        <v>Argentina</v>
      </c>
      <c r="BV35" s="84">
        <v>2</v>
      </c>
      <c r="BW35" s="86">
        <f>BW36</f>
        <v>0</v>
      </c>
      <c r="BX35" s="27">
        <v>4</v>
      </c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1 - 7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3</v>
      </c>
      <c r="AD36" s="47">
        <f t="shared" si="14"/>
        <v>2</v>
      </c>
      <c r="AE36" s="47">
        <f t="shared" si="14"/>
        <v>4</v>
      </c>
      <c r="AF36" s="47">
        <f t="shared" si="14"/>
        <v>7</v>
      </c>
      <c r="AG36" s="47">
        <f t="shared" si="14"/>
        <v>6</v>
      </c>
      <c r="AH36" s="47">
        <f>MAX(AH32:AH35)-AH37+1</f>
        <v>71107</v>
      </c>
      <c r="AI36" s="47">
        <f>MAX(AI32:AI35)-AI37+1</f>
        <v>12</v>
      </c>
      <c r="AK36" s="47">
        <f t="shared" si="14"/>
        <v>8</v>
      </c>
      <c r="AL36" s="47">
        <f t="shared" si="14"/>
        <v>51.666666666666664</v>
      </c>
      <c r="AP36" s="47">
        <f>MAX(AP32:AP35)-MIN(AP32:AP35)+1</f>
        <v>1</v>
      </c>
      <c r="AQ36" s="47">
        <f>MAX(AQ32:AQ35)-MIN(AQ32:AQ35)+1</f>
        <v>2</v>
      </c>
      <c r="AR36" s="47">
        <f>MAX(AR32:AR35)-MIN(AR32:AR35)+1</f>
        <v>3</v>
      </c>
      <c r="AS36" s="47">
        <f>MAX(AS32:AS35)-MIN(AS32:AS35)+1</f>
        <v>3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5">
        <v>60</v>
      </c>
      <c r="BG36" s="26" t="str">
        <f>T64</f>
        <v>Germany</v>
      </c>
      <c r="BH36" s="84">
        <v>3</v>
      </c>
      <c r="BI36" s="86">
        <v>0</v>
      </c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6"/>
      <c r="BU36" s="28" t="str">
        <f>Z77</f>
        <v>France</v>
      </c>
      <c r="BV36" s="85">
        <v>2</v>
      </c>
      <c r="BW36" s="87">
        <v>0</v>
      </c>
      <c r="BX36" s="30">
        <v>5</v>
      </c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-599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6"/>
      <c r="BG37" s="28" t="str">
        <f>T65</f>
        <v>Portugal</v>
      </c>
      <c r="BH37" s="85">
        <v>3</v>
      </c>
      <c r="BI37" s="87">
        <v>1</v>
      </c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3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1</v>
      </c>
      <c r="AH38" s="47">
        <f>(AF38-AG38)*100+AK38*10000+AF38</f>
        <v>70607</v>
      </c>
      <c r="AI38" s="47">
        <f>AF38-AG38</f>
        <v>6</v>
      </c>
      <c r="AJ38" s="47">
        <f>(AI38-AI43)/AI42</f>
        <v>0.92307692307692313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981.30860580769229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5">
        <v>56</v>
      </c>
      <c r="AZ38" s="26" t="str">
        <f>AO50</f>
        <v>Portugal</v>
      </c>
      <c r="BA38" s="84">
        <v>2</v>
      </c>
      <c r="BB38" s="86">
        <v>0</v>
      </c>
      <c r="BC38" s="27">
        <v>5</v>
      </c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2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7 - 1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3</v>
      </c>
      <c r="AG39" s="47">
        <f>SUMIF($E$7:$E$54,$AB39,$G$7:$G$54) + SUMIF($H$7:$H$54,$AB39,$F$7:$F$54)</f>
        <v>9</v>
      </c>
      <c r="AH39" s="47">
        <f>(AF39-AG39)*100+AK39*10000+AF39</f>
        <v>-597</v>
      </c>
      <c r="AI39" s="47">
        <f>AF39-AG39</f>
        <v>-6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6.0007394999999999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6"/>
      <c r="AZ39" s="28" t="str">
        <f>AO45</f>
        <v>Serbia</v>
      </c>
      <c r="BA39" s="85">
        <v>2</v>
      </c>
      <c r="BB39" s="87">
        <v>0</v>
      </c>
      <c r="BC39" s="30">
        <v>4</v>
      </c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4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1</v>
      </c>
      <c r="M40" s="25">
        <f>VLOOKUP(2,AA38:AK41,4,FALSE)</f>
        <v>2</v>
      </c>
      <c r="N40" s="25">
        <f>VLOOKUP(2,AA38:AK41,5,FALSE)</f>
        <v>0</v>
      </c>
      <c r="O40" s="25" t="str">
        <f>VLOOKUP(2,AA38:AK41,6,FALSE) &amp; " - " &amp; VLOOKUP(2,AA38:AK41,7,FALSE)</f>
        <v>5 - 3</v>
      </c>
      <c r="P40" s="54">
        <f>L40*3+M40</f>
        <v>5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1</v>
      </c>
      <c r="AE40" s="47">
        <f>COUNTIF($S$7:$T$54,"=" &amp; AB40 &amp; "_lose")</f>
        <v>1</v>
      </c>
      <c r="AF40" s="47">
        <f>SUMIF($E$7:$E$54,$AB40,$F$7:$F$54) + SUMIF($H$7:$H$54,$AB40,$G$7:$G$54)</f>
        <v>4</v>
      </c>
      <c r="AG40" s="47">
        <f>SUMIF($E$7:$E$54,$AB40,$G$7:$G$54) + SUMIF($H$7:$H$54,$AB40,$F$7:$F$54)</f>
        <v>6</v>
      </c>
      <c r="AH40" s="47">
        <f>(AF40-AG40)*100+AK40*10000+AF40</f>
        <v>39804</v>
      </c>
      <c r="AI40" s="47">
        <f>AF40-AG40</f>
        <v>-2</v>
      </c>
      <c r="AJ40" s="47">
        <f>(AI40-AI43)/AI42</f>
        <v>0.30769230769230771</v>
      </c>
      <c r="AK40" s="47">
        <f>AC40*3+AD40</f>
        <v>4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538.77000670923076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3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1</v>
      </c>
      <c r="N41" s="25">
        <f>VLOOKUP(3,AA38:AK41,5,FALSE)</f>
        <v>1</v>
      </c>
      <c r="O41" s="25" t="str">
        <f>VLOOKUP(3,AA38:AK41,6,FALSE) &amp; " - " &amp; VLOOKUP(3,AA38:AK41,7,FALSE)</f>
        <v>4 - 6</v>
      </c>
      <c r="P41" s="54">
        <f>L41*3+M41</f>
        <v>4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1</v>
      </c>
      <c r="AD41" s="47">
        <f>COUNTIF($S$7:$T$54,"=" &amp; AB41 &amp; "_draw")</f>
        <v>2</v>
      </c>
      <c r="AE41" s="47">
        <f>COUNTIF($S$7:$T$54,"=" &amp; AB41 &amp; "_lose")</f>
        <v>0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3</v>
      </c>
      <c r="AH41" s="47">
        <f>(AF41-AG41)*100+AK41*10000+AF41</f>
        <v>50205</v>
      </c>
      <c r="AI41" s="47">
        <f>AF41-AG41</f>
        <v>2</v>
      </c>
      <c r="AJ41" s="47">
        <f>(AI41-AI43)/AI42</f>
        <v>0.61538461538461542</v>
      </c>
      <c r="AK41" s="47">
        <f>AC41*3+AD41</f>
        <v>5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696.53927209346159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3" t="s">
        <v>2515</v>
      </c>
      <c r="AZ41" s="134"/>
      <c r="BA41" s="134"/>
      <c r="BB41" s="134"/>
      <c r="BC41" s="135"/>
      <c r="BL41" s="142" t="str">
        <f>INDEX(T,102,lang)</f>
        <v>World Champion 2022</v>
      </c>
      <c r="BM41" s="142"/>
      <c r="BN41" s="142"/>
      <c r="BO41" s="142"/>
      <c r="BP41" s="142"/>
      <c r="BQ41" s="142"/>
      <c r="BR41" s="144" t="str">
        <f>S85</f>
        <v>Brazil</v>
      </c>
      <c r="BS41" s="144"/>
      <c r="BT41" s="144"/>
      <c r="BU41" s="144"/>
      <c r="BV41" s="144"/>
      <c r="BW41" s="144"/>
      <c r="BX41" s="144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3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3 - 9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3</v>
      </c>
      <c r="AE42" s="47">
        <f t="shared" si="15"/>
        <v>4</v>
      </c>
      <c r="AF42" s="47">
        <f t="shared" si="15"/>
        <v>5</v>
      </c>
      <c r="AG42" s="47">
        <f t="shared" si="15"/>
        <v>9</v>
      </c>
      <c r="AH42" s="47">
        <f>MAX(AH38:AH41)-AH43+1</f>
        <v>71205</v>
      </c>
      <c r="AI42" s="47">
        <f>MAX(AI38:AI41)-AI43+1</f>
        <v>13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6"/>
      <c r="AZ42" s="137"/>
      <c r="BA42" s="137"/>
      <c r="BB42" s="137"/>
      <c r="BC42" s="138"/>
      <c r="BL42" s="143"/>
      <c r="BM42" s="143"/>
      <c r="BN42" s="143"/>
      <c r="BO42" s="143"/>
      <c r="BP42" s="143"/>
      <c r="BQ42" s="143"/>
      <c r="BR42" s="145"/>
      <c r="BS42" s="145"/>
      <c r="BT42" s="145"/>
      <c r="BU42" s="145"/>
      <c r="BV42" s="145"/>
      <c r="BW42" s="145"/>
      <c r="BX42" s="145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-597</v>
      </c>
      <c r="AI43" s="47">
        <f>MIN(AI38:AI41)</f>
        <v>-6</v>
      </c>
      <c r="AY43" s="136"/>
      <c r="AZ43" s="137"/>
      <c r="BA43" s="137"/>
      <c r="BB43" s="137"/>
      <c r="BC43" s="138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1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10</v>
      </c>
      <c r="AG44" s="47">
        <f>SUMIF($E$7:$E$54,$AB44,$G$7:$G$54) + SUMIF($H$7:$H$54,$AB44,$F$7:$F$54)</f>
        <v>5</v>
      </c>
      <c r="AH44" s="47">
        <f>(AF44-AG44)*100+AK44*10000+AF44</f>
        <v>90510</v>
      </c>
      <c r="AI44" s="47">
        <f>AF44-AG44</f>
        <v>5</v>
      </c>
      <c r="AJ44" s="47">
        <f>(AI44-AI49)/AI48</f>
        <v>0.875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1104.1675830116667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6"/>
      <c r="AZ44" s="137"/>
      <c r="BA44" s="137"/>
      <c r="BB44" s="137"/>
      <c r="BC44" s="138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10 - 5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1</v>
      </c>
      <c r="AE45" s="47">
        <f>COUNTIF($S$7:$T$54,"=" &amp; AB45 &amp; "_lose")</f>
        <v>1</v>
      </c>
      <c r="AF45" s="47">
        <f>SUMIF($E$7:$E$54,$AB45,$F$7:$F$54) + SUMIF($H$7:$H$54,$AB45,$G$7:$G$54)</f>
        <v>7</v>
      </c>
      <c r="AG45" s="47">
        <f>SUMIF($E$7:$E$54,$AB45,$G$7:$G$54) + SUMIF($H$7:$H$54,$AB45,$F$7:$F$54)</f>
        <v>8</v>
      </c>
      <c r="AH45" s="47">
        <f>(AF45-AG45)*100+AK45*10000+AF45</f>
        <v>39907</v>
      </c>
      <c r="AI45" s="47">
        <f>AF45-AG45</f>
        <v>-1</v>
      </c>
      <c r="AJ45" s="47">
        <f>(AI45-AI49)/AI48</f>
        <v>0.125</v>
      </c>
      <c r="AK45" s="47">
        <f>AC45*3+AD45</f>
        <v>4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468.61188487611116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6"/>
      <c r="AZ45" s="137"/>
      <c r="BA45" s="137"/>
      <c r="BB45" s="137"/>
      <c r="BC45" s="138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7 - 8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2</v>
      </c>
      <c r="AE46" s="47">
        <f>COUNTIF($S$7:$T$54,"=" &amp; AB46 &amp; "_lose")</f>
        <v>1</v>
      </c>
      <c r="AF46" s="47">
        <f>SUMIF($E$7:$E$54,$AB46,$F$7:$F$54) + SUMIF($H$7:$H$54,$AB46,$G$7:$G$54)</f>
        <v>5</v>
      </c>
      <c r="AG46" s="47">
        <f>SUMIF($E$7:$E$54,$AB46,$G$7:$G$54) + SUMIF($H$7:$H$54,$AB46,$F$7:$F$54)</f>
        <v>7</v>
      </c>
      <c r="AH46" s="47">
        <f>(AF46-AG46)*100+AK46*10000+AF46</f>
        <v>19805</v>
      </c>
      <c r="AI46" s="47">
        <f>AF46-AG46</f>
        <v>-2</v>
      </c>
      <c r="AJ46" s="47">
        <f>(AI46-AI49)/AI48</f>
        <v>0</v>
      </c>
      <c r="AK46" s="47">
        <f>AC46*3+AD46</f>
        <v>2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230.55637321555557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9"/>
      <c r="AZ46" s="140"/>
      <c r="BA46" s="140"/>
      <c r="BB46" s="140"/>
      <c r="BC46" s="141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1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5 - 7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6</v>
      </c>
      <c r="AG47" s="47">
        <f>SUMIF($E$7:$E$54,$AB47,$G$7:$G$54) + SUMIF($H$7:$H$54,$AB47,$F$7:$F$54)</f>
        <v>8</v>
      </c>
      <c r="AH47" s="47">
        <f>(AF47-AG47)*100+AK47*10000+AF47</f>
        <v>9806</v>
      </c>
      <c r="AI47" s="47">
        <f>AF47-AG47</f>
        <v>-2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121.11185135111111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2</v>
      </c>
      <c r="G48" s="22">
        <v>3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6 - 8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3</v>
      </c>
      <c r="AE48" s="47">
        <f t="shared" si="16"/>
        <v>3</v>
      </c>
      <c r="AF48" s="47">
        <f t="shared" si="16"/>
        <v>6</v>
      </c>
      <c r="AG48" s="47">
        <f t="shared" si="16"/>
        <v>4</v>
      </c>
      <c r="AH48" s="47">
        <f>MAX(AH44:AH47)-AH49+1</f>
        <v>80705</v>
      </c>
      <c r="AI48" s="47">
        <f>MAX(AI44:AI47)-AI49+1</f>
        <v>8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3" t="s">
        <v>2516</v>
      </c>
      <c r="AZ48" s="134"/>
      <c r="BA48" s="134"/>
      <c r="BB48" s="134"/>
      <c r="BC48" s="135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9806</v>
      </c>
      <c r="AI49" s="47">
        <f>MIN(AI44:AI47)</f>
        <v>-2</v>
      </c>
      <c r="AY49" s="136"/>
      <c r="AZ49" s="137"/>
      <c r="BA49" s="137"/>
      <c r="BB49" s="137"/>
      <c r="BC49" s="138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3</v>
      </c>
      <c r="AH50" s="47">
        <f>(AF50-AG50)*100+AK50*10000+AF50</f>
        <v>90407</v>
      </c>
      <c r="AI50" s="47">
        <f>AF50-AG50</f>
        <v>4</v>
      </c>
      <c r="AJ50" s="47">
        <f>(AI50-AI55)/AI54</f>
        <v>0.88888888888888884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1000.5563929455556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6"/>
      <c r="AZ50" s="137"/>
      <c r="BA50" s="137"/>
      <c r="BB50" s="137"/>
      <c r="BC50" s="138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7 - 3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6</v>
      </c>
      <c r="AH51" s="47">
        <f>(AF51-AG51)*100+AK51*10000+AF51</f>
        <v>-398</v>
      </c>
      <c r="AI51" s="47">
        <f>AF51-AG51</f>
        <v>-4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3.3340270133333334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6"/>
      <c r="AZ51" s="137"/>
      <c r="BA51" s="137"/>
      <c r="BB51" s="137"/>
      <c r="BC51" s="138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7 - 6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7</v>
      </c>
      <c r="AG52" s="47">
        <f>SUMIF($E$7:$E$54,$AB52,$G$7:$G$54) + SUMIF($H$7:$H$54,$AB52,$F$7:$F$54)</f>
        <v>6</v>
      </c>
      <c r="AH52" s="47">
        <f>(AF52-AG52)*100+AK52*10000+AF52</f>
        <v>60107</v>
      </c>
      <c r="AI52" s="47">
        <f>AF52-AG52</f>
        <v>1</v>
      </c>
      <c r="AJ52" s="47">
        <f>(AI52-AI55)/AI54</f>
        <v>0.55555555555555558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667.22304008722222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6"/>
      <c r="AZ52" s="137"/>
      <c r="BA52" s="137"/>
      <c r="BB52" s="137"/>
      <c r="BC52" s="138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2</v>
      </c>
      <c r="G53" s="22">
        <v>2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5 - 6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5</v>
      </c>
      <c r="AG53" s="47">
        <f>SUMIF($E$7:$E$54,$AB53,$G$7:$G$54) + SUMIF($H$7:$H$54,$AB53,$F$7:$F$54)</f>
        <v>6</v>
      </c>
      <c r="AH53" s="47">
        <f>(AF53-AG53)*100+AK53*10000+AF53</f>
        <v>29905</v>
      </c>
      <c r="AI53" s="47">
        <f>AF53-AG53</f>
        <v>-1</v>
      </c>
      <c r="AJ53" s="47">
        <f>(AI53-AI55)/AI54</f>
        <v>0.33333333333333331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341.66742643666663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6"/>
      <c r="AZ53" s="137"/>
      <c r="BA53" s="137"/>
      <c r="BB53" s="137"/>
      <c r="BC53" s="138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2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2 - 6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6</v>
      </c>
      <c r="AG54" s="47">
        <f t="shared" si="17"/>
        <v>4</v>
      </c>
      <c r="AH54" s="47">
        <f>MAX(AH50:AH53)-AH55+1</f>
        <v>90806</v>
      </c>
      <c r="AI54" s="47">
        <f>MAX(AI50:AI53)-AI55+1</f>
        <v>9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9"/>
      <c r="AZ54" s="140"/>
      <c r="BA54" s="140"/>
      <c r="BB54" s="140"/>
      <c r="BC54" s="141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-398</v>
      </c>
      <c r="AI55" s="47">
        <f>MIN(AI50:AI53)</f>
        <v>-4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France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0" sqref="B10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2530</v>
      </c>
    </row>
    <row r="3" spans="1:2" x14ac:dyDescent="0.25">
      <c r="A3" s="100" t="s">
        <v>2519</v>
      </c>
      <c r="B3" s="103" t="s">
        <v>2531</v>
      </c>
    </row>
    <row r="4" spans="1:2" x14ac:dyDescent="0.25">
      <c r="A4" s="103" t="s">
        <v>2520</v>
      </c>
      <c r="B4" s="100" t="s">
        <v>2532</v>
      </c>
    </row>
    <row r="5" spans="1:2" x14ac:dyDescent="0.25">
      <c r="A5" s="100" t="s">
        <v>2529</v>
      </c>
      <c r="B5" s="104" t="s">
        <v>2539</v>
      </c>
    </row>
    <row r="6" spans="1:2" x14ac:dyDescent="0.25">
      <c r="A6" s="103" t="s">
        <v>2521</v>
      </c>
      <c r="B6" s="100" t="s">
        <v>2533</v>
      </c>
    </row>
    <row r="7" spans="1:2" x14ac:dyDescent="0.25">
      <c r="A7" s="100" t="s">
        <v>2522</v>
      </c>
      <c r="B7" s="103" t="s">
        <v>2534</v>
      </c>
    </row>
    <row r="8" spans="1:2" x14ac:dyDescent="0.25">
      <c r="A8" s="103" t="s">
        <v>2523</v>
      </c>
      <c r="B8" s="100" t="s">
        <v>2535</v>
      </c>
    </row>
    <row r="9" spans="1:2" x14ac:dyDescent="0.25">
      <c r="A9" s="100" t="s">
        <v>2524</v>
      </c>
      <c r="B9" s="103" t="s">
        <v>2536</v>
      </c>
    </row>
    <row r="10" spans="1:2" x14ac:dyDescent="0.25">
      <c r="A10" s="103" t="s">
        <v>2525</v>
      </c>
      <c r="B10" s="100" t="s">
        <v>2537</v>
      </c>
    </row>
    <row r="11" spans="1:2" x14ac:dyDescent="0.25">
      <c r="A11" s="100" t="s">
        <v>2528</v>
      </c>
      <c r="B11" s="103" t="s">
        <v>2538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Karl Kruus</cp:lastModifiedBy>
  <cp:lastPrinted>2018-01-03T15:36:04Z</cp:lastPrinted>
  <dcterms:created xsi:type="dcterms:W3CDTF">2017-12-27T19:32:51Z</dcterms:created>
  <dcterms:modified xsi:type="dcterms:W3CDTF">2022-11-20T11:05:53Z</dcterms:modified>
</cp:coreProperties>
</file>