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aspe\Downloads\"/>
    </mc:Choice>
  </mc:AlternateContent>
  <xr:revisionPtr revIDLastSave="0" documentId="13_ncr:1_{BF95ABC5-C87C-4038-8038-916CD972EEEF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J26" i="3" s="1"/>
  <c r="M32" i="3" l="1"/>
  <c r="J44" i="3"/>
  <c r="L8" i="3"/>
  <c r="N26" i="3"/>
  <c r="O14" i="3"/>
  <c r="A1" i="3"/>
  <c r="O50" i="3"/>
  <c r="A5" i="3"/>
  <c r="P50" i="3"/>
  <c r="M38" i="3"/>
  <c r="N38" i="3"/>
  <c r="K50" i="3"/>
  <c r="L14" i="3"/>
  <c r="BT31" i="3"/>
  <c r="M8" i="3"/>
  <c r="N20" i="3"/>
  <c r="O44" i="3"/>
  <c r="AY6" i="3"/>
  <c r="L50" i="3"/>
  <c r="L32" i="3"/>
  <c r="O38" i="3"/>
  <c r="J20" i="3"/>
  <c r="M50" i="3"/>
  <c r="K44" i="3"/>
  <c r="P44" i="3"/>
  <c r="B44" i="2"/>
  <c r="B32" i="2"/>
  <c r="B20" i="2"/>
  <c r="AB39" i="3"/>
  <c r="AB17" i="3"/>
  <c r="B43" i="2"/>
  <c r="B18" i="2"/>
  <c r="AB22" i="3"/>
  <c r="AB35" i="3"/>
  <c r="AB53" i="3"/>
  <c r="AB46" i="3"/>
  <c r="AB32" i="3"/>
  <c r="AB10" i="3"/>
  <c r="B19" i="2"/>
  <c r="B29" i="2"/>
  <c r="AB29" i="3"/>
  <c r="AB21" i="3"/>
  <c r="B42" i="2"/>
  <c r="B41" i="2"/>
  <c r="B27" i="2"/>
  <c r="AB52" i="3"/>
  <c r="AB45" i="3"/>
  <c r="AB38" i="3"/>
  <c r="AB23" i="3"/>
  <c r="AB16" i="3"/>
  <c r="B28" i="2"/>
  <c r="B26" i="2"/>
  <c r="B40" i="2"/>
  <c r="AB51" i="3"/>
  <c r="B38" i="2"/>
  <c r="AB50" i="3"/>
  <c r="AB14" i="3"/>
  <c r="B48" i="2"/>
  <c r="B36" i="2"/>
  <c r="B24" i="2"/>
  <c r="B35" i="2"/>
  <c r="B39" i="2"/>
  <c r="B25" i="2"/>
  <c r="AB41" i="3"/>
  <c r="AB34" i="3"/>
  <c r="AB27" i="3"/>
  <c r="AB20" i="3"/>
  <c r="B47" i="2"/>
  <c r="B23" i="2"/>
  <c r="AB15" i="3"/>
  <c r="B37" i="2"/>
  <c r="B46" i="2"/>
  <c r="B34" i="2"/>
  <c r="B22" i="2"/>
  <c r="AB11" i="3"/>
  <c r="B33" i="2"/>
  <c r="B31" i="2"/>
  <c r="B17" i="2"/>
  <c r="AB8" i="3"/>
  <c r="AB28" i="3"/>
  <c r="AB47" i="3"/>
  <c r="AB40" i="3"/>
  <c r="AB33" i="3"/>
  <c r="AB26" i="3"/>
  <c r="B45" i="2"/>
  <c r="B21" i="2"/>
  <c r="B30" i="2"/>
  <c r="AB9" i="3"/>
  <c r="AB44" i="3"/>
  <c r="R37" i="3"/>
  <c r="R36" i="3"/>
  <c r="R33" i="3"/>
  <c r="R32" i="3"/>
  <c r="R29" i="3"/>
  <c r="R28" i="3"/>
  <c r="R21" i="3"/>
  <c r="R20" i="3"/>
  <c r="R17" i="3"/>
  <c r="R16" i="3"/>
  <c r="R13" i="3"/>
  <c r="R12" i="3"/>
  <c r="O8" i="3"/>
  <c r="N50" i="3"/>
  <c r="M26" i="3"/>
  <c r="O20" i="3"/>
  <c r="N14" i="3"/>
  <c r="P32" i="3"/>
  <c r="N44" i="3"/>
  <c r="K26" i="3"/>
  <c r="BL41" i="3"/>
  <c r="O26" i="3"/>
  <c r="J32" i="3"/>
  <c r="P14" i="3"/>
  <c r="L44" i="3"/>
  <c r="K38" i="3"/>
  <c r="BT6" i="3"/>
  <c r="P26" i="3"/>
  <c r="N8" i="3"/>
  <c r="L38" i="3"/>
  <c r="N32" i="3"/>
  <c r="K20" i="3"/>
  <c r="BF6" i="3"/>
  <c r="O32" i="3"/>
  <c r="L26" i="3"/>
  <c r="BM6" i="3"/>
  <c r="M44" i="3"/>
  <c r="P20" i="3"/>
  <c r="K8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28" i="3" l="1"/>
  <c r="AM23" i="3"/>
  <c r="E45" i="3"/>
  <c r="H13" i="3"/>
  <c r="E14" i="3"/>
  <c r="H44" i="3"/>
  <c r="E29" i="3"/>
  <c r="AM26" i="3"/>
  <c r="E18" i="3"/>
  <c r="E32" i="3"/>
  <c r="H47" i="3"/>
  <c r="AM38" i="3"/>
  <c r="H53" i="3"/>
  <c r="H37" i="3"/>
  <c r="E19" i="3"/>
  <c r="AM46" i="3"/>
  <c r="E50" i="3"/>
  <c r="H31" i="3"/>
  <c r="H17" i="3"/>
  <c r="H22" i="3"/>
  <c r="X22" i="3" s="1"/>
  <c r="H35" i="3"/>
  <c r="E53" i="3"/>
  <c r="AM45" i="3"/>
  <c r="H20" i="3"/>
  <c r="E36" i="3"/>
  <c r="E52" i="3"/>
  <c r="AM53" i="3"/>
  <c r="E49" i="3"/>
  <c r="H16" i="3"/>
  <c r="E31" i="3"/>
  <c r="AM35" i="3"/>
  <c r="H46" i="3"/>
  <c r="H30" i="3"/>
  <c r="E13" i="3"/>
  <c r="AM22" i="3"/>
  <c r="E38" i="3"/>
  <c r="AM50" i="3"/>
  <c r="H52" i="3"/>
  <c r="E21" i="3"/>
  <c r="E8" i="3"/>
  <c r="H24" i="3"/>
  <c r="H39" i="3"/>
  <c r="AM8" i="3"/>
  <c r="E30" i="3"/>
  <c r="AM20" i="3"/>
  <c r="H45" i="3"/>
  <c r="E11" i="3"/>
  <c r="AM33" i="3"/>
  <c r="H14" i="3"/>
  <c r="H27" i="3"/>
  <c r="E43" i="3"/>
  <c r="AM27" i="3"/>
  <c r="H21" i="3"/>
  <c r="H36" i="3"/>
  <c r="AM51" i="3"/>
  <c r="E51" i="3"/>
  <c r="X51" i="3" s="1"/>
  <c r="E46" i="3"/>
  <c r="H11" i="3"/>
  <c r="AM21" i="3"/>
  <c r="H28" i="3"/>
  <c r="H10" i="3"/>
  <c r="E23" i="3"/>
  <c r="E41" i="3"/>
  <c r="AM17" i="3"/>
  <c r="H18" i="3"/>
  <c r="H33" i="3"/>
  <c r="E48" i="3"/>
  <c r="X48" i="3" s="1"/>
  <c r="AM39" i="3"/>
  <c r="H38" i="3"/>
  <c r="H51" i="3"/>
  <c r="E20" i="3"/>
  <c r="AM52" i="3"/>
  <c r="E26" i="3"/>
  <c r="H41" i="3"/>
  <c r="AM14" i="3"/>
  <c r="E9" i="3"/>
  <c r="E16" i="3"/>
  <c r="H34" i="3"/>
  <c r="H50" i="3"/>
  <c r="AM34" i="3"/>
  <c r="H12" i="3"/>
  <c r="E44" i="3"/>
  <c r="E27" i="3"/>
  <c r="AM29" i="3"/>
  <c r="H40" i="3"/>
  <c r="E24" i="3"/>
  <c r="E7" i="3"/>
  <c r="AF39" i="3" s="1"/>
  <c r="AM9" i="3"/>
  <c r="E33" i="3"/>
  <c r="E47" i="3"/>
  <c r="AM41" i="3"/>
  <c r="H15" i="3"/>
  <c r="E42" i="3"/>
  <c r="X42" i="3" s="1"/>
  <c r="AM15" i="3"/>
  <c r="H23" i="3"/>
  <c r="X23" i="3" s="1"/>
  <c r="H9" i="3"/>
  <c r="H29" i="3"/>
  <c r="AM28" i="3"/>
  <c r="H43" i="3"/>
  <c r="E12" i="3"/>
  <c r="E54" i="3"/>
  <c r="E35" i="3"/>
  <c r="H19" i="3"/>
  <c r="X19" i="3" s="1"/>
  <c r="AM47" i="3"/>
  <c r="H54" i="3"/>
  <c r="AM44" i="3"/>
  <c r="E37" i="3"/>
  <c r="E22" i="3"/>
  <c r="E25" i="3"/>
  <c r="E40" i="3"/>
  <c r="X40" i="3" s="1"/>
  <c r="H8" i="3"/>
  <c r="AM11" i="3"/>
  <c r="AM16" i="3"/>
  <c r="H42" i="3"/>
  <c r="H26" i="3"/>
  <c r="E10" i="3"/>
  <c r="X10" i="3" s="1"/>
  <c r="H25" i="3"/>
  <c r="X25" i="3" s="1"/>
  <c r="AM10" i="3"/>
  <c r="H7" i="3"/>
  <c r="E39" i="3"/>
  <c r="H48" i="3"/>
  <c r="H32" i="3"/>
  <c r="AM40" i="3"/>
  <c r="E15" i="3"/>
  <c r="E34" i="3"/>
  <c r="E17" i="3"/>
  <c r="AM32" i="3"/>
  <c r="H49" i="3"/>
  <c r="X20" i="3"/>
  <c r="X31" i="3"/>
  <c r="X33" i="3"/>
  <c r="X35" i="3"/>
  <c r="X52" i="3"/>
  <c r="X34" i="3"/>
  <c r="X21" i="3"/>
  <c r="X44" i="3"/>
  <c r="X13" i="3"/>
  <c r="X47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X7" i="3" l="1"/>
  <c r="AF28" i="3"/>
  <c r="AI28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F30" i="3" l="1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2" i="3" l="1"/>
  <c r="AH22" i="3" s="1"/>
  <c r="AK34" i="3"/>
  <c r="AH34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39" i="3" l="1"/>
  <c r="W39" i="3" s="1"/>
  <c r="W40" i="3"/>
  <c r="V40" i="3"/>
  <c r="U7" i="3"/>
  <c r="V7" i="3" s="1"/>
  <c r="U24" i="3"/>
  <c r="AH13" i="3"/>
  <c r="AH12" i="3" s="1"/>
  <c r="U8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W49" i="3" s="1"/>
  <c r="U20" i="3"/>
  <c r="W20" i="3" s="1"/>
  <c r="V39" i="3"/>
  <c r="W7" i="3"/>
  <c r="W24" i="3"/>
  <c r="V24" i="3"/>
  <c r="W8" i="3"/>
  <c r="V8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49" i="3" l="1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O15" i="3" l="1"/>
  <c r="N33" i="3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L9" i="3"/>
  <c r="O52" i="3"/>
  <c r="N53" i="3"/>
  <c r="J51" i="3"/>
  <c r="K15" i="3" l="1"/>
  <c r="P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AZ30" i="3"/>
  <c r="S61" i="3" s="1"/>
  <c r="T61" i="3" s="1"/>
  <c r="BG29" i="3" s="1"/>
  <c r="BN17" i="3"/>
  <c r="BG12" i="3"/>
  <c r="S69" i="3" l="1"/>
  <c r="T69" i="3" s="1"/>
  <c r="BN16" i="3" s="1"/>
  <c r="S76" i="3" s="1"/>
  <c r="T76" i="3" s="1"/>
  <c r="BU23" i="3" s="1"/>
  <c r="S85" i="3" s="1"/>
  <c r="S71" i="3"/>
  <c r="T71" i="3" s="1"/>
  <c r="BN32" i="3" s="1"/>
  <c r="S77" i="3" s="1"/>
  <c r="T77" i="3" s="1"/>
  <c r="BU24" i="3" s="1"/>
  <c r="U76" i="3"/>
  <c r="Z76" i="3" s="1"/>
  <c r="BU35" i="3" s="1"/>
  <c r="T81" i="3" s="1"/>
  <c r="U77" i="3" l="1"/>
  <c r="Z77" i="3" s="1"/>
  <c r="BU36" i="3" s="1"/>
  <c r="T85" i="3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<sst xmlns="http://schemas.openxmlformats.org/spreadsheetml/2006/main" count="4374" uniqueCount="2540">
  <si>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</si>
  <si>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</si>
  <si>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</si>
  <si>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</si>
  <si>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</si>
  <si>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</si>
  <si>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</si>
  <si>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</si>
  <si>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</si>
  <si>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</si>
  <si>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</si>
  <si>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</si>
  <si>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</si>
  <si>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</si>
  <si>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</si>
  <si>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</si>
  <si>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</si>
  <si>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</si>
  <si>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</si>
  <si>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</si>
  <si>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</si>
  <si>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</si>
  <si>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</si>
  <si>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</si>
  <si>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</si>
  <si>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</si>
  <si>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</si>
  <si>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</si>
  <si>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</si>
  <si>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</si>
  <si>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</si>
  <si>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</si>
  <si>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</si>
  <si>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</si>
  <si>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</si>
  <si>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</si>
  <si>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</si>
  <si>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</si>
  <si>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</si>
  <si>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</si>
  <si>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</si>
  <si>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</si>
  <si>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</si>
  <si>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</si>
  <si>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</si>
  <si>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</si>
  <si>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</si>
  <si>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</si>
  <si>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</si>
  <si>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</si>
  <si>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</si>
  <si>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</si>
  <si>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</si>
  <si>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</si>
  <si>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</si>
  <si>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</si>
  <si>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</si>
  <si>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</si>
  <si>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</si>
  <si>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</si>
  <si>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</si>
  <si>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</si>
  <si>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</si>
  <si>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</si>
  <si>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</si>
  <si>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</si>
  <si>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</si>
  <si>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</si>
  <si>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</si>
  <si>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</si>
  <si>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</si>
  <si>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</si>
  <si>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</si>
  <si>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</si>
  <si>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</si>
  <si>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</si>
  <si>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</si>
  <si>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</si>
  <si>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</si>
  <si>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</si>
  <si>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</si>
  <si>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</si>
  <si>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</si>
  <si>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</si>
  <si>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</si>
  <si>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</si>
  <si>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</si>
  <si>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</si>
  <si>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</si>
  <si>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</si>
  <si>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</si>
  <si>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</si>
  <si>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</si>
  <si>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</si>
  <si>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</si>
  <si>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</si>
  <si>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</si>
  <si>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</si>
  <si>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</si>
  <si>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</si>
  <si>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</si>
  <si>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</si>
  <si>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</si>
  <si>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</si>
  <si>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</si>
  <si>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</si>
  <si>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</si>
  <si>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</si>
  <si>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</si>
  <si>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</si>
  <si>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</si>
  <si>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</si>
  <si>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</si>
  <si>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</si>
  <si>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</si>
  <si>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</si>
  <si>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</si>
  <si>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</si>
  <si>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</si>
  <si>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</si>
  <si>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</si>
  <si>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</si>
  <si>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</si>
  <si>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</si>
  <si>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</si>
  <si>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</si>
  <si>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</si>
  <si>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</si>
  <si>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</si>
  <si>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</si>
  <si>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</si>
  <si>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</si>
  <si>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</si>
  <si>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</si>
  <si>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</si>
  <si>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</si>
  <si>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</si>
  <si>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</si>
  <si>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</si>
  <si>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</si>
  <si>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</si>
  <si>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</si>
  <si>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</si>
  <si>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</si>
  <si>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</si>
  <si>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</si>
  <si>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</si>
  <si>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</si>
  <si>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</si>
  <si>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</si>
  <si>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</si>
  <si>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</si>
  <si>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</si>
  <si>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</si>
  <si>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</si>
  <si>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</si>
  <si>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</si>
  <si>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</si>
  <si>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</si>
  <si>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</si>
  <si>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</si>
  <si>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</si>
  <si>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</si>
  <si>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</si>
  <si>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</si>
  <si>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</si>
  <si>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</si>
  <si>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</si>
  <si>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</si>
  <si>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</si>
  <si>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</si>
  <si>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</si>
  <si>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</si>
  <si>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</si>
  <si>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</si>
  <si>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</si>
  <si>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</si>
  <si>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</si>
  <si>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</si>
  <si>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</si>
  <si>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</si>
  <si>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</si>
  <si>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</si>
  <si>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</si>
  <si>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</si>
  <si>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</si>
  <si>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</si>
  <si>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</si>
  <si>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</si>
  <si>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</si>
  <si>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</si>
  <si>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</si>
  <si>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</si>
  <si>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</si>
  <si>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</si>
  <si>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</si>
  <si>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</si>
  <si>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</si>
  <si>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</si>
  <si>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</si>
  <si>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</si>
  <si>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</si>
  <si>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</si>
  <si>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</si>
  <si>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</si>
  <si>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</si>
  <si>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</si>
  <si>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</si>
  <si>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</si>
  <si>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</si>
  <si>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</si>
  <si>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</si>
  <si>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</si>
  <si>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</si>
  <si>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</si>
  <si>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</si>
  <si>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</si>
  <si>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</si>
  <si>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</si>
  <si>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</si>
  <si>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</si>
  <si>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</si>
  <si>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</si>
  <si>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</si>
  <si>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</si>
  <si>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</si>
  <si>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</si>
  <si>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</si>
  <si>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</si>
  <si>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</si>
  <si>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</si>
  <si>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</si>
  <si>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</si>
  <si>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</si>
  <si>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</si>
  <si>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</si>
  <si>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</si>
  <si>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</si>
  <si>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</si>
  <si>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</si>
  <si>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</si>
  <si>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</si>
  <si>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</si>
  <si>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</si>
  <si>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</si>
  <si>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</si>
  <si>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</si>
  <si>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</si>
  <si>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</si>
  <si>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</si>
  <si>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</si>
  <si>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</si>
  <si>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</si>
  <si>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</si>
  <si>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</si>
  <si>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</si>
  <si>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</si>
  <si>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</si>
  <si>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</si>
  <si>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</si>
  <si>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</si>
  <si>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</si>
  <si>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</si>
  <si>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</si>
  <si>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</si>
  <si>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</si>
  <si>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</si>
  <si>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</si>
  <si>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</si>
  <si>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</si>
  <si>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</si>
  <si>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</si>
  <si>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</si>
  <si>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</si>
  <si>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</si>
  <si>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</si>
  <si>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</si>
  <si>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</si>
  <si>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</si>
  <si>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</si>
  <si>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</si>
  <si>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</si>
  <si>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</si>
  <si>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</si>
  <si>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</si>
  <si>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</si>
  <si>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</si>
  <si>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</si>
  <si>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</si>
  <si>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</si>
  <si>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</si>
  <si>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</si>
  <si>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</si>
  <si>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</si>
  <si>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</si>
  <si>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</si>
  <si>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</si>
  <si>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</si>
  <si>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</si>
  <si>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</si>
  <si>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</si>
  <si>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</si>
  <si>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</si>
  <si>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</si>
  <si>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</si>
  <si>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</si>
  <si>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</si>
  <si>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</si>
  <si>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</si>
  <si>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</si>
  <si>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</si>
  <si>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</si>
  <si>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</si>
  <si>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</si>
  <si>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</si>
  <si>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</si>
  <si>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</si>
  <si>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</si>
  <si>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</si>
  <si>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</si>
  <si>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</si>
  <si>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</si>
  <si>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</si>
  <si>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</si>
  <si>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</si>
  <si>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</si>
  <si>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</si>
  <si>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</si>
  <si>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</si>
  <si>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</si>
  <si>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</si>
  <si>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</si>
  <si>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</si>
  <si>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</si>
  <si>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</si>
  <si>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</si>
  <si>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</si>
  <si>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</si>
  <si>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</si>
  <si>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</si>
  <si>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</si>
  <si>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</si>
  <si>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</si>
  <si>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</si>
  <si>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</si>
  <si>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</si>
  <si>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</si>
  <si>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</si>
  <si>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</si>
  <si>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</si>
  <si>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</si>
  <si>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</si>
  <si>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</si>
  <si>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</si>
  <si>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</si>
  <si>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</si>
  <si>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</si>
  <si>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</si>
  <si>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</si>
  <si>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</si>
  <si>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</si>
  <si>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</si>
  <si>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</si>
  <si>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</si>
  <si>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</si>
  <si>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</si>
  <si>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</si>
  <si>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</si>
  <si>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</si>
  <si>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</si>
  <si>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</si>
  <si>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</si>
  <si>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</si>
  <si>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</si>
  <si>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</si>
  <si>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</si>
  <si>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</si>
  <si>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</si>
  <si>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</si>
  <si>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</si>
  <si>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</si>
  <si>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</si>
  <si>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</si>
  <si>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</si>
  <si>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</si>
  <si>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</si>
  <si>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</si>
  <si>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</si>
  <si>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</si>
  <si>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</si>
  <si>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</si>
  <si>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</si>
  <si>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</si>
  <si>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</si>
  <si>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</si>
  <si>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</si>
  <si>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</si>
  <si>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</si>
  <si>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</si>
  <si>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</si>
  <si>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</si>
  <si>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</si>
  <si>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</si>
  <si>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</si>
  <si>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</si>
  <si>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</si>
  <si>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</si>
  <si>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</si>
  <si>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</si>
  <si>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</si>
  <si>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</si>
  <si>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</si>
  <si>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</si>
  <si>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</si>
  <si>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</si>
  <si>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</si>
  <si>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</si>
  <si>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</si>
  <si>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</si>
  <si>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</si>
  <si>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</si>
  <si>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</si>
  <si>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</si>
  <si>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</si>
  <si>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</si>
  <si>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</si>
  <si>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</si>
  <si>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</si>
  <si>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</si>
  <si>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</si>
  <si>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</si>
  <si>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</si>
  <si>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</si>
  <si>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</si>
  <si>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</si>
  <si>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</si>
  <si>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</si>
  <si>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</si>
  <si>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</si>
  <si>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</si>
  <si>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</si>
  <si>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</si>
  <si>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</si>
  <si>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</si>
  <si>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</si>
  <si>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</si>
  <si>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</si>
  <si>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</si>
  <si>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</si>
  <si>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</si>
  <si>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</si>
  <si>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</si>
  <si>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</si>
  <si>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</si>
  <si>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</si>
  <si>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</si>
  <si>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</si>
  <si>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</si>
  <si>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</si>
  <si>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</si>
  <si>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</si>
  <si>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</si>
  <si>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</si>
  <si>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</si>
  <si>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</si>
  <si>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</si>
  <si>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</si>
  <si>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</si>
  <si>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</si>
  <si>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</si>
  <si>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</si>
  <si>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</si>
  <si>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</si>
  <si>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</si>
  <si>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</si>
  <si>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</si>
  <si>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</si>
  <si>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</si>
  <si>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</si>
  <si>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</si>
  <si>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</si>
  <si>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</si>
  <si>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</si>
  <si>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</si>
  <si>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</si>
  <si>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</si>
  <si>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</si>
  <si>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</si>
  <si>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</si>
  <si>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</si>
  <si>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</si>
  <si>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</si>
  <si>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</si>
  <si>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</si>
  <si>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</si>
  <si>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</si>
  <si>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</si>
  <si>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</si>
  <si>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</si>
  <si>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</si>
  <si>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</si>
  <si>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</si>
  <si>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</si>
  <si>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</si>
  <si>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</si>
  <si>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</si>
  <si>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</si>
  <si>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</si>
  <si>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</si>
  <si>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</si>
  <si>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</si>
  <si>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</si>
  <si>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</si>
  <si>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</si>
  <si>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</si>
  <si>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</si>
  <si>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</si>
  <si>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</si>
  <si>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</si>
  <si>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</si>
  <si>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</si>
  <si>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</si>
  <si>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</si>
  <si>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</si>
  <si>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</si>
  <si>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</si>
  <si>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</si>
  <si>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</si>
  <si>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</si>
  <si>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</si>
  <si>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</si>
  <si>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</si>
  <si>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</si>
  <si>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</si>
  <si>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</si>
  <si>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</si>
  <si>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</si>
  <si>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</si>
  <si>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</si>
  <si>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</si>
  <si>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</si>
  <si>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</si>
  <si>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</si>
  <si>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</si>
  <si>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</si>
  <si>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</si>
  <si>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</si>
  <si>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</si>
  <si>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</si>
  <si>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</si>
  <si>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</si>
  <si>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</si>
  <si>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</si>
  <si>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</si>
  <si>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</si>
  <si>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</si>
  <si>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</si>
  <si>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</si>
  <si>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</si>
  <si>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</si>
  <si>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</si>
  <si>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</si>
  <si>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</si>
  <si>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</si>
  <si>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</si>
  <si>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</si>
  <si>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</si>
  <si>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</si>
  <si>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</si>
  <si>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</si>
  <si>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</si>
  <si>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</si>
  <si>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</si>
  <si>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</si>
  <si>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</si>
  <si>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</si>
  <si>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</si>
  <si>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</si>
  <si>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</si>
  <si>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</si>
  <si>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</si>
  <si>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</si>
  <si>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</si>
  <si>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</si>
  <si>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</si>
  <si>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</si>
  <si>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</si>
  <si>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</si>
  <si>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</si>
  <si>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</si>
  <si>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</si>
  <si>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</si>
  <si>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</si>
  <si>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</si>
  <si>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</si>
  <si>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</si>
  <si>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</si>
  <si>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</si>
  <si>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</si>
  <si>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</si>
  <si>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</si>
  <si>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</si>
  <si>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</si>
  <si>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</si>
  <si>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</si>
  <si>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</si>
  <si>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</si>
  <si>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</si>
  <si>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</si>
  <si>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</si>
  <si>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</si>
  <si>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</si>
  <si>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</si>
  <si>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</si>
  <si>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</si>
  <si>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</si>
  <si>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</si>
  <si>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</si>
  <si>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</si>
  <si>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</si>
  <si>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</si>
  <si>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</si>
  <si>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</si>
  <si>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</si>
  <si>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</si>
  <si>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</si>
  <si>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</si>
  <si>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</si>
  <si>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</si>
  <si>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</si>
  <si>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</si>
  <si>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</si>
  <si>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</si>
  <si>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</si>
  <si>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</si>
  <si>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</si>
  <si>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</si>
  <si>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</si>
  <si>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</si>
  <si>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</si>
  <si>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</si>
  <si>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</si>
  <si>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</si>
  <si>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</si>
  <si>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</si>
  <si>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</si>
  <si>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</si>
  <si>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</si>
  <si>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</si>
  <si>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</si>
  <si>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</si>
  <si>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</si>
  <si>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</si>
  <si>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</si>
  <si>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</si>
  <si>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</si>
  <si>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</si>
  <si>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</si>
  <si>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</si>
  <si>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</si>
  <si>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</si>
  <si>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</si>
  <si>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</si>
  <si>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</si>
  <si>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</si>
  <si>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</si>
  <si>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</si>
  <si>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</si>
  <si>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</si>
  <si>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</si>
  <si>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</si>
  <si>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</si>
  <si>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</si>
  <si>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</si>
  <si>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</si>
  <si>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</si>
  <si>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</si>
  <si>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</si>
  <si>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</si>
  <si>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</si>
  <si>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</si>
  <si>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</si>
  <si>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</si>
  <si>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</si>
  <si>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</si>
  <si>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</si>
  <si>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</si>
  <si>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</si>
  <si>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</si>
  <si>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</si>
  <si>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</si>
  <si>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</si>
  <si>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</si>
  <si>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</si>
  <si>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</si>
  <si>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</si>
  <si>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</si>
  <si>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</si>
  <si>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</si>
  <si>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</si>
  <si>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</si>
  <si>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</si>
  <si>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</si>
  <si>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</si>
  <si>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</si>
  <si>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</si>
  <si>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</si>
  <si>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</si>
  <si>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</si>
  <si>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</si>
  <si>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</si>
  <si>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</si>
  <si>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</si>
  <si>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</si>
  <si>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</si>
  <si>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</si>
  <si>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</si>
  <si>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</si>
  <si>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</si>
  <si>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</si>
  <si>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</si>
  <si>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</si>
  <si>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</si>
  <si>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</si>
  <si>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</si>
  <si>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</si>
  <si>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</si>
  <si>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</si>
  <si>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</si>
  <si>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</si>
  <si>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</si>
  <si>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</si>
  <si>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</si>
  <si>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</si>
  <si>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</si>
  <si>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</si>
  <si>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</si>
  <si>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</si>
  <si>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</si>
  <si>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</si>
  <si>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</si>
  <si>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</si>
  <si>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</si>
  <si>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</si>
  <si>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</si>
  <si>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</si>
  <si>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</si>
  <si>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</si>
  <si>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</si>
  <si>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</si>
  <si>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</si>
  <si>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</si>
  <si>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</si>
  <si>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</si>
  <si>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</si>
  <si>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</si>
  <si>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</si>
  <si>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</si>
  <si>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</si>
  <si>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</si>
  <si>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</si>
  <si>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</si>
  <si>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</si>
  <si>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</si>
  <si>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</si>
  <si>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</si>
  <si>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</si>
  <si>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</si>
  <si>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</si>
  <si>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</si>
  <si>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</si>
  <si>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</si>
  <si>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</si>
  <si>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</si>
  <si>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</si>
  <si>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</si>
  <si>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</si>
  <si>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</si>
  <si>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</si>
  <si>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</si>
  <si>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</si>
  <si>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</si>
  <si>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</si>
  <si>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</si>
  <si>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</si>
  <si>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</si>
  <si>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</si>
  <si>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</si>
  <si>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</si>
  <si>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</si>
  <si>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</si>
  <si>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</si>
  <si>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</si>
  <si>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</si>
  <si>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</si>
  <si>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</si>
  <si>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</si>
  <si>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</si>
  <si>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</si>
  <si>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</si>
  <si>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</si>
  <si>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</si>
  <si>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</si>
  <si>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</si>
  <si>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</si>
  <si>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</si>
  <si>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</si>
  <si>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</si>
  <si>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</si>
  <si>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</si>
  <si>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</si>
  <si>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</si>
  <si>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</si>
  <si>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</si>
  <si>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</si>
  <si>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</si>
  <si>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</si>
  <si>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</si>
  <si>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</si>
  <si>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</si>
  <si>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</si>
  <si>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</si>
  <si>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</si>
  <si>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</si>
  <si>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</si>
  <si>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</si>
  <si>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</si>
  <si>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</si>
  <si>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</si>
  <si>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</si>
  <si>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</si>
  <si>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</si>
  <si>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</si>
  <si>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</si>
  <si>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</si>
  <si>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</si>
  <si>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</si>
  <si>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</si>
  <si>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</si>
  <si>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</si>
  <si>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</si>
  <si>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</si>
  <si>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</si>
  <si>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</si>
  <si>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</si>
  <si>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</si>
  <si>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</si>
  <si>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</si>
  <si>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</si>
  <si>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</si>
  <si>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</si>
  <si>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</si>
  <si>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</si>
  <si>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</si>
  <si>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</si>
  <si>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</si>
  <si>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</si>
  <si>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</si>
  <si>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</si>
  <si>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</si>
  <si>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</si>
  <si>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</si>
  <si>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</si>
  <si>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</si>
  <si>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</si>
  <si>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</si>
  <si>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</si>
  <si>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</si>
  <si>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</si>
  <si>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</si>
  <si>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</si>
  <si>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</si>
  <si>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</si>
  <si>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</si>
  <si>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</si>
  <si>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</si>
  <si>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</si>
  <si>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</si>
  <si>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</si>
  <si>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</si>
  <si>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</si>
  <si>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</si>
  <si>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</si>
  <si>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</si>
  <si>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</si>
  <si>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</si>
  <si>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</si>
  <si>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</si>
  <si>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</si>
  <si>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</si>
  <si>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</si>
  <si>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</si>
  <si>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</si>
  <si>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</si>
  <si>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</si>
  <si>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</si>
  <si>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</si>
  <si>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</si>
  <si>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</si>
  <si>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</si>
  <si>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</si>
  <si>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</si>
  <si>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</si>
  <si>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</si>
  <si>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</si>
  <si>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</si>
  <si>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</si>
  <si>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</si>
  <si>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</si>
  <si>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</si>
  <si>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</si>
  <si>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</si>
  <si>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</si>
  <si>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</si>
  <si>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</si>
  <si>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</si>
  <si>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</si>
  <si>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</si>
  <si>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</si>
  <si>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</si>
  <si>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</si>
  <si>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</si>
  <si>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</si>
  <si>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</si>
  <si>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</si>
  <si>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</si>
  <si>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</si>
  <si>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</si>
  <si>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</si>
  <si>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</si>
  <si>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</si>
  <si>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</si>
  <si>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</si>
  <si>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</si>
  <si>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</si>
  <si>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</si>
  <si>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</si>
  <si>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</si>
  <si>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</si>
  <si>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</si>
  <si>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</si>
  <si>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</si>
  <si>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</si>
  <si>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</si>
  <si>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</si>
  <si>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</si>
  <si>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</si>
  <si>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</si>
  <si>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</si>
  <si>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</si>
  <si>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</si>
  <si>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</si>
  <si>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</si>
  <si>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</si>
  <si>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</si>
  <si>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</si>
  <si>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</si>
  <si>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</si>
  <si>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</si>
  <si>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</si>
  <si>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</si>
  <si>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</si>
  <si>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</si>
  <si>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</si>
  <si>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</si>
  <si>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</si>
  <si>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</si>
  <si>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</si>
  <si>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</si>
  <si>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</si>
  <si>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</si>
  <si>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</si>
  <si>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</si>
  <si>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</si>
  <si>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</si>
  <si>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</si>
  <si>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</si>
  <si>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</si>
  <si>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</si>
  <si>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</si>
  <si>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</si>
  <si>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</si>
  <si>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</si>
  <si>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</si>
  <si>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</si>
  <si>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</si>
  <si>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</si>
  <si>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</si>
  <si>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</si>
  <si>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</si>
  <si>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</si>
  <si>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</si>
  <si>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</si>
  <si>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</si>
  <si>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</si>
  <si>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</si>
  <si>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</si>
  <si>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</si>
  <si>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</si>
  <si>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</si>
  <si>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</si>
  <si>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</si>
  <si>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</si>
  <si>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</si>
  <si>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</si>
  <si>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</si>
  <si>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</si>
  <si>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</si>
  <si>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</si>
  <si>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</si>
  <si>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</si>
  <si>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</si>
  <si>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</si>
  <si>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</si>
  <si>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</si>
  <si>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</si>
  <si>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</si>
  <si>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</si>
  <si>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</si>
  <si>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</si>
  <si>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</si>
  <si>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</si>
  <si>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</si>
  <si>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</si>
  <si>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</si>
  <si>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</si>
  <si>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</si>
  <si>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</si>
  <si>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</si>
  <si>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</si>
  <si>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</si>
  <si>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</si>
  <si>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</si>
  <si>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</si>
  <si>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</si>
  <si>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</si>
  <si>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</si>
  <si>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</si>
  <si>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</si>
  <si>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</si>
  <si>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</si>
  <si>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</si>
  <si>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</si>
  <si>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</si>
  <si>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</si>
  <si>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</si>
  <si>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</si>
  <si>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</si>
  <si>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</si>
  <si>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</si>
  <si>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</si>
  <si>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</si>
  <si>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</si>
  <si>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</si>
  <si>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</si>
  <si>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</si>
  <si>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</si>
  <si>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</si>
  <si>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</si>
  <si>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</si>
  <si>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</si>
  <si>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</si>
  <si>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</si>
  <si>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</si>
  <si>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</si>
  <si>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</si>
  <si>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</si>
  <si>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</si>
  <si>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</si>
  <si>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</si>
  <si>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</si>
  <si>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</si>
  <si>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</si>
  <si>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</si>
  <si>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</si>
  <si>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</si>
  <si>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</si>
  <si>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</si>
  <si>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</si>
  <si>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</si>
  <si>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</si>
  <si>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</si>
  <si>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</si>
  <si>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</si>
  <si>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</si>
  <si>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</si>
  <si>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</si>
  <si>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</si>
  <si>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</si>
  <si>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</si>
  <si>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</si>
  <si>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</si>
  <si>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</si>
  <si>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</si>
  <si>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</si>
  <si>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</si>
  <si>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</si>
  <si>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</si>
  <si>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</si>
  <si>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</si>
  <si>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</si>
  <si>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</si>
  <si>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</si>
  <si>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</si>
  <si>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</si>
  <si>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</si>
  <si>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</si>
  <si>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</si>
  <si>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</si>
  <si>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</si>
  <si>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</si>
  <si>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</si>
  <si>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</si>
  <si>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</si>
  <si>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</si>
  <si>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</si>
  <si>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</si>
  <si>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</si>
  <si>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</si>
  <si>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</si>
  <si>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</si>
  <si>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</si>
  <si>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</si>
  <si>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</si>
  <si>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</si>
  <si>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</si>
  <si>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</si>
  <si>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</si>
  <si>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</si>
  <si>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</si>
  <si>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</si>
  <si>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</si>
  <si>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</si>
  <si>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</si>
  <si>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</si>
  <si>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</si>
  <si>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</si>
  <si>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</si>
  <si>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</si>
  <si>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</si>
  <si>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</si>
  <si>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</si>
  <si>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</si>
  <si>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</si>
  <si>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</si>
  <si>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</si>
  <si>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</si>
  <si>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</si>
  <si>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</si>
  <si>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</si>
  <si>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</si>
  <si>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</si>
  <si>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</si>
  <si>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</si>
  <si>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</si>
  <si>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</si>
  <si>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</si>
  <si>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</si>
  <si>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</si>
  <si>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</si>
  <si>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</si>
  <si>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</si>
  <si>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</si>
  <si>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</si>
  <si>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</si>
  <si>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</si>
  <si>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</si>
  <si>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</si>
  <si>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</si>
  <si>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</si>
  <si>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</si>
  <si>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</si>
  <si>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</si>
  <si>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</si>
  <si>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</si>
  <si>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</si>
  <si>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</si>
  <si>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</si>
  <si>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</si>
  <si>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</si>
  <si>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</si>
  <si>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</si>
  <si>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</si>
  <si>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</si>
  <si>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</si>
  <si>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</si>
  <si>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</si>
  <si>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</si>
  <si>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</si>
  <si>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</si>
  <si>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</si>
  <si>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</si>
  <si>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</si>
  <si>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</si>
  <si>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</si>
  <si>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</si>
  <si>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</si>
  <si>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</si>
  <si>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</si>
  <si>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</si>
  <si>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</si>
  <si>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</si>
  <si>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</si>
  <si>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</si>
  <si>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</si>
  <si>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</si>
  <si>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</si>
  <si>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</si>
  <si>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</si>
  <si>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</si>
  <si>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</si>
  <si>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</si>
  <si>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</si>
  <si>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</si>
  <si>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</si>
  <si>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</si>
  <si>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</si>
  <si>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</si>
  <si>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</si>
  <si>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</si>
  <si>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</si>
  <si>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</si>
  <si>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</si>
  <si>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</si>
  <si>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</si>
  <si>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</si>
  <si>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</si>
  <si>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</si>
  <si>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</si>
  <si>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</si>
  <si>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</si>
  <si>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</si>
  <si>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</si>
  <si>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</si>
  <si>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</si>
  <si>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</si>
  <si>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</si>
  <si>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</si>
  <si>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</si>
  <si>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</si>
  <si>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</si>
  <si>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</si>
  <si>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</si>
  <si>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</si>
  <si>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</si>
  <si>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</si>
  <si>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</si>
  <si>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</si>
  <si>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</si>
  <si>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</si>
  <si>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</si>
  <si>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</si>
  <si>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</si>
  <si>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</si>
  <si>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</si>
  <si>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</si>
  <si>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</si>
  <si>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</si>
  <si>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</si>
  <si>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</si>
  <si>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</si>
  <si>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</si>
  <si>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</si>
  <si>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</si>
  <si>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</si>
  <si>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</si>
  <si>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</si>
  <si>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</si>
  <si>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</si>
  <si>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</si>
  <si>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</si>
  <si>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</si>
  <si>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</si>
  <si>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</si>
  <si>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</si>
  <si>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</si>
  <si>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</si>
  <si>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</si>
  <si>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</si>
  <si>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</si>
  <si>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</si>
  <si>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</si>
  <si>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</si>
  <si>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</si>
  <si>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</si>
  <si>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</si>
  <si>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</si>
  <si>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</si>
  <si>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</si>
  <si>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</si>
  <si>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</si>
  <si>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</si>
  <si>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</si>
  <si>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</si>
  <si>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</si>
  <si>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</si>
  <si>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</si>
  <si>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</si>
  <si>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</si>
  <si>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</si>
  <si>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</si>
  <si>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</si>
  <si>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</si>
  <si>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</si>
  <si>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</si>
  <si>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</si>
  <si>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</si>
  <si>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</si>
  <si>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</si>
  <si>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</si>
  <si>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</si>
  <si>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</si>
  <si>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</si>
  <si>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</si>
  <si>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</si>
  <si>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</si>
  <si>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</si>
  <si>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</si>
  <si>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</si>
  <si>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</si>
  <si>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</si>
  <si>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</si>
  <si>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</si>
  <si>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</si>
  <si>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</si>
  <si>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</si>
  <si>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</si>
  <si>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</si>
  <si>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</si>
  <si>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</si>
  <si>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</si>
  <si>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</si>
  <si>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</si>
  <si>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</si>
  <si>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</si>
  <si>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</si>
  <si>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</si>
  <si>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</si>
  <si>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</si>
  <si>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</si>
  <si>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</si>
  <si>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</si>
  <si>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</si>
  <si>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</si>
  <si>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</si>
  <si>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</si>
  <si>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</si>
  <si>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</si>
  <si>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</si>
  <si>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</si>
  <si>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</si>
  <si>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</si>
  <si>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</si>
  <si>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</si>
  <si>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</si>
  <si>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</si>
  <si>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</si>
  <si>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</si>
  <si>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</si>
  <si>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</si>
  <si>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</si>
  <si>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</si>
  <si>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</si>
  <si>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</si>
  <si>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</si>
  <si>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</si>
  <si>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</si>
  <si>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</si>
  <si>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</si>
  <si>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</si>
  <si>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</si>
  <si>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</si>
  <si>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</si>
  <si>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</si>
  <si>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</si>
  <si>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</si>
  <si>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</si>
  <si>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</si>
  <si>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</si>
  <si>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</si>
  <si>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</si>
  <si>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</si>
  <si>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</si>
  <si>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</si>
  <si>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</si>
  <si>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</si>
  <si>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</si>
  <si>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</si>
  <si>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</si>
  <si>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</si>
  <si>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</si>
  <si>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</si>
  <si>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</si>
  <si>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</si>
  <si>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</si>
  <si>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</si>
  <si>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</si>
  <si>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</si>
  <si>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</si>
  <si>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</si>
  <si>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</si>
  <si>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</si>
  <si>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</si>
  <si>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</si>
  <si>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</si>
  <si>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</si>
  <si>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</si>
  <si>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</si>
  <si>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</si>
  <si>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</si>
  <si>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</si>
  <si>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</si>
  <si>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</si>
  <si>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</si>
  <si>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</si>
  <si>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</si>
  <si>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</si>
  <si>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</si>
  <si>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</si>
  <si>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</si>
  <si>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</si>
  <si>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</si>
  <si>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</si>
  <si>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</si>
  <si>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</si>
  <si>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</si>
  <si>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</si>
  <si>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</si>
  <si>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</si>
  <si>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</si>
  <si>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</si>
  <si>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</si>
  <si>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</si>
  <si>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</si>
  <si>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</si>
  <si>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</si>
  <si>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</si>
  <si>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</si>
  <si>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</si>
  <si>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</si>
  <si>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</si>
  <si>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</si>
  <si>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</si>
  <si>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</si>
  <si>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</si>
  <si>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</si>
  <si>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</si>
  <si>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</si>
  <si>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</si>
  <si>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</si>
  <si>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</si>
  <si>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</si>
  <si>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</si>
  <si>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</si>
  <si>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</si>
  <si>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</si>
  <si>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</si>
  <si>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</si>
  <si>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</si>
  <si>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</si>
  <si>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</si>
  <si>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</si>
  <si>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</si>
  <si>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</si>
  <si>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</si>
  <si>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</si>
  <si>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</si>
  <si>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</si>
  <si>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</si>
  <si>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</si>
  <si>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</si>
  <si>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</si>
  <si>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</si>
  <si>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</si>
  <si>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</si>
  <si>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</si>
  <si>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</si>
  <si>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</si>
  <si>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</si>
  <si>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</si>
  <si>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</si>
  <si>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</si>
  <si>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</si>
  <si>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</si>
  <si>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</si>
  <si>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</si>
  <si>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</si>
  <si>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</si>
  <si>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</si>
  <si>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</si>
  <si>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</si>
  <si>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</si>
  <si>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</si>
  <si>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</si>
  <si>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</si>
  <si>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</si>
  <si>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</si>
  <si>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</si>
  <si>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</si>
  <si>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</si>
  <si>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</si>
  <si>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</si>
  <si>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</si>
  <si>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</si>
  <si>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</si>
  <si>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</si>
  <si>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</si>
  <si>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</si>
  <si>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</si>
  <si>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</si>
  <si>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</si>
  <si>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</si>
  <si>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</si>
  <si>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</si>
  <si>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</si>
  <si>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</si>
  <si>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</si>
  <si>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</si>
  <si>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</si>
  <si>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</si>
  <si>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</si>
  <si>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</si>
  <si>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</si>
  <si>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</si>
  <si>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</si>
  <si>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</si>
  <si>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</si>
  <si>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</si>
  <si>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</si>
  <si>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</si>
  <si>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</si>
  <si>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</si>
  <si>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</si>
  <si>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</si>
  <si>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</si>
  <si>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</si>
  <si>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</si>
  <si>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</si>
  <si>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</si>
  <si>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</si>
  <si>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</si>
  <si>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</si>
  <si>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</si>
  <si>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</si>
  <si>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</si>
  <si>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</si>
  <si>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</si>
  <si>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</si>
  <si>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</si>
  <si>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</si>
  <si>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</si>
  <si>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</si>
  <si>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</si>
  <si>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</si>
  <si>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</si>
  <si>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</si>
  <si>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</si>
  <si>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</si>
  <si>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</si>
  <si>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</si>
  <si>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</si>
  <si>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</si>
  <si>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</si>
  <si>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</si>
  <si>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</si>
  <si>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</si>
  <si>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</si>
  <si>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</si>
  <si>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</si>
  <si>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</si>
  <si>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</si>
  <si>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</si>
  <si>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</si>
  <si>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</si>
  <si>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</si>
  <si>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</si>
  <si>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</si>
  <si>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</si>
  <si>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</si>
  <si>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</si>
  <si>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</si>
  <si>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</si>
  <si>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</si>
  <si>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</si>
  <si>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</si>
  <si>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</si>
  <si>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</si>
  <si>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</si>
  <si>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</si>
  <si>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</si>
  <si>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</si>
  <si>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</si>
  <si>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</si>
  <si>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</si>
  <si>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</si>
  <si>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</si>
  <si>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</si>
  <si>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</si>
  <si>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</si>
  <si>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</si>
  <si>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</si>
  <si>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</si>
  <si>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</si>
  <si>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</si>
  <si>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</si>
  <si>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</si>
  <si>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</si>
  <si>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</si>
  <si>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</si>
  <si>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</si>
  <si>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</si>
  <si>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</si>
  <si>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</si>
  <si>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</si>
  <si>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</si>
  <si>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</si>
  <si>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</si>
  <si>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</si>
  <si>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</si>
  <si>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</si>
  <si>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</si>
  <si>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</si>
  <si>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</si>
  <si>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</si>
  <si>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</si>
  <si>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</si>
  <si>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</si>
  <si>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</si>
  <si>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</si>
  <si>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</si>
  <si>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</si>
  <si>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</si>
  <si>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</si>
  <si>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</si>
  <si>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</si>
  <si>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</si>
  <si>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</si>
  <si>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</si>
  <si>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</si>
  <si>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</si>
  <si>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</si>
  <si>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</si>
  <si>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</si>
  <si>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</si>
  <si>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</si>
  <si>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</si>
  <si>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</si>
  <si>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</si>
  <si>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</si>
  <si>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</si>
  <si>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</si>
  <si>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</si>
  <si>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</si>
  <si>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</si>
  <si>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</si>
  <si>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</si>
  <si>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</si>
  <si>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</si>
  <si>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</si>
  <si>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</si>
  <si>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</si>
  <si>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</si>
  <si>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</si>
  <si>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</si>
  <si>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</si>
  <si>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</si>
  <si>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</si>
  <si>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</si>
  <si>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</si>
  <si>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</si>
  <si>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</si>
  <si>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</si>
  <si>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</si>
  <si>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</si>
  <si>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</si>
  <si>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</si>
  <si>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</si>
  <si>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</si>
  <si>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</si>
  <si>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</si>
  <si>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</si>
  <si>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</si>
  <si>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</si>
  <si>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</si>
  <si>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</si>
  <si>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</si>
  <si>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</si>
  <si>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</si>
  <si>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</si>
  <si>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</si>
  <si>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</si>
  <si>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</si>
  <si>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</si>
  <si>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</si>
  <si>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</si>
  <si>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</si>
  <si>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</si>
  <si>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</si>
  <si>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</si>
  <si>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</si>
  <si>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</si>
  <si>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</si>
  <si>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</si>
  <si>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</si>
  <si>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</si>
  <si>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</si>
  <si>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</si>
  <si>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</si>
  <si>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</si>
  <si>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</si>
  <si>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</si>
  <si>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</si>
  <si>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</si>
  <si>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</si>
  <si>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</si>
  <si>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</si>
  <si>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</si>
  <si>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</si>
  <si>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</si>
  <si>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</si>
  <si>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</si>
  <si>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</si>
  <si>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</si>
  <si>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</si>
  <si>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</si>
  <si>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</si>
  <si>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</si>
  <si>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</si>
  <si>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</si>
  <si>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</si>
  <si>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</si>
  <si>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</si>
  <si>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</si>
  <si>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</si>
  <si>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</si>
  <si>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</si>
  <si>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</si>
  <si>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</si>
  <si>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</si>
  <si>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</si>
  <si>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</si>
  <si>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</si>
  <si>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</si>
  <si>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</si>
  <si>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</si>
  <si>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</si>
  <si>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</si>
  <si>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</si>
  <si>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</si>
  <si>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</si>
  <si>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</si>
  <si>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</si>
  <si>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</si>
  <si>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</si>
  <si>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</si>
  <si>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</si>
  <si>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</si>
  <si>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</si>
  <si>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</si>
  <si>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</si>
  <si>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</si>
  <si>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</si>
  <si>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</si>
  <si>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</si>
  <si>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</si>
  <si>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</si>
  <si>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</si>
  <si>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</si>
  <si>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</si>
  <si>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</si>
  <si>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</si>
  <si>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</si>
  <si>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</si>
  <si>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</si>
  <si>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</si>
  <si>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</si>
  <si>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</si>
  <si>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</si>
  <si>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</si>
  <si>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</si>
  <si>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</si>
  <si>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</si>
  <si>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</si>
  <si>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</si>
  <si>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</si>
  <si>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</si>
  <si>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</si>
  <si>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</si>
  <si>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</si>
  <si>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</si>
  <si>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</si>
  <si>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</si>
  <si>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</si>
  <si>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</si>
  <si>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</si>
  <si>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</si>
  <si>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</si>
  <si>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</si>
  <si>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</si>
  <si>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</si>
  <si>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</si>
  <si>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</si>
  <si>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</si>
  <si>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</si>
  <si>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</si>
  <si>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</si>
  <si>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</si>
  <si>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</si>
  <si>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</si>
  <si>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</si>
  <si>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</si>
  <si>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</si>
  <si>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</si>
  <si>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</si>
  <si>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</si>
  <si>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</si>
  <si>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</si>
  <si>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</si>
  <si>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</si>
  <si>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</si>
  <si>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</si>
  <si>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</si>
  <si>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</si>
  <si>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</si>
  <si>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</si>
  <si>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</si>
  <si>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</si>
  <si>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</si>
  <si>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</si>
  <si>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</si>
  <si>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</si>
  <si>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</si>
  <si>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</si>
  <si>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</si>
  <si>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</si>
  <si>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</si>
  <si>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</si>
  <si>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</si>
  <si>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</si>
  <si>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</si>
  <si>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</si>
  <si>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</si>
  <si>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</si>
  <si>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</si>
  <si>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</si>
  <si>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</si>
  <si>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</si>
  <si>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</si>
  <si>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</si>
  <si>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</si>
  <si>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</si>
  <si>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</si>
  <si>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</si>
  <si>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</si>
  <si>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</si>
  <si>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</si>
  <si>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</si>
  <si>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</si>
  <si>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</si>
  <si>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</si>
  <si>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</si>
  <si>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</si>
  <si>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</si>
  <si>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</si>
  <si>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</si>
  <si>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</si>
  <si>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</si>
  <si>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</si>
  <si>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</si>
  <si>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</si>
  <si>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</si>
  <si>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</si>
  <si>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</si>
  <si>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</si>
  <si>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</si>
  <si>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</si>
  <si>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</si>
  <si>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</si>
  <si>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</si>
  <si>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</si>
  <si>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</si>
  <si>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</si>
  <si>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</si>
  <si>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</si>
  <si>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</si>
  <si>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</si>
  <si>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</si>
  <si>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</si>
  <si>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</si>
  <si>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</si>
  <si>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</si>
  <si>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</si>
  <si>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</si>
  <si>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</si>
  <si>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</si>
  <si>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</si>
  <si>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</si>
  <si>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</si>
  <si>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</si>
  <si>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</si>
  <si>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</si>
  <si>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</si>
  <si>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</si>
  <si>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</si>
  <si>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</si>
  <si>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</si>
  <si>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</si>
  <si>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</si>
  <si>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</si>
  <si>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</si>
  <si>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</si>
  <si>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</si>
  <si>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</si>
  <si>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</si>
  <si>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</si>
  <si>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</si>
  <si>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</si>
  <si>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</si>
  <si>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</si>
  <si>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</si>
  <si>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</si>
  <si>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</si>
  <si>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</si>
  <si>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</si>
  <si>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</si>
  <si>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</si>
  <si>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</si>
  <si>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</si>
  <si>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</si>
  <si>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</si>
  <si>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</si>
  <si>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</si>
  <si>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</si>
  <si>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</si>
  <si>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</si>
  <si>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</si>
  <si>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</si>
  <si>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</si>
  <si>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</si>
  <si>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</si>
  <si>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</si>
  <si>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</si>
  <si>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</si>
  <si>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</si>
  <si>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</si>
  <si>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</si>
  <si>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</si>
  <si>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</si>
  <si>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</si>
  <si>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</si>
  <si>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</si>
  <si>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</si>
  <si>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</si>
  <si>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</si>
  <si>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</si>
  <si>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</si>
  <si>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</si>
  <si>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</si>
  <si>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</si>
  <si>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</si>
  <si>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</si>
  <si>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</si>
  <si>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</si>
  <si>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</si>
  <si>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</si>
  <si>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</si>
  <si>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</si>
  <si>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</si>
  <si>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</si>
  <si>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</si>
  <si>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</si>
  <si>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</si>
  <si>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</si>
  <si>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</si>
  <si>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</si>
  <si>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</si>
  <si>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</si>
  <si>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</si>
  <si>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</si>
  <si>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</si>
  <si>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</si>
  <si>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</si>
  <si>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</si>
  <si>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</si>
  <si>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</si>
  <si>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</si>
  <si>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</si>
  <si>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</si>
  <si>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</si>
  <si>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</si>
  <si>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</si>
  <si>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</si>
  <si>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</si>
  <si>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</si>
  <si>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</si>
  <si>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</si>
  <si>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</si>
  <si>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</si>
  <si>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</si>
  <si>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</si>
  <si>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</si>
  <si>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</si>
  <si>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</si>
  <si>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</si>
  <si>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</si>
  <si>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</si>
  <si>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</si>
  <si>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</si>
  <si>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</si>
  <si>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</si>
  <si>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</si>
  <si>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</si>
  <si>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</si>
  <si>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</si>
  <si>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</si>
  <si>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</si>
  <si>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</si>
  <si>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</si>
  <si>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</si>
  <si>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</si>
  <si>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</si>
  <si>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</si>
  <si>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</si>
  <si>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</si>
  <si>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</si>
  <si>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</si>
  <si>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</si>
  <si>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</si>
  <si>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</si>
  <si>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</si>
  <si>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</si>
  <si>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</si>
  <si>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</si>
  <si>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</si>
  <si>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</si>
  <si>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</si>
  <si>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</si>
  <si>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</si>
  <si>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</si>
  <si>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</si>
  <si>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</si>
  <si>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</si>
  <si>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</si>
  <si>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</si>
  <si>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</si>
  <si>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</si>
  <si>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</si>
  <si>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</si>
  <si>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</si>
  <si>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</si>
  <si>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</si>
  <si>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</si>
  <si>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</si>
  <si>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</si>
  <si>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</si>
  <si>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</si>
  <si>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</si>
  <si>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</si>
  <si>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</si>
  <si>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</si>
  <si>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</si>
  <si>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</si>
  <si>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</si>
  <si>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</si>
  <si>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</si>
  <si>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</si>
  <si>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</si>
  <si>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</si>
  <si>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</si>
  <si>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</si>
  <si>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</si>
  <si>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</si>
  <si>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</si>
  <si>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</si>
  <si>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</si>
  <si>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</si>
  <si>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</si>
  <si>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</si>
  <si>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</si>
  <si>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</si>
  <si>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</si>
  <si>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</si>
  <si>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</si>
  <si>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</si>
  <si>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</si>
  <si>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</si>
  <si>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</si>
  <si>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</si>
  <si>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</si>
  <si>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</si>
  <si>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</si>
  <si>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</si>
  <si>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</si>
  <si>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</si>
  <si>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</si>
  <si>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</si>
  <si>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</si>
  <si>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</si>
  <si>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</si>
  <si>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</si>
  <si>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</si>
  <si>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</si>
  <si>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</si>
  <si>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</si>
  <si>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</si>
  <si>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</si>
  <si>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</si>
  <si>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</si>
  <si>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</si>
  <si>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</si>
  <si>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</si>
  <si>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</si>
  <si>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</si>
  <si>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</si>
  <si>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</si>
  <si>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</si>
  <si>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</si>
  <si>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</si>
  <si>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</si>
  <si>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</si>
  <si>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</si>
  <si>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</si>
  <si>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</si>
  <si>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</si>
  <si>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</si>
  <si>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</si>
  <si>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</si>
  <si>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</si>
  <si>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</si>
  <si>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</si>
  <si>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</si>
  <si>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</si>
  <si>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</si>
  <si>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</si>
  <si>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</si>
  <si>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</si>
  <si>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</si>
  <si>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</si>
  <si>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</si>
  <si>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</si>
  <si>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</si>
  <si>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</si>
  <si>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</si>
  <si>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</si>
  <si>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</si>
  <si>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</si>
  <si>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</si>
  <si>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</si>
  <si>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</si>
  <si>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</si>
  <si>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</si>
  <si>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</si>
  <si>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</si>
  <si>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</si>
  <si>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</si>
  <si>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</si>
  <si>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</si>
  <si>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</si>
  <si>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</si>
  <si>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</si>
  <si>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</si>
  <si>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</si>
  <si>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</si>
  <si>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</si>
  <si>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</si>
  <si>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</si>
  <si>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</si>
  <si>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</si>
  <si>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</si>
  <si>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</si>
  <si>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</si>
  <si>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</si>
  <si>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</si>
  <si>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</si>
  <si>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</si>
  <si>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</si>
  <si>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</si>
  <si>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</si>
  <si>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</si>
  <si>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</si>
  <si>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</si>
  <si>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</si>
  <si>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</si>
  <si>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</si>
  <si>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</si>
  <si>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</si>
  <si>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</si>
  <si>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</si>
  <si>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</si>
  <si>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</si>
  <si>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</si>
  <si>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</si>
  <si>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</si>
  <si>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</si>
  <si>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</si>
  <si>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</si>
  <si>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</si>
  <si>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</si>
  <si>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</si>
  <si>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</si>
  <si>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</si>
  <si>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</si>
  <si>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</si>
  <si>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</si>
  <si>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</si>
  <si>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</si>
  <si>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</si>
  <si>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</si>
  <si>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</si>
  <si>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</si>
  <si>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</si>
  <si>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</si>
  <si>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</si>
  <si>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</si>
  <si>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</si>
  <si>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</si>
  <si>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</si>
  <si>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</si>
  <si>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</si>
  <si>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</si>
  <si>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</si>
  <si>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</si>
  <si>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</si>
  <si>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</si>
  <si>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</si>
  <si>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</si>
  <si>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</si>
  <si>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</si>
  <si>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</si>
  <si>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</si>
  <si>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</si>
  <si>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</si>
  <si>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</si>
  <si>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</si>
  <si>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</si>
  <si>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</si>
  <si>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</si>
  <si>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</si>
  <si>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</si>
  <si>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</si>
  <si>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</si>
  <si>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</si>
  <si>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</si>
  <si>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</si>
  <si>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</si>
  <si>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</si>
  <si>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</si>
  <si>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</si>
  <si>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</si>
  <si>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</si>
  <si>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</si>
  <si>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</si>
  <si>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</si>
  <si>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</si>
  <si>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</si>
  <si>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</si>
  <si>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</si>
  <si>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</si>
  <si>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</si>
  <si>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</si>
  <si>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</si>
  <si>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</si>
  <si>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</si>
  <si>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</si>
  <si>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</si>
  <si>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</si>
  <si>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</si>
  <si>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</si>
  <si>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</si>
  <si>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</si>
  <si>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</si>
  <si>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</si>
  <si>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</si>
  <si>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</si>
  <si>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</si>
  <si>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</si>
  <si>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</si>
  <si>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</si>
  <si>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</si>
  <si>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</si>
  <si>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</si>
  <si>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</si>
  <si>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</si>
  <si>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</si>
  <si>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</si>
  <si>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</si>
  <si>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</si>
  <si>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</si>
  <si>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</si>
  <si>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</si>
  <si>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</si>
  <si>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</si>
  <si>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</si>
  <si>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</si>
  <si>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</si>
  <si>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</si>
  <si>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</si>
  <si>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</si>
  <si>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</si>
  <si>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</si>
  <si>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</si>
  <si>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</si>
  <si>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</si>
  <si>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</si>
  <si>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</si>
  <si>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</si>
  <si>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</si>
  <si>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</si>
  <si>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</si>
  <si>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</si>
  <si>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</si>
  <si>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</si>
  <si>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</si>
  <si>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</si>
  <si>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</si>
  <si>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</si>
  <si>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</si>
  <si>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</si>
  <si>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</si>
  <si>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</si>
  <si>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</si>
  <si>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</si>
  <si>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</si>
  <si>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</si>
  <si>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</si>
  <si>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</si>
  <si>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</si>
  <si>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</si>
  <si>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</si>
  <si>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</si>
  <si>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</si>
  <si>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</si>
  <si>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</si>
  <si>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</si>
  <si>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</si>
  <si>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</si>
  <si>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</si>
  <si>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</si>
  <si>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</si>
  <si>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</si>
  <si>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</si>
  <si>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</si>
  <si>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</si>
  <si>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</si>
  <si>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</si>
  <si>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</si>
  <si>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</si>
  <si>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</si>
  <si>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</si>
  <si>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</si>
  <si>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</si>
  <si>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</si>
  <si>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</si>
  <si>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</si>
  <si>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</si>
  <si>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</si>
  <si>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</si>
  <si>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</si>
  <si>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</si>
  <si>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</si>
  <si>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</si>
  <si>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</si>
  <si>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</si>
  <si>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</si>
  <si>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</si>
  <si>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</si>
  <si>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</si>
  <si>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</si>
  <si>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</si>
  <si>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</si>
  <si>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</si>
  <si>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</si>
  <si>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</si>
  <si>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</si>
  <si>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</si>
  <si>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</si>
  <si>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</si>
  <si>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</si>
  <si>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</si>
  <si>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</si>
  <si>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</si>
  <si>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</si>
  <si>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</si>
  <si>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</si>
  <si>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</si>
  <si>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</si>
  <si>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</si>
  <si>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</si>
  <si>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</si>
  <si>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</si>
  <si>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</si>
  <si>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</si>
  <si>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</si>
  <si>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</si>
  <si>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</si>
  <si>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</si>
  <si>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</si>
  <si>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</si>
  <si>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</si>
  <si>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</si>
  <si>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</si>
  <si>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</si>
  <si>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</si>
  <si>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</si>
  <si>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</si>
  <si>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</si>
  <si>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</si>
  <si>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</si>
  <si>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</si>
  <si>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</si>
  <si>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</si>
  <si>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</si>
  <si>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</si>
  <si>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</si>
  <si>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</si>
  <si>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</si>
  <si>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</si>
  <si>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</si>
  <si>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</si>
  <si>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</si>
  <si>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</si>
  <si>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</si>
  <si>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</si>
  <si>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</si>
  <si>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</si>
  <si>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</si>
  <si>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</si>
  <si>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</si>
  <si>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</si>
  <si>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</si>
  <si>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</si>
  <si>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</si>
  <si>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</si>
  <si>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</si>
  <si>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</si>
  <si>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</si>
  <si>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</si>
  <si>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</si>
  <si>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</si>
  <si>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</si>
  <si>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</si>
  <si>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</si>
  <si>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</si>
  <si>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</si>
  <si>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</si>
  <si>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</si>
  <si>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</si>
  <si>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</si>
  <si>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</si>
  <si>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</si>
  <si>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</si>
  <si>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</si>
  <si>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</si>
  <si>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</si>
  <si>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</si>
  <si>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</si>
  <si>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</si>
  <si>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</si>
  <si>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</si>
  <si>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</si>
  <si>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</si>
  <si>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</si>
  <si>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</si>
  <si>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</si>
  <si>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</si>
  <si>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</si>
  <si>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</si>
  <si>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</si>
  <si>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</si>
  <si>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</si>
  <si>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</si>
  <si>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</si>
  <si>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</si>
  <si>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</si>
  <si>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</si>
  <si>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</si>
  <si>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</si>
  <si>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</si>
  <si>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</si>
  <si>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</si>
  <si>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</si>
  <si>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</si>
  <si>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</si>
  <si>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</si>
  <si>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</si>
  <si>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</si>
  <si>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</si>
  <si>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</si>
  <si>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</si>
  <si>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</si>
  <si>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</si>
  <si>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</si>
  <si>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</si>
  <si>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</si>
  <si>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</si>
  <si>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</si>
  <si>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</si>
  <si>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</si>
  <si>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</si>
  <si>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</si>
  <si>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</si>
  <si>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</si>
  <si>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</si>
  <si>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</si>
  <si>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</si>
  <si>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</si>
  <si>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</si>
  <si>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</si>
  <si>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</si>
  <si>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</si>
  <si>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</si>
  <si>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</si>
  <si>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</si>
  <si>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</si>
  <si>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</si>
  <si>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</si>
  <si>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</si>
  <si>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</si>
  <si>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</si>
  <si>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</si>
  <si>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</si>
  <si>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</si>
  <si>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</si>
  <si>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</si>
  <si>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</si>
  <si>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</si>
  <si>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</si>
  <si>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</si>
  <si>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</si>
  <si>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</si>
  <si>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Harry Kane</t>
  </si>
  <si>
    <t>2. Argentiina</t>
  </si>
  <si>
    <t>3. Brasiilia</t>
  </si>
  <si>
    <t>4.  Kolm</t>
  </si>
  <si>
    <t>5. Neymar</t>
  </si>
  <si>
    <t>6. Saksamaa</t>
  </si>
  <si>
    <t>7.  Sveits</t>
  </si>
  <si>
    <t>8.  Iraan</t>
  </si>
  <si>
    <t>9. Messi</t>
  </si>
  <si>
    <t>10. 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</si>
</sst>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0" Type="http://schemas.openxmlformats.org/officeDocument/2006/relationships/image" Target="../media/image21.svg"/><Relationship Id="rId29" Type="http://schemas.openxmlformats.org/officeDocument/2006/relationships/image" Target="../media/image30.pn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61" Type="http://schemas.openxmlformats.org/officeDocument/2006/relationships/image" Target="../media/image62.png"/><Relationship Id="rId10" Type="http://schemas.openxmlformats.org/officeDocument/2006/relationships/image" Target="../media/image11.sv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topLeftCell="A16" workbookViewId="0">
      <selection activeCell="G22" sqref="G22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1334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Brazil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D7" zoomScaleNormal="100" workbookViewId="0">
      <selection activeCell="BH45" sqref="BH45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3</v>
      </c>
      <c r="AG8" s="47">
        <f>SUMIF($E$7:$E$54,$AB8,$G$7:$G$54) + SUMIF($H$7:$H$54,$AB8,$F$7:$F$54)</f>
        <v>3</v>
      </c>
      <c r="AH8" s="47">
        <f>(AF8-AG8)*100+AK8*10000+AF8</f>
        <v>40003</v>
      </c>
      <c r="AI8" s="47">
        <f>AF8-AG8</f>
        <v>0</v>
      </c>
      <c r="AJ8" s="47">
        <f>(AI8-AI13)/AI12</f>
        <v>0.46153846153846156</v>
      </c>
      <c r="AK8" s="47">
        <f>AC8*3+AD8</f>
        <v>4</v>
      </c>
      <c r="AL8" s="47">
        <f>AP8/AP12*1000+AQ8/AQ12*100+AT8/AT12*10+AR8/AR12</f>
        <v>50.5</v>
      </c>
      <c r="AM8" s="47">
        <f>VLOOKUP(AB8,db_fifarank,2,FALSE)/2000000</f>
        <v>7.9208000000000002E-4</v>
      </c>
      <c r="AN8" s="48">
        <f>1000*AK8/AK12+100*AJ8+10*AF8/AF12+1*AL8/AL12+AM8</f>
        <v>450.88522075811795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1</v>
      </c>
      <c r="AR8" s="47">
        <f>SUMPRODUCT(($E$7:$E$54=AB8)*($U$7:$U$54)*($F$7:$F$54))+SUMPRODUCT(($H$7:$H$54=AB8)*($U$7:$U$54)*($G$7:$G$54))</f>
        <v>1</v>
      </c>
      <c r="AS8" s="47">
        <f>SUMPRODUCT(($E$7:$E$54=AB8)*($U$7:$U$54)*($G$7:$G$54))+SUMPRODUCT(($H$7:$H$54=AB8)*($U$7:$U$54)*($F$7:$F$54))</f>
        <v>1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6</v>
      </c>
      <c r="AH9" s="47">
        <f>(AF9-AG9)*100+AK9*10000+AF9</f>
        <v>-600</v>
      </c>
      <c r="AI9" s="47">
        <f>AF9-AG9</f>
        <v>-6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0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3 - 3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3</v>
      </c>
      <c r="AH10" s="47">
        <f>(AF10-AG10)*100+AK10*10000+AF10</f>
        <v>40003</v>
      </c>
      <c r="AI10" s="47">
        <f>AF10-AG10</f>
        <v>0</v>
      </c>
      <c r="AJ10" s="47">
        <f>(AI10-AI13)/AI12</f>
        <v>0.46153846153846156</v>
      </c>
      <c r="AK10" s="47">
        <f>AC10*3+AD10</f>
        <v>4</v>
      </c>
      <c r="AL10" s="47">
        <f>AP10/AP12*1000+AQ10/AQ12*100+AT10/AT12*10+AR10/AR12</f>
        <v>50.5</v>
      </c>
      <c r="AM10" s="47">
        <f>VLOOKUP(AB10,db_fifarank,2,FALSE)/2000000</f>
        <v>7.2650000000000004E-4</v>
      </c>
      <c r="AN10" s="48">
        <f>1000*AK10/AK12+100*AJ10+10*AF10/AF12+1*AL10/AL12+AM10</f>
        <v>450.88515517811794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1</v>
      </c>
      <c r="AR10" s="47">
        <f>SUMPRODUCT(($E$7:$E$54=AB10)*($U$7:$U$54)*($F$7:$F$54))+SUMPRODUCT(($H$7:$H$54=AB10)*($U$7:$U$54)*($G$7:$G$54))</f>
        <v>1</v>
      </c>
      <c r="AS10" s="47">
        <f>SUMPRODUCT(($E$7:$E$54=AB10)*($U$7:$U$54)*($G$7:$G$54))+SUMPRODUCT(($H$7:$H$54=AB10)*($U$7:$U$54)*($F$7:$F$54))</f>
        <v>1</v>
      </c>
      <c r="AT10" s="47">
        <f>AR10-AS10</f>
        <v>0</v>
      </c>
      <c r="AY10" s="124">
        <v>49</v>
      </c>
      <c r="AZ10" s="26" t="str">
        <f>AO8</f>
        <v>Netherlands</v>
      </c>
      <c r="BA10" s="84">
        <v>3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3 - 3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0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1</v>
      </c>
      <c r="AH11" s="47">
        <f>(AF11-AG11)*100+AK11*10000+AF11</f>
        <v>90607</v>
      </c>
      <c r="AI11" s="47">
        <f>AF11-AG11</f>
        <v>6</v>
      </c>
      <c r="AJ11" s="47">
        <f>(AI11-AI13)/AI12</f>
        <v>0.92307692307692313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1001.0585216376923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1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Denmark_draw</v>
      </c>
      <c r="T12" s="88" t="str">
        <f t="shared" si="4"/>
        <v>Tunisia_draw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0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8</v>
      </c>
      <c r="AG12" s="47">
        <f t="shared" si="10"/>
        <v>6</v>
      </c>
      <c r="AH12" s="47">
        <f>MAX(AH8:AH11)-AH13+1</f>
        <v>91208</v>
      </c>
      <c r="AI12" s="47">
        <f>MAX(AI8:AI11)-AI13+1</f>
        <v>13</v>
      </c>
      <c r="AK12" s="47">
        <f t="shared" si="10"/>
        <v>10</v>
      </c>
      <c r="AL12" s="47">
        <f t="shared" si="10"/>
        <v>51.5</v>
      </c>
      <c r="AP12" s="47">
        <f>MAX(AP8:AP11)-MIN(AP8:AP11)+1</f>
        <v>1</v>
      </c>
      <c r="AQ12" s="47">
        <f>MAX(AQ8:AQ11)-MIN(AQ8:AQ11)+1</f>
        <v>2</v>
      </c>
      <c r="AR12" s="47">
        <f>MAX(AR8:AR11)-MIN(AR8:AR11)+1</f>
        <v>2</v>
      </c>
      <c r="AS12" s="47">
        <f>MAX(AS8:AS11)-MIN(AS8:AS11)+1</f>
        <v>2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>
        <v>2</v>
      </c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-600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>
        <v>0</v>
      </c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1</v>
      </c>
      <c r="AH14" s="47">
        <f>(AF14-AG14)*100+AK14*10000+AF14</f>
        <v>90506</v>
      </c>
      <c r="AI14" s="47">
        <f>AF14-AG14</f>
        <v>5</v>
      </c>
      <c r="AJ14" s="47">
        <f>(AI14-AI19)/AI18</f>
        <v>0.88888888888888884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1098.8897698888888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>
        <v>1</v>
      </c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6 - 1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3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2</v>
      </c>
      <c r="AE15" s="47">
        <f>COUNTIF($S$7:$T$54,"=" &amp; AB15 &amp; "_lose")</f>
        <v>1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4</v>
      </c>
      <c r="AH15" s="47">
        <f>(AF15-AG15)*100+AK15*10000+AF15</f>
        <v>19802</v>
      </c>
      <c r="AI15" s="47">
        <f>AF15-AG15</f>
        <v>-2</v>
      </c>
      <c r="AJ15" s="47">
        <f>(AI15-AI19)/AI18</f>
        <v>0.1111111111111111</v>
      </c>
      <c r="AK15" s="47">
        <f>AC15*3+AD15</f>
        <v>2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236.66744866666667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France</v>
      </c>
      <c r="BA15" s="85">
        <v>3</v>
      </c>
      <c r="BB15" s="87">
        <v>0</v>
      </c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1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3 - 3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4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1</v>
      </c>
      <c r="AE16" s="47">
        <f>COUNTIF($S$7:$T$54,"=" &amp; AB16 &amp; "_lose")</f>
        <v>2</v>
      </c>
      <c r="AF16" s="47">
        <f>SUMIF($E$7:$E$54,$AB16,$F$7:$F$54) + SUMIF($H$7:$H$54,$AB16,$G$7:$G$54)</f>
        <v>1</v>
      </c>
      <c r="AG16" s="47">
        <f>SUMIF($E$7:$E$54,$AB16,$G$7:$G$54) + SUMIF($H$7:$H$54,$AB16,$F$7:$F$54)</f>
        <v>4</v>
      </c>
      <c r="AH16" s="47">
        <f>(AF16-AG16)*100+AK16*10000+AF16</f>
        <v>9701</v>
      </c>
      <c r="AI16" s="47">
        <f>AF16-AG16</f>
        <v>-3</v>
      </c>
      <c r="AJ16" s="47">
        <f>(AI16-AI19)/AI18</f>
        <v>0</v>
      </c>
      <c r="AK16" s="47">
        <f>AC16*3+AD16</f>
        <v>1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112.77859463777779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Netherlands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1</v>
      </c>
      <c r="G17" s="22">
        <v>1</v>
      </c>
      <c r="H17" s="90" t="str">
        <f>AB33</f>
        <v>Costa Rica</v>
      </c>
      <c r="J17" s="53" t="str">
        <f>VLOOKUP(3,AA14:AK17,2,FALSE)</f>
        <v>Iran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2 - 4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Spain_draw</v>
      </c>
      <c r="T17" s="88" t="str">
        <f t="shared" si="4"/>
        <v>Costa Rica_draw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0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3</v>
      </c>
      <c r="AH17" s="47">
        <f>(AF17-AG17)*100+AK17*10000+AF17</f>
        <v>40003</v>
      </c>
      <c r="AI17" s="47">
        <f>AF17-AG17</f>
        <v>0</v>
      </c>
      <c r="AJ17" s="47">
        <f>(AI17-AI19)/AI18</f>
        <v>0.33333333333333331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482.77856884277776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United States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1 - 4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3</v>
      </c>
      <c r="AF18" s="47">
        <f t="shared" si="11"/>
        <v>6</v>
      </c>
      <c r="AG18" s="47">
        <f t="shared" si="11"/>
        <v>4</v>
      </c>
      <c r="AH18" s="47">
        <f>MAX(AH14:AH17)-AH19+1</f>
        <v>80806</v>
      </c>
      <c r="AI18" s="47">
        <f>MAX(AI14:AI17)-AI19+1</f>
        <v>9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Switzerland_lose</v>
      </c>
      <c r="T19" s="88" t="str">
        <f t="shared" si="4"/>
        <v>Cameroon_win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-1</v>
      </c>
      <c r="AH19" s="47">
        <f>MIN(AH14:AH17)</f>
        <v>9701</v>
      </c>
      <c r="AI19" s="47">
        <f>MIN(AI14:AI17)</f>
        <v>-3</v>
      </c>
      <c r="AY19" s="125"/>
      <c r="AZ19" s="28" t="str">
        <f>AO39</f>
        <v>Belgium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8</v>
      </c>
      <c r="AG20" s="47">
        <f>SUMIF($E$7:$E$54,$AB20,$G$7:$G$54) + SUMIF($H$7:$H$54,$AB20,$F$7:$F$54)</f>
        <v>1</v>
      </c>
      <c r="AH20" s="47">
        <f>(AF20-AG20)*100+AK20*10000+AF20</f>
        <v>90708</v>
      </c>
      <c r="AI20" s="47">
        <f>AF20-AG20</f>
        <v>7</v>
      </c>
      <c r="AJ20" s="47">
        <f>(AI20-AI25)/AI24</f>
        <v>0.91666666666666663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1101.6675491666667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1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8 - 1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Portugal_draw</v>
      </c>
      <c r="T21" s="88" t="str">
        <f t="shared" si="4"/>
        <v>Ghana_draw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0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1</v>
      </c>
      <c r="AE21" s="47">
        <f>COUNTIF($S$7:$T$54,"=" &amp; AB21 &amp; "_lose")</f>
        <v>2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5</v>
      </c>
      <c r="AH21" s="47">
        <f>(AF21-AG21)*100+AK21*10000+AF21</f>
        <v>9601</v>
      </c>
      <c r="AI21" s="47">
        <f>AF21-AG21</f>
        <v>-4</v>
      </c>
      <c r="AJ21" s="47">
        <f>(AI21-AI25)/AI24</f>
        <v>0</v>
      </c>
      <c r="AK21" s="47">
        <f>AC21*3+AD21</f>
        <v>1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112.36183361111111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1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4 - 4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1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4</v>
      </c>
      <c r="AH22" s="47">
        <f>(AF22-AG22)*100+AK22*10000+AF22</f>
        <v>60004</v>
      </c>
      <c r="AI22" s="47">
        <f>AF22-AG22</f>
        <v>0</v>
      </c>
      <c r="AJ22" s="47">
        <f>(AI22-AI25)/AI24</f>
        <v>0.33333333333333331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705.00082941000005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0</v>
      </c>
      <c r="M23" s="25">
        <f>VLOOKUP(3,AA20:AK23,4,FALSE)</f>
        <v>1</v>
      </c>
      <c r="N23" s="25">
        <f>VLOOKUP(3,AA20:AK23,5,FALSE)</f>
        <v>2</v>
      </c>
      <c r="O23" s="25" t="str">
        <f>VLOOKUP(3,AA20:AK23,6,FALSE) &amp; " - " &amp; VLOOKUP(3,AA20:AK23,7,FALSE)</f>
        <v>2 - 5</v>
      </c>
      <c r="P23" s="54">
        <f>L23*3+M23</f>
        <v>1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0</v>
      </c>
      <c r="AD23" s="47">
        <f>COUNTIF($S$7:$T$54,"=" &amp; AB23 &amp; "_draw")</f>
        <v>1</v>
      </c>
      <c r="AE23" s="47">
        <f>COUNTIF($S$7:$T$54,"=" &amp; AB23 &amp; "_lose")</f>
        <v>2</v>
      </c>
      <c r="AF23" s="47">
        <f>SUMIF($E$7:$E$54,$AB23,$F$7:$F$54) + SUMIF($H$7:$H$54,$AB23,$G$7:$G$54)</f>
        <v>2</v>
      </c>
      <c r="AG23" s="47">
        <f>SUMIF($E$7:$E$54,$AB23,$G$7:$G$54) + SUMIF($H$7:$H$54,$AB23,$F$7:$F$54)</f>
        <v>5</v>
      </c>
      <c r="AH23" s="47">
        <f>(AF23-AG23)*100+AK23*10000+AF23</f>
        <v>9702</v>
      </c>
      <c r="AI23" s="47">
        <f>AF23-AG23</f>
        <v>-3</v>
      </c>
      <c r="AJ23" s="47">
        <f>(AI23-AI25)/AI24</f>
        <v>8.3333333333333329E-2</v>
      </c>
      <c r="AK23" s="47">
        <f>AC23*3+AD23</f>
        <v>1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121.94521644444444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Korea Republic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Netherlands</v>
      </c>
      <c r="BV23" s="84">
        <v>3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1</v>
      </c>
      <c r="N24" s="56">
        <f>VLOOKUP(4,AA20:AK23,5,FALSE)</f>
        <v>2</v>
      </c>
      <c r="O24" s="56" t="str">
        <f>VLOOKUP(4,AA20:AK23,6,FALSE) &amp; " - " &amp; VLOOKUP(4,AA20:AK23,7,FALSE)</f>
        <v>1 - 5</v>
      </c>
      <c r="P24" s="57">
        <f>L24*3+M24</f>
        <v>1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3</v>
      </c>
      <c r="AF24" s="47">
        <f t="shared" si="12"/>
        <v>8</v>
      </c>
      <c r="AG24" s="47">
        <f t="shared" si="12"/>
        <v>5</v>
      </c>
      <c r="AH24" s="47">
        <f>MAX(AH20:AH23)-AH25+1</f>
        <v>81108</v>
      </c>
      <c r="AI24" s="47">
        <f>MAX(AI20:AI23)-AI25+1</f>
        <v>12</v>
      </c>
      <c r="AK24" s="47">
        <f t="shared" si="12"/>
        <v>9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Croatia</v>
      </c>
      <c r="BV24" s="85">
        <v>2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9601</v>
      </c>
      <c r="AI25" s="47">
        <f>MIN(AI20:AI23)</f>
        <v>-4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2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0</v>
      </c>
      <c r="AE26" s="47">
        <f>COUNTIF($S$7:$T$54,"=" &amp; AB26 &amp; "_lose")</f>
        <v>1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3</v>
      </c>
      <c r="AH26" s="47">
        <f>(AF26-AG26)*100+AK26*10000+AF26</f>
        <v>60306</v>
      </c>
      <c r="AI26" s="47">
        <f>AF26-AG26</f>
        <v>3</v>
      </c>
      <c r="AJ26" s="47">
        <f>(AI26-AI31)/AI30</f>
        <v>0.9</v>
      </c>
      <c r="AK26" s="47">
        <f>AC26*3+AD26</f>
        <v>6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848.57232357142857</v>
      </c>
      <c r="AO26" s="48" t="str">
        <f>IF(SUM(AC26:AE29)=12,J27,INDEX(T,76,lang))</f>
        <v>Tunisia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0</v>
      </c>
      <c r="H27" s="90" t="str">
        <f>AB27</f>
        <v>Australia</v>
      </c>
      <c r="J27" s="50" t="str">
        <f>VLOOKUP(1,AA26:AK29,2,FALSE)</f>
        <v>Tunisia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3 - 1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Tunisia_win</v>
      </c>
      <c r="T27" s="88" t="str">
        <f t="shared" si="4"/>
        <v>Australia_lose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1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0</v>
      </c>
      <c r="AE27" s="47">
        <f>COUNTIF($S$7:$T$54,"=" &amp; AB27 &amp; "_lose")</f>
        <v>3</v>
      </c>
      <c r="AF27" s="47">
        <f>SUMIF($E$7:$E$54,$AB27,$F$7:$F$54) + SUMIF($H$7:$H$54,$AB27,$G$7:$G$54)</f>
        <v>0</v>
      </c>
      <c r="AG27" s="47">
        <f>SUMIF($E$7:$E$54,$AB27,$G$7:$G$54) + SUMIF($H$7:$H$54,$AB27,$F$7:$F$54)</f>
        <v>6</v>
      </c>
      <c r="AH27" s="47">
        <f>(AF27-AG27)*100+AK27*10000+AF27</f>
        <v>-600</v>
      </c>
      <c r="AI27" s="47">
        <f>AF27-AG27</f>
        <v>-6</v>
      </c>
      <c r="AJ27" s="47">
        <f>(AI27-AI31)/AI30</f>
        <v>0</v>
      </c>
      <c r="AK27" s="47">
        <f>AC27*3+AD27</f>
        <v>0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7.4186499999999997E-4</v>
      </c>
      <c r="AO27" s="48" t="str">
        <f>IF(SUM(AC26:AE29)=12,J28,INDEX(T,77,lang))</f>
        <v>France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1</v>
      </c>
      <c r="H28" s="90" t="str">
        <f>AB21</f>
        <v>Saudi Arabia</v>
      </c>
      <c r="J28" s="53" t="str">
        <f>VLOOKUP(2,AA26:AK29,2,FALSE)</f>
        <v>France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6 - 3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Poland_draw</v>
      </c>
      <c r="T28" s="88" t="str">
        <f t="shared" si="4"/>
        <v>Saudi Arabia_draw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0</v>
      </c>
      <c r="AA28" s="47">
        <f>COUNTIF(AN26:AN29,CONCATENATE("&gt;=",AN28))</f>
        <v>3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1</v>
      </c>
      <c r="AE28" s="47">
        <f>COUNTIF($S$7:$T$54,"=" &amp; AB28 &amp; "_lose")</f>
        <v>1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4</v>
      </c>
      <c r="AH28" s="47">
        <f>(AF28-AG28)*100+AK28*10000+AF28</f>
        <v>40105</v>
      </c>
      <c r="AI28" s="47">
        <f>AF28-AG28</f>
        <v>1</v>
      </c>
      <c r="AJ28" s="47">
        <f>(AI28-AI31)/AI30</f>
        <v>0.7</v>
      </c>
      <c r="AK28" s="47">
        <f>AC28*3+AD28</f>
        <v>4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577.14368394285714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3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2</v>
      </c>
      <c r="H29" s="90" t="str">
        <f>AB28</f>
        <v>Denmark</v>
      </c>
      <c r="J29" s="53" t="str">
        <f>VLOOKUP(3,AA26:AK29,2,FALSE)</f>
        <v>Denmark</v>
      </c>
      <c r="K29" s="25">
        <f>L29+M29+N29</f>
        <v>3</v>
      </c>
      <c r="L29" s="25">
        <f>VLOOKUP(3,AA26:AK29,3,FALSE)</f>
        <v>1</v>
      </c>
      <c r="M29" s="25">
        <f>VLOOKUP(3,AA26:AK29,4,FALSE)</f>
        <v>1</v>
      </c>
      <c r="N29" s="25">
        <f>VLOOKUP(3,AA26:AK29,5,FALSE)</f>
        <v>1</v>
      </c>
      <c r="O29" s="25" t="str">
        <f>VLOOKUP(3,AA26:AK29,6,FALSE) &amp; " - " &amp; VLOOKUP(3,AA26:AK29,7,FALSE)</f>
        <v>5 - 4</v>
      </c>
      <c r="P29" s="54">
        <f>L29*3+M29</f>
        <v>4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1</v>
      </c>
      <c r="AB29" s="48" t="str">
        <f>VLOOKUP("Tunisia",T,lang,FALSE)</f>
        <v>Tunisia</v>
      </c>
      <c r="AC29" s="47">
        <f>COUNTIF($S$7:$T$54,"=" &amp; AB29 &amp; "_win")</f>
        <v>2</v>
      </c>
      <c r="AD29" s="47">
        <f>COUNTIF($S$7:$T$54,"=" &amp; AB29 &amp; "_draw")</f>
        <v>1</v>
      </c>
      <c r="AE29" s="47">
        <f>COUNTIF($S$7:$T$54,"=" &amp; AB29 &amp; "_lose")</f>
        <v>0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1</v>
      </c>
      <c r="AH29" s="47">
        <f>(AF29-AG29)*100+AK29*10000+AF29</f>
        <v>70203</v>
      </c>
      <c r="AI29" s="47">
        <f>AF29-AG29</f>
        <v>2</v>
      </c>
      <c r="AJ29" s="47">
        <f>(AI29-AI31)/AI30</f>
        <v>0.8</v>
      </c>
      <c r="AK29" s="47">
        <f>AC29*3+AD29</f>
        <v>7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959.28646418571429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Tunisia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0 - 6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0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2</v>
      </c>
      <c r="AE30" s="47">
        <f t="shared" si="13"/>
        <v>4</v>
      </c>
      <c r="AF30" s="47">
        <f t="shared" si="13"/>
        <v>7</v>
      </c>
      <c r="AG30" s="47">
        <f t="shared" si="13"/>
        <v>6</v>
      </c>
      <c r="AH30" s="47">
        <f>MAX(AH26:AH29)-AH31+1</f>
        <v>70804</v>
      </c>
      <c r="AI30" s="47">
        <f>MAX(AI26:AI29)-AI31+1</f>
        <v>10</v>
      </c>
      <c r="AK30" s="47">
        <f t="shared" si="13"/>
        <v>8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Tunisia</v>
      </c>
      <c r="BA30" s="84">
        <v>2</v>
      </c>
      <c r="BB30" s="86">
        <v>1</v>
      </c>
      <c r="BC30" s="27">
        <v>3</v>
      </c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-600</v>
      </c>
      <c r="AI31" s="47">
        <f>MIN(AI26:AI29)</f>
        <v>-6</v>
      </c>
      <c r="AY31" s="125"/>
      <c r="AZ31" s="28" t="str">
        <f>AO21</f>
        <v>Mexico</v>
      </c>
      <c r="BA31" s="85">
        <v>2</v>
      </c>
      <c r="BB31" s="87">
        <v>1</v>
      </c>
      <c r="BC31" s="30">
        <v>2</v>
      </c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3</v>
      </c>
      <c r="AB32" s="48" t="str">
        <f>VLOOKUP("Spain",T,lang,FALSE)</f>
        <v>Spain</v>
      </c>
      <c r="AC32" s="47">
        <f>COUNTIF($S$7:$T$54,"=" &amp; AB32 &amp; "_win")</f>
        <v>0</v>
      </c>
      <c r="AD32" s="47">
        <f>COUNTIF($S$7:$T$54,"=" &amp; AB32 &amp; "_draw")</f>
        <v>1</v>
      </c>
      <c r="AE32" s="47">
        <f>COUNTIF($S$7:$T$54,"=" &amp; AB32 &amp; "_lose")</f>
        <v>2</v>
      </c>
      <c r="AF32" s="47">
        <f>SUMIF($E$7:$E$54,$AB32,$F$7:$F$54) + SUMIF($H$7:$H$54,$AB32,$G$7:$G$54)</f>
        <v>3</v>
      </c>
      <c r="AG32" s="47">
        <f>SUMIF($E$7:$E$54,$AB32,$G$7:$G$54) + SUMIF($H$7:$H$54,$AB32,$F$7:$F$54)</f>
        <v>6</v>
      </c>
      <c r="AH32" s="47">
        <f>(AF32-AG32)*100+AK32*10000+AF32</f>
        <v>9703</v>
      </c>
      <c r="AI32" s="47">
        <f>AF32-AG32</f>
        <v>-3</v>
      </c>
      <c r="AJ32" s="47">
        <f>(AI32-AI37)/AI36</f>
        <v>0.15384615384615385</v>
      </c>
      <c r="AK32" s="47">
        <f>AC32*3+AD32</f>
        <v>1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129.82991432905985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3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9 - 2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6</v>
      </c>
      <c r="AH33" s="47">
        <f>(AF33-AG33)*100+AK33*10000+AF33</f>
        <v>9501</v>
      </c>
      <c r="AI33" s="47">
        <f>AF33-AG33</f>
        <v>-5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112.22297225222223</v>
      </c>
      <c r="AO33" s="48" t="str">
        <f>IF(SUM(AC32:AE35)=12,J34,INDEX(T,79,lang))</f>
        <v>Japan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Croatia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3</v>
      </c>
      <c r="H34" s="90" t="str">
        <f>AB34</f>
        <v>Germany</v>
      </c>
      <c r="J34" s="53" t="str">
        <f>VLOOKUP(2,AA32:AK35,2,FALSE)</f>
        <v>Japan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4 - 3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9</v>
      </c>
      <c r="AG34" s="47">
        <f>SUMIF($E$7:$E$54,$AB34,$G$7:$G$54) + SUMIF($H$7:$H$54,$AB34,$F$7:$F$54)</f>
        <v>2</v>
      </c>
      <c r="AH34" s="47">
        <f>(AF34-AG34)*100+AK34*10000+AF34</f>
        <v>90709</v>
      </c>
      <c r="AI34" s="47">
        <f>AF34-AG34</f>
        <v>7</v>
      </c>
      <c r="AJ34" s="47">
        <f>(AI34-AI37)/AI36</f>
        <v>0.92307692307692313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1102.3085175726924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Croatia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Spain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3 - 6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2</v>
      </c>
      <c r="AB35" s="48" t="str">
        <f>VLOOKUP("Japan",T,lang,FALSE)</f>
        <v>Japan</v>
      </c>
      <c r="AC35" s="47">
        <f>COUNTIF($S$7:$T$54,"=" &amp; AB35 &amp; "_win")</f>
        <v>2</v>
      </c>
      <c r="AD35" s="47">
        <f>COUNTIF($S$7:$T$54,"=" &amp; AB35 &amp; "_draw")</f>
        <v>0</v>
      </c>
      <c r="AE35" s="47">
        <f>COUNTIF($S$7:$T$54,"=" &amp; AB35 &amp; "_lose")</f>
        <v>1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3</v>
      </c>
      <c r="AH35" s="47">
        <f>(AF35-AG35)*100+AK35*10000+AF35</f>
        <v>60104</v>
      </c>
      <c r="AI35" s="47">
        <f>AF35-AG35</f>
        <v>1</v>
      </c>
      <c r="AJ35" s="47">
        <f>(AI35-AI37)/AI36</f>
        <v>0.46153846153846156</v>
      </c>
      <c r="AK35" s="47">
        <f>AC35*3+AD35</f>
        <v>6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717.26573398495725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Japan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3</v>
      </c>
      <c r="BW35" s="86">
        <v>1</v>
      </c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1 - 6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3</v>
      </c>
      <c r="AF36" s="47">
        <f t="shared" si="14"/>
        <v>9</v>
      </c>
      <c r="AG36" s="47">
        <f t="shared" si="14"/>
        <v>5</v>
      </c>
      <c r="AH36" s="47">
        <f>MAX(AH32:AH35)-AH37+1</f>
        <v>81209</v>
      </c>
      <c r="AI36" s="47">
        <f>MAX(AI32:AI35)-AI37+1</f>
        <v>13</v>
      </c>
      <c r="AK36" s="47">
        <f t="shared" si="14"/>
        <v>9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Croatia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England</v>
      </c>
      <c r="BV36" s="85">
        <v>3</v>
      </c>
      <c r="BW36" s="87">
        <v>0</v>
      </c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1</v>
      </c>
      <c r="Y37" s="47">
        <f t="shared" si="9"/>
        <v>1</v>
      </c>
      <c r="AH37" s="47">
        <f>MIN(AH32:AH35)</f>
        <v>9501</v>
      </c>
      <c r="AI37" s="47">
        <f>MIN(AI32:AI35)</f>
        <v>-5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Serbia</v>
      </c>
      <c r="BH37" s="85">
        <v>0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2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0</v>
      </c>
      <c r="AE38" s="47">
        <f>COUNTIF($S$7:$T$54,"=" &amp; AB38 &amp; "_lose")</f>
        <v>1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4</v>
      </c>
      <c r="AH38" s="47">
        <f>(AF38-AG38)*100+AK38*10000+AF38</f>
        <v>60206</v>
      </c>
      <c r="AI38" s="47">
        <f>AF38-AG38</f>
        <v>2</v>
      </c>
      <c r="AJ38" s="47">
        <f>(AI38-AI43)/AI42</f>
        <v>0.6</v>
      </c>
      <c r="AK38" s="47">
        <f>AC38*3+AD38</f>
        <v>6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734.16758016666665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Uruguay</v>
      </c>
      <c r="BA38" s="84">
        <v>2</v>
      </c>
      <c r="BB38" s="86">
        <v>0</v>
      </c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8 - 3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1</v>
      </c>
      <c r="V39" s="47">
        <f t="shared" si="6"/>
        <v>1</v>
      </c>
      <c r="W39" s="47">
        <f t="shared" si="7"/>
        <v>1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3</v>
      </c>
      <c r="AG39" s="47">
        <f>SUMIF($E$7:$E$54,$AB39,$G$7:$G$54) + SUMIF($H$7:$H$54,$AB39,$F$7:$F$54)</f>
        <v>6</v>
      </c>
      <c r="AH39" s="47">
        <f>(AF39-AG39)*100+AK39*10000+AF39</f>
        <v>9703</v>
      </c>
      <c r="AI39" s="47">
        <f>AF39-AG39</f>
        <v>-3</v>
      </c>
      <c r="AJ39" s="47">
        <f>(AI39-AI43)/AI42</f>
        <v>0.1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124.86185061111111</v>
      </c>
      <c r="AO39" s="48" t="str">
        <f>IF(SUM(AC38:AE41)=12,J40,INDEX(T,81,lang))</f>
        <v>Belgium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2</v>
      </c>
      <c r="BB39" s="87">
        <v>1</v>
      </c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Belgium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6 - 4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5</v>
      </c>
      <c r="AH40" s="47">
        <f>(AF40-AG40)*100+AK40*10000+AF40</f>
        <v>9601</v>
      </c>
      <c r="AI40" s="47">
        <f>AF40-AG40</f>
        <v>-4</v>
      </c>
      <c r="AJ40" s="47">
        <f>(AI40-AI43)/AI42</f>
        <v>0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112.36188705111111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3 - 6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3</v>
      </c>
      <c r="AD41" s="47">
        <f>COUNTIF($S$7:$T$54,"=" &amp; AB41 &amp; "_draw")</f>
        <v>0</v>
      </c>
      <c r="AE41" s="47">
        <f>COUNTIF($S$7:$T$54,"=" &amp; AB41 &amp; "_lose")</f>
        <v>0</v>
      </c>
      <c r="AF41" s="47">
        <f>SUMIF($E$7:$E$54,$AB41,$F$7:$F$54) + SUMIF($H$7:$H$54,$AB41,$G$7:$G$54)</f>
        <v>8</v>
      </c>
      <c r="AG41" s="47">
        <f>SUMIF($E$7:$E$54,$AB41,$G$7:$G$54) + SUMIF($H$7:$H$54,$AB41,$F$7:$F$54)</f>
        <v>3</v>
      </c>
      <c r="AH41" s="47">
        <f>(AF41-AG41)*100+AK41*10000+AF41</f>
        <v>90508</v>
      </c>
      <c r="AI41" s="47">
        <f>AF41-AG41</f>
        <v>5</v>
      </c>
      <c r="AJ41" s="47">
        <f>(AI41-AI43)/AI42</f>
        <v>0.9</v>
      </c>
      <c r="AK41" s="47">
        <f>AC41*3+AD41</f>
        <v>9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1100.000810555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Netherlands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1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1 - 5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3</v>
      </c>
      <c r="AF42" s="47">
        <f t="shared" si="15"/>
        <v>8</v>
      </c>
      <c r="AG42" s="47">
        <f t="shared" si="15"/>
        <v>4</v>
      </c>
      <c r="AH42" s="47">
        <f>MAX(AH38:AH41)-AH43+1</f>
        <v>80908</v>
      </c>
      <c r="AI42" s="47">
        <f>MAX(AI38:AI41)-AI43+1</f>
        <v>10</v>
      </c>
      <c r="AK42" s="47">
        <f t="shared" si="15"/>
        <v>9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9601</v>
      </c>
      <c r="AI43" s="47">
        <f>MIN(AI38:AI41)</f>
        <v>-4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1</v>
      </c>
      <c r="G44" s="22">
        <v>0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Tunisia_win</v>
      </c>
      <c r="T44" s="88" t="str">
        <f t="shared" si="4"/>
        <v>France_lose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4</v>
      </c>
      <c r="AH44" s="47">
        <f>(AF44-AG44)*100+AK44*10000+AF44</f>
        <v>90509</v>
      </c>
      <c r="AI44" s="47">
        <f>AF44-AG44</f>
        <v>5</v>
      </c>
      <c r="AJ44" s="47">
        <f>(AI44-AI49)/AI48</f>
        <v>0.90909090909090906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1002.1600072540908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9 - 4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0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5</v>
      </c>
      <c r="AG45" s="47">
        <f>SUMIF($E$7:$E$54,$AB45,$G$7:$G$54) + SUMIF($H$7:$H$54,$AB45,$F$7:$F$54)</f>
        <v>3</v>
      </c>
      <c r="AH45" s="47">
        <f>(AF45-AG45)*100+AK45*10000+AF45</f>
        <v>60205</v>
      </c>
      <c r="AI45" s="47">
        <f>AF45-AG45</f>
        <v>2</v>
      </c>
      <c r="AJ45" s="47">
        <f>(AI45-AI49)/AI48</f>
        <v>0.63636363636363635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669.88713740136359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5 - 3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4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0</v>
      </c>
      <c r="AE46" s="47">
        <f>COUNTIF($S$7:$T$54,"=" &amp; AB46 &amp; "_lose")</f>
        <v>3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7</v>
      </c>
      <c r="AH46" s="47">
        <f>(AF46-AG46)*100+AK46*10000+AF46</f>
        <v>-498</v>
      </c>
      <c r="AI46" s="47">
        <f>AF46-AG46</f>
        <v>-5</v>
      </c>
      <c r="AJ46" s="47">
        <f>(AI46-AI49)/AI48</f>
        <v>0</v>
      </c>
      <c r="AK46" s="47">
        <f>AC46*3+AD46</f>
        <v>0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2.5008176600000001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3</v>
      </c>
      <c r="G47" s="22">
        <v>2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5 - 7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Croatia_win</v>
      </c>
      <c r="T47" s="88" t="str">
        <f t="shared" si="4"/>
        <v>Belgium_lose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1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0</v>
      </c>
      <c r="AE47" s="47">
        <f>COUNTIF($S$7:$T$54,"=" &amp; AB47 &amp; "_lose")</f>
        <v>2</v>
      </c>
      <c r="AF47" s="47">
        <f>SUMIF($E$7:$E$54,$AB47,$F$7:$F$54) + SUMIF($H$7:$H$54,$AB47,$G$7:$G$54)</f>
        <v>5</v>
      </c>
      <c r="AG47" s="47">
        <f>SUMIF($E$7:$E$54,$AB47,$G$7:$G$54) + SUMIF($H$7:$H$54,$AB47,$F$7:$F$54)</f>
        <v>7</v>
      </c>
      <c r="AH47" s="47">
        <f>(AF47-AG47)*100+AK47*10000+AF47</f>
        <v>29805</v>
      </c>
      <c r="AI47" s="47">
        <f>AF47-AG47</f>
        <v>-2</v>
      </c>
      <c r="AJ47" s="47">
        <f>(AI47-AI49)/AI48</f>
        <v>0.27272727272727271</v>
      </c>
      <c r="AK47" s="47">
        <f>AC47*3+AD47</f>
        <v>3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333.52346751272728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Switzerland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2 - 7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8</v>
      </c>
      <c r="AG48" s="47">
        <f t="shared" si="16"/>
        <v>5</v>
      </c>
      <c r="AH48" s="47">
        <f>MAX(AH44:AH47)-AH49+1</f>
        <v>91008</v>
      </c>
      <c r="AI48" s="47">
        <f>MAX(AI44:AI47)-AI49+1</f>
        <v>11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2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Japan_win</v>
      </c>
      <c r="T49" s="88" t="str">
        <f t="shared" si="4"/>
        <v>Spain_lose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1</v>
      </c>
      <c r="AH49" s="47">
        <f>MIN(AH44:AH47)</f>
        <v>-498</v>
      </c>
      <c r="AI49" s="47">
        <f>MIN(AI44:AI47)</f>
        <v>-5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3</v>
      </c>
      <c r="AB50" s="48" t="str">
        <f>VLOOKUP("Portugal",T,lang,FALSE)</f>
        <v>Portugal</v>
      </c>
      <c r="AC50" s="47">
        <f>COUNTIF($S$7:$T$54,"=" &amp; AB50 &amp; "_win")</f>
        <v>0</v>
      </c>
      <c r="AD50" s="47">
        <f>COUNTIF($S$7:$T$54,"=" &amp; AB50 &amp; "_draw")</f>
        <v>3</v>
      </c>
      <c r="AE50" s="47">
        <f>COUNTIF($S$7:$T$54,"=" &amp; AB50 &amp; "_lose")</f>
        <v>0</v>
      </c>
      <c r="AF50" s="47">
        <f>SUMIF($E$7:$E$54,$AB50,$F$7:$F$54) + SUMIF($H$7:$H$54,$AB50,$G$7:$G$54)</f>
        <v>4</v>
      </c>
      <c r="AG50" s="47">
        <f>SUMIF($E$7:$E$54,$AB50,$G$7:$G$54) + SUMIF($H$7:$H$54,$AB50,$F$7:$F$54)</f>
        <v>4</v>
      </c>
      <c r="AH50" s="47">
        <f>(AF50-AG50)*100+AK50*10000+AF50</f>
        <v>30004</v>
      </c>
      <c r="AI50" s="47">
        <f>AF50-AG50</f>
        <v>0</v>
      </c>
      <c r="AJ50" s="47">
        <f>(AI50-AI55)/AI54</f>
        <v>0.5</v>
      </c>
      <c r="AK50" s="47">
        <f>AC50*3+AD50</f>
        <v>3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485.23893262809526</v>
      </c>
      <c r="AO50" s="48" t="str">
        <f>IF(SUM(AC50:AE53)=12,J51,INDEX(T,84,lang))</f>
        <v>Uruguay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3</v>
      </c>
      <c r="H51" s="90" t="str">
        <f>AB52</f>
        <v>Uruguay</v>
      </c>
      <c r="J51" s="50" t="str">
        <f>VLOOKUP(1,AA50:AK53,2,FALSE)</f>
        <v>Uruguay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7 - 4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6</v>
      </c>
      <c r="AH51" s="47">
        <f>(AF51-AG51)*100+AK51*10000+AF51</f>
        <v>9602</v>
      </c>
      <c r="AI51" s="47">
        <f>AF51-AG51</f>
        <v>-4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146.19116987047622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1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4 - 3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Republic_draw</v>
      </c>
      <c r="T52" s="88" t="str">
        <f t="shared" si="4"/>
        <v>Portugal_draw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0</v>
      </c>
      <c r="AA52" s="47">
        <f>COUNTIF(AN50:AN53,CONCATENATE("&gt;=",AN52))</f>
        <v>1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1</v>
      </c>
      <c r="AE52" s="47">
        <f>COUNTIF($S$7:$T$54,"=" &amp; AB52 &amp; "_lose")</f>
        <v>0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4</v>
      </c>
      <c r="AH52" s="47">
        <f>(AF52-AG52)*100+AK52*10000+AF52</f>
        <v>70307</v>
      </c>
      <c r="AI52" s="47">
        <f>AF52-AG52</f>
        <v>3</v>
      </c>
      <c r="AJ52" s="47">
        <f>(AI52-AI55)/AI54</f>
        <v>0.875</v>
      </c>
      <c r="AK52" s="47">
        <f>AC52*3+AD52</f>
        <v>7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1099.1674845316668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0</v>
      </c>
      <c r="H53" s="90" t="str">
        <f>AB46</f>
        <v>Switzerland</v>
      </c>
      <c r="J53" s="53" t="str">
        <f>VLOOKUP(3,AA50:AK53,2,FALSE)</f>
        <v>Portugal</v>
      </c>
      <c r="K53" s="25">
        <f>L53+M53+N53</f>
        <v>3</v>
      </c>
      <c r="L53" s="25">
        <f>VLOOKUP(3,AA50:AK53,3,FALSE)</f>
        <v>0</v>
      </c>
      <c r="M53" s="25">
        <f>VLOOKUP(3,AA50:AK53,4,FALSE)</f>
        <v>3</v>
      </c>
      <c r="N53" s="25">
        <f>VLOOKUP(3,AA50:AK53,5,FALSE)</f>
        <v>0</v>
      </c>
      <c r="O53" s="25" t="str">
        <f>VLOOKUP(3,AA50:AK53,6,FALSE) &amp; " - " &amp; VLOOKUP(3,AA50:AK53,7,FALSE)</f>
        <v>4 - 4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1</v>
      </c>
      <c r="AE53" s="47">
        <f>COUNTIF($S$7:$T$54,"=" &amp; AB53 &amp; "_lose")</f>
        <v>1</v>
      </c>
      <c r="AF53" s="47">
        <f>SUMIF($E$7:$E$54,$AB53,$F$7:$F$54) + SUMIF($H$7:$H$54,$AB53,$G$7:$G$54)</f>
        <v>4</v>
      </c>
      <c r="AG53" s="47">
        <f>SUMIF($E$7:$E$54,$AB53,$G$7:$G$54) + SUMIF($H$7:$H$54,$AB53,$F$7:$F$54)</f>
        <v>3</v>
      </c>
      <c r="AH53" s="47">
        <f>(AF53-AG53)*100+AK53*10000+AF53</f>
        <v>40104</v>
      </c>
      <c r="AI53" s="47">
        <f>AF53-AG53</f>
        <v>1</v>
      </c>
      <c r="AJ53" s="47">
        <f>(AI53-AI55)/AI54</f>
        <v>0.625</v>
      </c>
      <c r="AK53" s="47">
        <f>AC53*3+AD53</f>
        <v>4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640.59599786523802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2</v>
      </c>
      <c r="G54" s="30">
        <v>4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2 - 6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1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3</v>
      </c>
      <c r="AE54" s="47">
        <f t="shared" si="17"/>
        <v>3</v>
      </c>
      <c r="AF54" s="47">
        <f t="shared" si="17"/>
        <v>6</v>
      </c>
      <c r="AG54" s="47">
        <f t="shared" si="17"/>
        <v>4</v>
      </c>
      <c r="AH54" s="47">
        <f>MAX(AH50:AH53)-AH55+1</f>
        <v>60706</v>
      </c>
      <c r="AI54" s="47">
        <f>MAX(AI50:AI53)-AI55+1</f>
        <v>8</v>
      </c>
      <c r="AK54" s="47">
        <f t="shared" si="17"/>
        <v>7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9602</v>
      </c>
      <c r="AI55" s="47">
        <f>MIN(AI50:AI53)</f>
        <v>-4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Tunisia</v>
      </c>
      <c r="T61" s="88" t="str">
        <f>IF(OR(S61="",S61="draw"),INDEX(T,89,lang),S61)</f>
        <v>Tunisia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Croatia</v>
      </c>
      <c r="T64" s="88" t="str">
        <f>IF(OR(S64="",S64="draw"),INDEX(T,92,lang),S64)</f>
        <v>Croatia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Serbia</v>
      </c>
      <c r="T65" s="88" t="str">
        <f>IF(OR(S65="",S65="draw"),INDEX(T,93,lang),S65)</f>
        <v>Serbia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Netherlands</v>
      </c>
      <c r="T69" s="88" t="str">
        <f>IF(OR(S69="",S69="draw"),INDEX(T,94,lang),S69)</f>
        <v>Netherlands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Croatia</v>
      </c>
      <c r="T72" s="88" t="str">
        <f>IF(OR(S72="",S72="draw"),INDEX(T,97,lang),S72)</f>
        <v>Croatia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Netherlands</v>
      </c>
      <c r="T76" s="88" t="str">
        <f>IF(OR(S76="",S76="draw"),INDEX(T,98,lang),S76)</f>
        <v>Netherlands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Croatia</v>
      </c>
      <c r="T77" s="88" t="str">
        <f>IF(OR(S77="",S77="draw"),INDEX(T,99,lang),S77)</f>
        <v>Croatia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England</v>
      </c>
      <c r="Z77" s="88" t="str">
        <f>IF(OR(U77="",U77="draw"),INDEX(T,101,lang),U77)</f>
        <v>England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Netherlands</v>
      </c>
      <c r="T85" s="88" t="str">
        <f>S85</f>
        <v>Netherlands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xWindow="1185" yWindow="693"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2" sqref="B12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2530</v>
      </c>
    </row>
    <row r="3" spans="1:2" x14ac:dyDescent="0.25">
      <c r="A3" s="100" t="s">
        <v>2519</v>
      </c>
      <c r="B3" s="103" t="s">
        <v>2531</v>
      </c>
    </row>
    <row r="4" spans="1:2" x14ac:dyDescent="0.25">
      <c r="A4" s="103" t="s">
        <v>2520</v>
      </c>
      <c r="B4" s="100" t="s">
        <v>2532</v>
      </c>
    </row>
    <row r="5" spans="1:2" x14ac:dyDescent="0.25">
      <c r="A5" s="100" t="s">
        <v>2529</v>
      </c>
      <c r="B5" s="103" t="s">
        <v>2533</v>
      </c>
    </row>
    <row r="6" spans="1:2" x14ac:dyDescent="0.25">
      <c r="A6" s="103" t="s">
        <v>2521</v>
      </c>
      <c r="B6" s="100" t="s">
        <v>2534</v>
      </c>
    </row>
    <row r="7" spans="1:2" x14ac:dyDescent="0.25">
      <c r="A7" s="100" t="s">
        <v>2522</v>
      </c>
      <c r="B7" s="103" t="s">
        <v>2535</v>
      </c>
    </row>
    <row r="8" spans="1:2" x14ac:dyDescent="0.25">
      <c r="A8" s="103" t="s">
        <v>2523</v>
      </c>
      <c r="B8" s="100" t="s">
        <v>2536</v>
      </c>
    </row>
    <row r="9" spans="1:2" x14ac:dyDescent="0.25">
      <c r="A9" s="100" t="s">
        <v>2524</v>
      </c>
      <c r="B9" s="103" t="s">
        <v>2537</v>
      </c>
    </row>
    <row r="10" spans="1:2" x14ac:dyDescent="0.25">
      <c r="A10" s="103" t="s">
        <v>2525</v>
      </c>
      <c r="B10" s="100" t="s">
        <v>2538</v>
      </c>
    </row>
    <row r="11" spans="1:2" x14ac:dyDescent="0.25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-</cp:lastModifiedBy>
  <cp:lastPrinted>2018-01-03T15:36:04Z</cp:lastPrinted>
  <dcterms:created xsi:type="dcterms:W3CDTF">2017-12-27T19:32:51Z</dcterms:created>
  <dcterms:modified xsi:type="dcterms:W3CDTF">2022-11-19T21:17:40Z</dcterms:modified>
</cp:coreProperties>
</file>