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lds\OneDrive\Töölaud\"/>
    </mc:Choice>
  </mc:AlternateContent>
  <bookViews>
    <workbookView xWindow="0" yWindow="0" windowWidth="23040" windowHeight="9072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U20" i="3"/>
  <c r="W20" i="3" s="1"/>
  <c r="W39" i="3"/>
  <c r="V39" i="3"/>
  <c r="W24" i="3"/>
  <c r="V24" i="3"/>
  <c r="V8" i="3"/>
  <c r="W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L21" i="3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6" i="3" l="1"/>
  <c r="P21" i="3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<sst xmlns="http://schemas.openxmlformats.org/spreadsheetml/2006/main" count="4374" uniqueCount="2538">
  <si>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</si>
  <si>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</si>
  <si>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</si>
  <si>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</si>
  <si>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</si>
  <si>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</si>
  <si>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</si>
  <si>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</si>
  <si>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</si>
  <si>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</si>
  <si>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</si>
  <si>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</si>
  <si>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</si>
  <si>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</si>
  <si>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</si>
  <si>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</si>
  <si>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</si>
  <si>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</si>
  <si>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</si>
  <si>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</si>
  <si>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</si>
  <si>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</si>
  <si>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</si>
  <si>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</si>
  <si>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</si>
  <si>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</si>
  <si>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</si>
  <si>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</si>
  <si>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</si>
  <si>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</si>
  <si>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</si>
  <si>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</si>
  <si>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</si>
  <si>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</si>
  <si>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</si>
  <si>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</si>
  <si>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</si>
  <si>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</si>
  <si>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</si>
  <si>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</si>
  <si>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</si>
  <si>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</si>
  <si>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</si>
  <si>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</si>
  <si>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</si>
  <si>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</si>
  <si>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</si>
  <si>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</si>
  <si>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</si>
  <si>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</si>
  <si>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</si>
  <si>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</si>
  <si>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</si>
  <si>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</si>
  <si>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</si>
  <si>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</si>
  <si>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</si>
  <si>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</si>
  <si>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</si>
  <si>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</si>
  <si>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</si>
  <si>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</si>
  <si>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</si>
  <si>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</si>
  <si>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</si>
  <si>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</si>
  <si>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</si>
  <si>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</si>
  <si>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</si>
  <si>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</si>
  <si>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</si>
  <si>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</si>
  <si>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</si>
  <si>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</si>
  <si>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</si>
  <si>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</si>
  <si>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</si>
  <si>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</si>
  <si>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</si>
  <si>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</si>
  <si>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</si>
  <si>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</si>
  <si>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</si>
  <si>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</si>
  <si>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</si>
  <si>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</si>
  <si>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</si>
  <si>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</si>
  <si>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</si>
  <si>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</si>
  <si>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</si>
  <si>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</si>
  <si>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</si>
  <si>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</si>
  <si>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</si>
  <si>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</si>
  <si>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</si>
  <si>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</si>
  <si>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</si>
  <si>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</si>
  <si>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</si>
  <si>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</si>
  <si>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</si>
  <si>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</si>
  <si>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</si>
  <si>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</si>
  <si>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</si>
  <si>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</si>
  <si>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</si>
  <si>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</si>
  <si>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</si>
  <si>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</si>
  <si>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</si>
  <si>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</si>
  <si>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</si>
  <si>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</si>
  <si>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</si>
  <si>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</si>
  <si>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</si>
  <si>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</si>
  <si>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</si>
  <si>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</si>
  <si>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</si>
  <si>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</si>
  <si>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</si>
  <si>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</si>
  <si>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</si>
  <si>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</si>
  <si>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</si>
  <si>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</si>
  <si>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</si>
  <si>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</si>
  <si>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</si>
  <si>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</si>
  <si>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</si>
  <si>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</si>
  <si>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</si>
  <si>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</si>
  <si>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</si>
  <si>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</si>
  <si>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</si>
  <si>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</si>
  <si>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</si>
  <si>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</si>
  <si>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</si>
  <si>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</si>
  <si>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</si>
  <si>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</si>
  <si>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</si>
  <si>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</si>
  <si>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</si>
  <si>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</si>
  <si>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</si>
  <si>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</si>
  <si>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</si>
  <si>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</si>
  <si>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</si>
  <si>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</si>
  <si>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</si>
  <si>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</si>
  <si>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</si>
  <si>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</si>
  <si>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</si>
  <si>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</si>
  <si>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</si>
  <si>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</si>
  <si>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</si>
  <si>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</si>
  <si>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</si>
  <si>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</si>
  <si>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</si>
  <si>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</si>
  <si>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</si>
  <si>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</si>
  <si>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</si>
  <si>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</si>
  <si>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</si>
  <si>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</si>
  <si>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</si>
  <si>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</si>
  <si>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</si>
  <si>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</si>
  <si>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</si>
  <si>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</si>
  <si>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</si>
  <si>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</si>
  <si>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</si>
  <si>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</si>
  <si>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</si>
  <si>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</si>
  <si>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</si>
  <si>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</si>
  <si>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</si>
  <si>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</si>
  <si>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</si>
  <si>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</si>
  <si>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</si>
  <si>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</si>
  <si>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</si>
  <si>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</si>
  <si>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</si>
  <si>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</si>
  <si>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</si>
  <si>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</si>
  <si>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</si>
  <si>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</si>
  <si>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</si>
  <si>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</si>
  <si>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</si>
  <si>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</si>
  <si>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</si>
  <si>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</si>
  <si>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</si>
  <si>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</si>
  <si>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</si>
  <si>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</si>
  <si>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</si>
  <si>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</si>
  <si>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</si>
  <si>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</si>
  <si>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</si>
  <si>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</si>
  <si>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</si>
  <si>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</si>
  <si>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</si>
  <si>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</si>
  <si>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</si>
  <si>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</si>
  <si>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</si>
  <si>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</si>
  <si>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</si>
  <si>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</si>
  <si>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</si>
  <si>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</si>
  <si>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</si>
  <si>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</si>
  <si>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</si>
  <si>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</si>
  <si>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</si>
  <si>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</si>
  <si>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</si>
  <si>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</si>
  <si>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</si>
  <si>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</si>
  <si>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</si>
  <si>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</si>
  <si>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</si>
  <si>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</si>
  <si>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</si>
  <si>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</si>
  <si>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</si>
  <si>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</si>
  <si>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</si>
  <si>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</si>
  <si>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</si>
  <si>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</si>
  <si>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</si>
  <si>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</si>
  <si>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</si>
  <si>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</si>
  <si>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</si>
  <si>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</si>
  <si>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</si>
  <si>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</si>
  <si>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</si>
  <si>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</si>
  <si>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</si>
  <si>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</si>
  <si>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</si>
  <si>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</si>
  <si>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</si>
  <si>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</si>
  <si>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</si>
  <si>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</si>
  <si>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</si>
  <si>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</si>
  <si>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</si>
  <si>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</si>
  <si>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</si>
  <si>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</si>
  <si>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</si>
  <si>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</si>
  <si>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</si>
  <si>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</si>
  <si>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</si>
  <si>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</si>
  <si>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</si>
  <si>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</si>
  <si>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</si>
  <si>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</si>
  <si>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</si>
  <si>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</si>
  <si>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</si>
  <si>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</si>
  <si>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</si>
  <si>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</si>
  <si>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</si>
  <si>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</si>
  <si>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</si>
  <si>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</si>
  <si>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</si>
  <si>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</si>
  <si>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</si>
  <si>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</si>
  <si>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</si>
  <si>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</si>
  <si>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</si>
  <si>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</si>
  <si>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</si>
  <si>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</si>
  <si>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</si>
  <si>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</si>
  <si>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</si>
  <si>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</si>
  <si>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</si>
  <si>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</si>
  <si>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</si>
  <si>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</si>
  <si>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</si>
  <si>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</si>
  <si>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</si>
  <si>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</si>
  <si>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</si>
  <si>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</si>
  <si>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</si>
  <si>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</si>
  <si>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</si>
  <si>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</si>
  <si>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</si>
  <si>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</si>
  <si>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</si>
  <si>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</si>
  <si>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</si>
  <si>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</si>
  <si>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</si>
  <si>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</si>
  <si>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</si>
  <si>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</si>
  <si>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</si>
  <si>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</si>
  <si>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</si>
  <si>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</si>
  <si>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</si>
  <si>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</si>
  <si>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</si>
  <si>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</si>
  <si>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</si>
  <si>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</si>
  <si>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</si>
  <si>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</si>
  <si>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</si>
  <si>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</si>
  <si>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</si>
  <si>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</si>
  <si>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</si>
  <si>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</si>
  <si>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</si>
  <si>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</si>
  <si>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</si>
  <si>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</si>
  <si>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</si>
  <si>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</si>
  <si>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</si>
  <si>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</si>
  <si>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</si>
  <si>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</si>
  <si>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</si>
  <si>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</si>
  <si>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</si>
  <si>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</si>
  <si>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</si>
  <si>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</si>
  <si>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</si>
  <si>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</si>
  <si>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</si>
  <si>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</si>
  <si>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</si>
  <si>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</si>
  <si>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</si>
  <si>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</si>
  <si>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</si>
  <si>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</si>
  <si>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</si>
  <si>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</si>
  <si>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</si>
  <si>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</si>
  <si>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</si>
  <si>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</si>
  <si>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</si>
  <si>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</si>
  <si>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</si>
  <si>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</si>
  <si>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</si>
  <si>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</si>
  <si>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</si>
  <si>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</si>
  <si>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</si>
  <si>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</si>
  <si>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</si>
  <si>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</si>
  <si>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</si>
  <si>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</si>
  <si>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</si>
  <si>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</si>
  <si>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</si>
  <si>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</si>
  <si>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</si>
  <si>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</si>
  <si>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</si>
  <si>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</si>
  <si>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</si>
  <si>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</si>
  <si>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</si>
  <si>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</si>
  <si>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</si>
  <si>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</si>
  <si>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</si>
  <si>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</si>
  <si>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</si>
  <si>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</si>
  <si>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</si>
  <si>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</si>
  <si>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</si>
  <si>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</si>
  <si>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</si>
  <si>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</si>
  <si>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</si>
  <si>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</si>
  <si>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</si>
  <si>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</si>
  <si>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</si>
  <si>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</si>
  <si>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</si>
  <si>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</si>
  <si>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</si>
  <si>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</si>
  <si>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</si>
  <si>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</si>
  <si>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</si>
  <si>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</si>
  <si>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</si>
  <si>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</si>
  <si>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</si>
  <si>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</si>
  <si>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</si>
  <si>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</si>
  <si>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</si>
  <si>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</si>
  <si>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</si>
  <si>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</si>
  <si>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</si>
  <si>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</si>
  <si>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</si>
  <si>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</si>
  <si>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</si>
  <si>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</si>
  <si>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</si>
  <si>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</si>
  <si>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</si>
  <si>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</si>
  <si>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</si>
  <si>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</si>
  <si>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</si>
  <si>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</si>
  <si>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</si>
  <si>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</si>
  <si>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</si>
  <si>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</si>
  <si>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</si>
  <si>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</si>
  <si>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</si>
  <si>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</si>
  <si>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</si>
  <si>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</si>
  <si>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</si>
  <si>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</si>
  <si>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</si>
  <si>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</si>
  <si>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</si>
  <si>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</si>
  <si>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</si>
  <si>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</si>
  <si>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</si>
  <si>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</si>
  <si>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</si>
  <si>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</si>
  <si>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</si>
  <si>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</si>
  <si>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</si>
  <si>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</si>
  <si>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</si>
  <si>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</si>
  <si>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</si>
  <si>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</si>
  <si>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</si>
  <si>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</si>
  <si>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</si>
  <si>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</si>
  <si>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</si>
  <si>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</si>
  <si>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</si>
  <si>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</si>
  <si>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</si>
  <si>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</si>
  <si>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</si>
  <si>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</si>
  <si>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</si>
  <si>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</si>
  <si>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</si>
  <si>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</si>
  <si>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</si>
  <si>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</si>
  <si>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</si>
  <si>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</si>
  <si>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</si>
  <si>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</si>
  <si>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</si>
  <si>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</si>
  <si>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</si>
  <si>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</si>
  <si>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</si>
  <si>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</si>
  <si>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</si>
  <si>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</si>
  <si>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</si>
  <si>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</si>
  <si>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</si>
  <si>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</si>
  <si>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</si>
  <si>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</si>
  <si>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</si>
  <si>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</si>
  <si>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</si>
  <si>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</si>
  <si>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</si>
  <si>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</si>
  <si>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</si>
  <si>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</si>
  <si>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</si>
  <si>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</si>
  <si>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</si>
  <si>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</si>
  <si>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</si>
  <si>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</si>
  <si>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</si>
  <si>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</si>
  <si>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</si>
  <si>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</si>
  <si>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</si>
  <si>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</si>
  <si>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</si>
  <si>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</si>
  <si>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</si>
  <si>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</si>
  <si>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</si>
  <si>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</si>
  <si>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</si>
  <si>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</si>
  <si>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</si>
  <si>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</si>
  <si>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</si>
  <si>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</si>
  <si>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</si>
  <si>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</si>
  <si>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</si>
  <si>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</si>
  <si>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</si>
  <si>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</si>
  <si>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</si>
  <si>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</si>
  <si>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</si>
  <si>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</si>
  <si>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</si>
  <si>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</si>
  <si>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</si>
  <si>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</si>
  <si>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</si>
  <si>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</si>
  <si>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</si>
  <si>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</si>
  <si>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</si>
  <si>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</si>
  <si>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</si>
  <si>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</si>
  <si>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</si>
  <si>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</si>
  <si>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</si>
  <si>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</si>
  <si>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</si>
  <si>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</si>
  <si>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</si>
  <si>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</si>
  <si>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</si>
  <si>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</si>
  <si>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</si>
  <si>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</si>
  <si>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</si>
  <si>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</si>
  <si>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</si>
  <si>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</si>
  <si>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</si>
  <si>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</si>
  <si>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</si>
  <si>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</si>
  <si>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</si>
  <si>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</si>
  <si>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</si>
  <si>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</si>
  <si>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</si>
  <si>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</si>
  <si>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</si>
  <si>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</si>
  <si>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</si>
  <si>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</si>
  <si>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</si>
  <si>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</si>
  <si>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</si>
  <si>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</si>
  <si>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</si>
  <si>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</si>
  <si>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</si>
  <si>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</si>
  <si>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</si>
  <si>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</si>
  <si>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</si>
  <si>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</si>
  <si>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</si>
  <si>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</si>
  <si>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</si>
  <si>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</si>
  <si>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</si>
  <si>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</si>
  <si>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</si>
  <si>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</si>
  <si>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</si>
  <si>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</si>
  <si>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</si>
  <si>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</si>
  <si>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</si>
  <si>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</si>
  <si>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</si>
  <si>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</si>
  <si>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</si>
  <si>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</si>
  <si>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</si>
  <si>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</si>
  <si>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</si>
  <si>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</si>
  <si>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</si>
  <si>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</si>
  <si>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</si>
  <si>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</si>
  <si>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</si>
  <si>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</si>
  <si>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</si>
  <si>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</si>
  <si>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</si>
  <si>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</si>
  <si>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</si>
  <si>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</si>
  <si>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</si>
  <si>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</si>
  <si>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</si>
  <si>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</si>
  <si>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</si>
  <si>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</si>
  <si>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</si>
  <si>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</si>
  <si>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</si>
  <si>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</si>
  <si>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</si>
  <si>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</si>
  <si>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</si>
  <si>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</si>
  <si>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</si>
  <si>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</si>
  <si>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</si>
  <si>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</si>
  <si>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</si>
  <si>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</si>
  <si>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</si>
  <si>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</si>
  <si>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</si>
  <si>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</si>
  <si>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</si>
  <si>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</si>
  <si>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</si>
  <si>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</si>
  <si>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</si>
  <si>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</si>
  <si>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</si>
  <si>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</si>
  <si>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</si>
  <si>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</si>
  <si>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</si>
  <si>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</si>
  <si>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</si>
  <si>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</si>
  <si>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</si>
  <si>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</si>
  <si>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</si>
  <si>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</si>
  <si>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</si>
  <si>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</si>
  <si>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</si>
  <si>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</si>
  <si>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</si>
  <si>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</si>
  <si>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</si>
  <si>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</si>
  <si>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</si>
  <si>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</si>
  <si>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</si>
  <si>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</si>
  <si>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</si>
  <si>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</si>
  <si>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</si>
  <si>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</si>
  <si>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</si>
  <si>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</si>
  <si>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</si>
  <si>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</si>
  <si>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</si>
  <si>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</si>
  <si>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</si>
  <si>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</si>
  <si>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</si>
  <si>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</si>
  <si>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</si>
  <si>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</si>
  <si>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</si>
  <si>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</si>
  <si>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</si>
  <si>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</si>
  <si>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</si>
  <si>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</si>
  <si>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</si>
  <si>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</si>
  <si>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</si>
  <si>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</si>
  <si>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</si>
  <si>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</si>
  <si>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</si>
  <si>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</si>
  <si>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</si>
  <si>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</si>
  <si>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</si>
  <si>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</si>
  <si>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</si>
  <si>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</si>
  <si>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</si>
  <si>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</si>
  <si>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</si>
  <si>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</si>
  <si>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</si>
  <si>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</si>
  <si>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</si>
  <si>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</si>
  <si>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</si>
  <si>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</si>
  <si>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</si>
  <si>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</si>
  <si>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</si>
  <si>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</si>
  <si>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</si>
  <si>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</si>
  <si>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</si>
  <si>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</si>
  <si>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</si>
  <si>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</si>
  <si>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</si>
  <si>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</si>
  <si>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</si>
  <si>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</si>
  <si>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</si>
  <si>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</si>
  <si>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</si>
  <si>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</si>
  <si>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</si>
  <si>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</si>
  <si>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</si>
  <si>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</si>
  <si>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</si>
  <si>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</si>
  <si>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</si>
  <si>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</si>
  <si>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</si>
  <si>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</si>
  <si>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</si>
  <si>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</si>
  <si>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</si>
  <si>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</si>
  <si>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</si>
  <si>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</si>
  <si>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</si>
  <si>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</si>
  <si>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</si>
  <si>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</si>
  <si>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</si>
  <si>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</si>
  <si>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</si>
  <si>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</si>
  <si>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</si>
  <si>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</si>
  <si>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</si>
  <si>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</si>
  <si>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</si>
  <si>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</si>
  <si>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</si>
  <si>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</si>
  <si>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</si>
  <si>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</si>
  <si>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</si>
  <si>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</si>
  <si>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</si>
  <si>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</si>
  <si>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</si>
  <si>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</si>
  <si>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</si>
  <si>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</si>
  <si>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</si>
  <si>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</si>
  <si>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</si>
  <si>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</si>
  <si>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</si>
  <si>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</si>
  <si>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</si>
  <si>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</si>
  <si>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</si>
  <si>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</si>
  <si>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</si>
  <si>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</si>
  <si>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</si>
  <si>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</si>
  <si>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</si>
  <si>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</si>
  <si>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</si>
  <si>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</si>
  <si>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</si>
  <si>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</si>
  <si>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</si>
  <si>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</si>
  <si>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</si>
  <si>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</si>
  <si>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</si>
  <si>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</si>
  <si>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</si>
  <si>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</si>
  <si>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</si>
  <si>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</si>
  <si>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</si>
  <si>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</si>
  <si>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</si>
  <si>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</si>
  <si>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</si>
  <si>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</si>
  <si>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</si>
  <si>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</si>
  <si>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</si>
  <si>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</si>
  <si>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</si>
  <si>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</si>
  <si>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</si>
  <si>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</si>
  <si>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</si>
  <si>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</si>
  <si>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</si>
  <si>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</si>
  <si>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</si>
  <si>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</si>
  <si>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</si>
  <si>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</si>
  <si>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</si>
  <si>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</si>
  <si>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</si>
  <si>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</si>
  <si>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</si>
  <si>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</si>
  <si>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</si>
  <si>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</si>
  <si>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</si>
  <si>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</si>
  <si>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</si>
  <si>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</si>
  <si>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</si>
  <si>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</si>
  <si>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</si>
  <si>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</si>
  <si>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</si>
  <si>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</si>
  <si>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</si>
  <si>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</si>
  <si>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</si>
  <si>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</si>
  <si>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</si>
  <si>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</si>
  <si>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</si>
  <si>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</si>
  <si>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</si>
  <si>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</si>
  <si>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</si>
  <si>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</si>
  <si>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</si>
  <si>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</si>
  <si>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</si>
  <si>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</si>
  <si>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</si>
  <si>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</si>
  <si>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</si>
  <si>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</si>
  <si>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</si>
  <si>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</si>
  <si>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</si>
  <si>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</si>
  <si>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</si>
  <si>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</si>
  <si>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</si>
  <si>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</si>
  <si>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</si>
  <si>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</si>
  <si>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</si>
  <si>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</si>
  <si>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</si>
  <si>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</si>
  <si>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</si>
  <si>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</si>
  <si>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</si>
  <si>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</si>
  <si>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</si>
  <si>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</si>
  <si>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</si>
  <si>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</si>
  <si>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</si>
  <si>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</si>
  <si>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</si>
  <si>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</si>
  <si>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</si>
  <si>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</si>
  <si>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</si>
  <si>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</si>
  <si>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</si>
  <si>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</si>
  <si>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</si>
  <si>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</si>
  <si>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</si>
  <si>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</si>
  <si>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</si>
  <si>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</si>
  <si>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</si>
  <si>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</si>
  <si>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</si>
  <si>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</si>
  <si>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</si>
  <si>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</si>
  <si>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</si>
  <si>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</si>
  <si>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</si>
  <si>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</si>
  <si>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</si>
  <si>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</si>
  <si>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</si>
  <si>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</si>
  <si>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</si>
  <si>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</si>
  <si>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</si>
  <si>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</si>
  <si>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</si>
  <si>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</si>
  <si>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</si>
  <si>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</si>
  <si>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</si>
  <si>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</si>
  <si>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</si>
  <si>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</si>
  <si>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</si>
  <si>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</si>
  <si>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</si>
  <si>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</si>
  <si>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</si>
  <si>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</si>
  <si>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</si>
  <si>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</si>
  <si>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</si>
  <si>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</si>
  <si>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</si>
  <si>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</si>
  <si>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</si>
  <si>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</si>
  <si>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</si>
  <si>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</si>
  <si>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</si>
  <si>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</si>
  <si>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</si>
  <si>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</si>
  <si>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</si>
  <si>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</si>
  <si>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</si>
  <si>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</si>
  <si>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</si>
  <si>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</si>
  <si>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</si>
  <si>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</si>
  <si>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</si>
  <si>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</si>
  <si>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</si>
  <si>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</si>
  <si>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</si>
  <si>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</si>
  <si>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</si>
  <si>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</si>
  <si>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</si>
  <si>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</si>
  <si>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</si>
  <si>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</si>
  <si>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</si>
  <si>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</si>
  <si>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</si>
  <si>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</si>
  <si>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</si>
  <si>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</si>
  <si>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</si>
  <si>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</si>
  <si>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</si>
  <si>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</si>
  <si>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</si>
  <si>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</si>
  <si>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</si>
  <si>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</si>
  <si>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</si>
  <si>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</si>
  <si>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</si>
  <si>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</si>
  <si>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</si>
  <si>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</si>
  <si>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</si>
  <si>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</si>
  <si>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</si>
  <si>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</si>
  <si>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</si>
  <si>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</si>
  <si>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</si>
  <si>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</si>
  <si>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</si>
  <si>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</si>
  <si>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</si>
  <si>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</si>
  <si>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</si>
  <si>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</si>
  <si>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</si>
  <si>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</si>
  <si>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</si>
  <si>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</si>
  <si>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</si>
  <si>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</si>
  <si>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</si>
  <si>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</si>
  <si>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</si>
  <si>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</si>
  <si>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</si>
  <si>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</si>
  <si>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</si>
  <si>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</si>
  <si>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</si>
  <si>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</si>
  <si>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</si>
  <si>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</si>
  <si>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</si>
  <si>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</si>
  <si>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</si>
  <si>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</si>
  <si>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</si>
  <si>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</si>
  <si>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</si>
  <si>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</si>
  <si>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</si>
  <si>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</si>
  <si>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</si>
  <si>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</si>
  <si>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</si>
  <si>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</si>
  <si>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</si>
  <si>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</si>
  <si>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</si>
  <si>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</si>
  <si>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</si>
  <si>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</si>
  <si>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</si>
  <si>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</si>
  <si>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</si>
  <si>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</si>
  <si>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</si>
  <si>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</si>
  <si>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</si>
  <si>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</si>
  <si>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</si>
  <si>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</si>
  <si>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</si>
  <si>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</si>
  <si>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</si>
  <si>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</si>
  <si>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</si>
  <si>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</si>
  <si>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</si>
  <si>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</si>
  <si>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</si>
  <si>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</si>
  <si>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</si>
  <si>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</si>
  <si>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</si>
  <si>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</si>
  <si>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</si>
  <si>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</si>
  <si>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</si>
  <si>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</si>
  <si>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</si>
  <si>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</si>
  <si>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</si>
  <si>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</si>
  <si>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</si>
  <si>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</si>
  <si>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</si>
  <si>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</si>
  <si>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</si>
  <si>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</si>
  <si>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</si>
  <si>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</si>
  <si>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</si>
  <si>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</si>
  <si>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</si>
  <si>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</si>
  <si>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</si>
  <si>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</si>
  <si>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</si>
  <si>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</si>
  <si>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</si>
  <si>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</si>
  <si>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</si>
  <si>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</si>
  <si>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</si>
  <si>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</si>
  <si>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</si>
  <si>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</si>
  <si>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</si>
  <si>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</si>
  <si>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</si>
  <si>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</si>
  <si>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</si>
  <si>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</si>
  <si>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</si>
  <si>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</si>
  <si>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</si>
  <si>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</si>
  <si>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</si>
  <si>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</si>
  <si>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</si>
  <si>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</si>
  <si>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</si>
  <si>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</si>
  <si>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</si>
  <si>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</si>
  <si>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</si>
  <si>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</si>
  <si>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</si>
  <si>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</si>
  <si>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</si>
  <si>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</si>
  <si>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</si>
  <si>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</si>
  <si>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</si>
  <si>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</si>
  <si>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</si>
  <si>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</si>
  <si>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</si>
  <si>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</si>
  <si>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</si>
  <si>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</si>
  <si>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</si>
  <si>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</si>
  <si>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</si>
  <si>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</si>
  <si>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</si>
  <si>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</si>
  <si>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</si>
  <si>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</si>
  <si>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</si>
  <si>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</si>
  <si>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</si>
  <si>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</si>
  <si>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</si>
  <si>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</si>
  <si>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</si>
  <si>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</si>
  <si>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</si>
  <si>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</si>
  <si>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</si>
  <si>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</si>
  <si>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</si>
  <si>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</si>
  <si>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</si>
  <si>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</si>
  <si>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</si>
  <si>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</si>
  <si>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</si>
  <si>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</si>
  <si>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</si>
  <si>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</si>
  <si>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</si>
  <si>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</si>
  <si>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</si>
  <si>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</si>
  <si>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</si>
  <si>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</si>
  <si>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</si>
  <si>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</si>
  <si>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</si>
  <si>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</si>
  <si>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</si>
  <si>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</si>
  <si>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</si>
  <si>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</si>
  <si>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</si>
  <si>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</si>
  <si>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</si>
  <si>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</si>
  <si>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</si>
  <si>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</si>
  <si>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</si>
  <si>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</si>
  <si>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</si>
  <si>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</si>
  <si>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</si>
  <si>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</si>
  <si>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</si>
  <si>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</si>
  <si>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</si>
  <si>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</si>
  <si>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</si>
  <si>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</si>
  <si>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</si>
  <si>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</si>
  <si>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</si>
  <si>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</si>
  <si>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</si>
  <si>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</si>
  <si>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</si>
  <si>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</si>
  <si>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</si>
  <si>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</si>
  <si>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</si>
  <si>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</si>
  <si>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</si>
  <si>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</si>
  <si>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</si>
  <si>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</si>
  <si>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</si>
  <si>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</si>
  <si>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</si>
  <si>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</si>
  <si>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</si>
  <si>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</si>
  <si>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</si>
  <si>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</si>
  <si>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</si>
  <si>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</si>
  <si>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</si>
  <si>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</si>
  <si>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</si>
  <si>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</si>
  <si>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</si>
  <si>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</si>
  <si>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</si>
  <si>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</si>
  <si>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</si>
  <si>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</si>
  <si>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</si>
  <si>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</si>
  <si>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</si>
  <si>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</si>
  <si>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</si>
  <si>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</si>
  <si>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</si>
  <si>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</si>
  <si>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</si>
  <si>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</si>
  <si>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</si>
  <si>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</si>
  <si>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</si>
  <si>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</si>
  <si>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</si>
  <si>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</si>
  <si>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</si>
  <si>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</si>
  <si>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</si>
  <si>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</si>
  <si>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</si>
  <si>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</si>
  <si>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</si>
  <si>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</si>
  <si>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</si>
  <si>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</si>
  <si>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</si>
  <si>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</si>
  <si>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</si>
  <si>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</si>
  <si>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</si>
  <si>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</si>
  <si>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</si>
  <si>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</si>
  <si>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</si>
  <si>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</si>
  <si>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</si>
  <si>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</si>
  <si>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</si>
  <si>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</si>
  <si>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</si>
  <si>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</si>
  <si>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</si>
  <si>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</si>
  <si>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</si>
  <si>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</si>
  <si>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</si>
  <si>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</si>
  <si>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</si>
  <si>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</si>
  <si>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</si>
  <si>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</si>
  <si>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</si>
  <si>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</si>
  <si>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</si>
  <si>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</si>
  <si>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</si>
  <si>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</si>
  <si>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</si>
  <si>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</si>
  <si>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</si>
  <si>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</si>
  <si>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</si>
  <si>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</si>
  <si>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</si>
  <si>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</si>
  <si>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</si>
  <si>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</si>
  <si>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</si>
  <si>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</si>
  <si>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</si>
  <si>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</si>
  <si>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</si>
  <si>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</si>
  <si>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</si>
  <si>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</si>
  <si>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</si>
  <si>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</si>
  <si>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</si>
  <si>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</si>
  <si>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</si>
  <si>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</si>
  <si>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</si>
  <si>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</si>
  <si>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</si>
  <si>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</si>
  <si>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</si>
  <si>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</si>
  <si>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</si>
  <si>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</si>
  <si>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</si>
  <si>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</si>
  <si>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</si>
  <si>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</si>
  <si>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</si>
  <si>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</si>
  <si>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</si>
  <si>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</si>
  <si>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</si>
  <si>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</si>
  <si>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</si>
  <si>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</si>
  <si>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</si>
  <si>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</si>
  <si>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</si>
  <si>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</si>
  <si>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</si>
  <si>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</si>
  <si>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</si>
  <si>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</si>
  <si>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</si>
  <si>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</si>
  <si>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</si>
  <si>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</si>
  <si>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</si>
  <si>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</si>
  <si>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</si>
  <si>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</si>
  <si>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</si>
  <si>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</si>
  <si>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</si>
  <si>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</si>
  <si>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</si>
  <si>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</si>
  <si>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</si>
  <si>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</si>
  <si>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</si>
  <si>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</si>
  <si>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</si>
  <si>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</si>
  <si>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</si>
  <si>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</si>
  <si>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</si>
  <si>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</si>
  <si>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</si>
  <si>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</si>
  <si>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</si>
  <si>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</si>
  <si>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</si>
  <si>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</si>
  <si>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</si>
  <si>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</si>
  <si>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</si>
  <si>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</si>
  <si>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</si>
  <si>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</si>
  <si>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</si>
  <si>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</si>
  <si>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</si>
  <si>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</si>
  <si>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</si>
  <si>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</si>
  <si>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</si>
  <si>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</si>
  <si>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</si>
  <si>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</si>
  <si>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</si>
  <si>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</si>
  <si>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</si>
  <si>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</si>
  <si>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</si>
  <si>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</si>
  <si>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</si>
  <si>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</si>
  <si>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</si>
  <si>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</si>
  <si>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</si>
  <si>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</si>
  <si>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</si>
  <si>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</si>
  <si>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</si>
  <si>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</si>
  <si>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</si>
  <si>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</si>
  <si>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</si>
  <si>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</si>
  <si>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</si>
  <si>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</si>
  <si>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</si>
  <si>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</si>
  <si>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</si>
  <si>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</si>
  <si>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</si>
  <si>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</si>
  <si>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</si>
  <si>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</si>
  <si>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</si>
  <si>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</si>
  <si>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</si>
  <si>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</si>
  <si>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</si>
  <si>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</si>
  <si>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</si>
  <si>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</si>
  <si>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</si>
  <si>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</si>
  <si>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</si>
  <si>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</si>
  <si>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</si>
  <si>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</si>
  <si>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</si>
  <si>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</si>
  <si>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</si>
  <si>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</si>
  <si>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</si>
  <si>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</si>
  <si>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</si>
  <si>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</si>
  <si>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</si>
  <si>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</si>
  <si>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</si>
  <si>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</si>
  <si>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</si>
  <si>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</si>
  <si>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</si>
  <si>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</si>
  <si>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</si>
  <si>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</si>
  <si>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</si>
  <si>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</si>
  <si>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</si>
  <si>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</si>
  <si>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</si>
  <si>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</si>
  <si>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</si>
  <si>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</si>
  <si>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</si>
  <si>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</si>
  <si>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</si>
  <si>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</si>
  <si>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</si>
  <si>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</si>
  <si>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</si>
  <si>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</si>
  <si>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</si>
  <si>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</si>
  <si>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</si>
  <si>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</si>
  <si>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</si>
  <si>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</si>
  <si>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</si>
  <si>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</si>
  <si>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</si>
  <si>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</si>
  <si>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</si>
  <si>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</si>
  <si>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</si>
  <si>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</si>
  <si>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</si>
  <si>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</si>
  <si>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</si>
  <si>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</si>
  <si>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</si>
  <si>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</si>
  <si>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</si>
  <si>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</si>
  <si>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</si>
  <si>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</si>
  <si>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</si>
  <si>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</si>
  <si>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</si>
  <si>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</si>
  <si>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</si>
  <si>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</si>
  <si>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</si>
  <si>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</si>
  <si>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</si>
  <si>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</si>
  <si>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</si>
  <si>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</si>
  <si>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</si>
  <si>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</si>
  <si>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</si>
  <si>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</si>
  <si>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</si>
  <si>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</si>
  <si>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</si>
  <si>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</si>
  <si>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</si>
  <si>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</si>
  <si>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</si>
  <si>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</si>
  <si>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</si>
  <si>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</si>
  <si>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</si>
  <si>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</si>
  <si>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</si>
  <si>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</si>
  <si>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</si>
  <si>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</si>
  <si>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</si>
  <si>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</si>
  <si>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</si>
  <si>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</si>
  <si>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</si>
  <si>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</si>
  <si>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</si>
  <si>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</si>
  <si>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</si>
  <si>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</si>
  <si>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</si>
  <si>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</si>
  <si>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</si>
  <si>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</si>
  <si>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</si>
  <si>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</si>
  <si>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</si>
  <si>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</si>
  <si>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</si>
  <si>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</si>
  <si>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</si>
  <si>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</si>
  <si>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</si>
  <si>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</si>
  <si>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</si>
  <si>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</si>
  <si>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</si>
  <si>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</si>
  <si>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</si>
  <si>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</si>
  <si>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</si>
  <si>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</si>
  <si>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</si>
  <si>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</si>
  <si>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</si>
  <si>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</si>
  <si>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</si>
  <si>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</si>
  <si>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</si>
  <si>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</si>
  <si>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</si>
  <si>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</si>
  <si>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</si>
  <si>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</si>
  <si>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</si>
  <si>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</si>
  <si>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</si>
  <si>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</si>
  <si>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</si>
  <si>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</si>
  <si>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</si>
  <si>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</si>
  <si>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</si>
  <si>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</si>
  <si>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</si>
  <si>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</si>
  <si>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</si>
  <si>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</si>
  <si>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</si>
  <si>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</si>
  <si>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</si>
  <si>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</si>
  <si>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</si>
  <si>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</si>
  <si>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</si>
  <si>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</si>
  <si>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</si>
  <si>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</si>
  <si>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</si>
  <si>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</si>
  <si>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</si>
  <si>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</si>
  <si>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</si>
  <si>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</si>
  <si>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</si>
  <si>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</si>
  <si>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</si>
  <si>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</si>
  <si>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</si>
  <si>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</si>
  <si>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</si>
  <si>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</si>
  <si>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</si>
  <si>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</si>
  <si>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</si>
  <si>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</si>
  <si>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</si>
  <si>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</si>
  <si>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</si>
  <si>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</si>
  <si>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</si>
  <si>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</si>
  <si>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</si>
  <si>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</si>
  <si>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</si>
  <si>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</si>
  <si>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</si>
  <si>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</si>
  <si>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</si>
  <si>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</si>
  <si>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</si>
  <si>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</si>
  <si>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</si>
  <si>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</si>
  <si>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</si>
  <si>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</si>
  <si>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</si>
  <si>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</si>
  <si>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</si>
  <si>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</si>
  <si>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</si>
  <si>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</si>
  <si>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</si>
  <si>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</si>
  <si>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</si>
  <si>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</si>
  <si>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</si>
  <si>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</si>
  <si>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</si>
  <si>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</si>
  <si>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</si>
  <si>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</si>
  <si>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</si>
  <si>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</si>
  <si>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</si>
  <si>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</si>
  <si>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</si>
  <si>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</si>
  <si>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</si>
  <si>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</si>
  <si>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</si>
  <si>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</si>
  <si>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</si>
  <si>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</si>
  <si>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</si>
  <si>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</si>
  <si>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</si>
  <si>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</si>
  <si>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</si>
  <si>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</si>
  <si>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</si>
  <si>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</si>
  <si>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</si>
  <si>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</si>
  <si>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</si>
  <si>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</si>
  <si>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</si>
  <si>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</si>
  <si>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</si>
  <si>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</si>
  <si>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</si>
  <si>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</si>
  <si>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</si>
  <si>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</si>
  <si>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</si>
  <si>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</si>
  <si>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</si>
  <si>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</si>
  <si>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</si>
  <si>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</si>
  <si>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</si>
  <si>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</si>
  <si>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</si>
  <si>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</si>
  <si>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</si>
  <si>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</si>
  <si>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</si>
  <si>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</si>
  <si>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</si>
  <si>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</si>
  <si>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</si>
  <si>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</si>
  <si>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</si>
  <si>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</si>
  <si>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</si>
  <si>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</si>
  <si>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</si>
  <si>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</si>
  <si>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</si>
  <si>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</si>
  <si>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</si>
  <si>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</si>
  <si>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</si>
  <si>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</si>
  <si>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</si>
  <si>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</si>
  <si>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</si>
  <si>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</si>
  <si>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</si>
  <si>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</si>
  <si>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</si>
  <si>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</si>
  <si>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</si>
  <si>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</si>
  <si>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</si>
  <si>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</si>
  <si>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</si>
  <si>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</si>
  <si>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</si>
  <si>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</si>
  <si>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</si>
  <si>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</si>
  <si>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</si>
  <si>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</si>
  <si>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</si>
  <si>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</si>
  <si>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</si>
  <si>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</si>
  <si>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</si>
  <si>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</si>
  <si>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</si>
  <si>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</si>
  <si>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</si>
  <si>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</si>
  <si>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</si>
  <si>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</si>
  <si>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</si>
  <si>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</si>
  <si>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</si>
  <si>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</si>
  <si>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</si>
  <si>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</si>
  <si>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</si>
  <si>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</si>
  <si>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</si>
  <si>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</si>
  <si>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</si>
  <si>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</si>
  <si>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</si>
  <si>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</si>
  <si>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</si>
  <si>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</si>
  <si>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</si>
  <si>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</si>
  <si>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</si>
  <si>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</si>
  <si>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</si>
  <si>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</si>
  <si>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</si>
  <si>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</si>
  <si>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</si>
  <si>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</si>
  <si>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</si>
  <si>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</si>
  <si>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</si>
  <si>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</si>
  <si>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</si>
  <si>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</si>
  <si>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</si>
  <si>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</si>
  <si>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</si>
  <si>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</si>
  <si>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</si>
  <si>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</si>
  <si>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</si>
  <si>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</si>
  <si>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</si>
  <si>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</si>
  <si>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</si>
  <si>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</si>
  <si>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</si>
  <si>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</si>
  <si>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</si>
  <si>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</si>
  <si>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</si>
  <si>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</si>
  <si>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</si>
  <si>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</si>
  <si>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</si>
  <si>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</si>
  <si>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</si>
  <si>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</si>
  <si>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</si>
  <si>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</si>
  <si>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</si>
  <si>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</si>
  <si>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</si>
  <si>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</si>
  <si>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</si>
  <si>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</si>
  <si>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</si>
  <si>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</si>
  <si>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</si>
  <si>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</si>
  <si>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</si>
  <si>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</si>
  <si>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</si>
  <si>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</si>
  <si>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</si>
  <si>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</si>
  <si>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</si>
  <si>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</si>
  <si>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</si>
  <si>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</si>
  <si>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</si>
  <si>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</si>
  <si>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</si>
  <si>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</si>
  <si>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</si>
  <si>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</si>
  <si>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</si>
  <si>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</si>
  <si>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</si>
  <si>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</si>
  <si>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</si>
  <si>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</si>
  <si>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</si>
  <si>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</si>
  <si>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</si>
  <si>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</si>
  <si>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</si>
  <si>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</si>
  <si>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</si>
  <si>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</si>
  <si>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</si>
  <si>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</si>
  <si>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</si>
  <si>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</si>
  <si>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</si>
  <si>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</si>
  <si>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</si>
  <si>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</si>
  <si>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</si>
  <si>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</si>
  <si>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</si>
  <si>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</si>
  <si>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</si>
  <si>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</si>
  <si>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</si>
  <si>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</si>
  <si>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</si>
  <si>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</si>
  <si>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</si>
  <si>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</si>
  <si>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</si>
  <si>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</si>
  <si>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</si>
  <si>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</si>
  <si>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</si>
  <si>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</si>
  <si>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</si>
  <si>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</si>
  <si>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</si>
  <si>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</si>
  <si>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</si>
  <si>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</si>
  <si>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</si>
  <si>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</si>
  <si>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</si>
  <si>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</si>
  <si>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</si>
  <si>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</si>
  <si>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</si>
  <si>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</si>
  <si>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</si>
  <si>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</si>
  <si>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</si>
  <si>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</si>
  <si>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</si>
  <si>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</si>
  <si>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</si>
  <si>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</si>
  <si>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</si>
  <si>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</si>
  <si>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</si>
  <si>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</si>
  <si>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</si>
  <si>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</si>
  <si>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</si>
  <si>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</si>
  <si>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</si>
  <si>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</si>
  <si>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</si>
  <si>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</si>
  <si>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</si>
  <si>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</si>
  <si>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</si>
  <si>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</si>
  <si>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</si>
  <si>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</si>
  <si>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</si>
  <si>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</si>
  <si>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</si>
  <si>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</si>
  <si>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</si>
  <si>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</si>
  <si>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</si>
  <si>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</si>
  <si>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</si>
  <si>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</si>
  <si>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</si>
  <si>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</si>
  <si>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</si>
  <si>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</si>
  <si>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</si>
  <si>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</si>
  <si>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</si>
  <si>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</si>
  <si>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</si>
  <si>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</si>
  <si>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</si>
  <si>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</si>
  <si>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</si>
  <si>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</si>
  <si>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</si>
  <si>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</si>
  <si>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</si>
  <si>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</si>
  <si>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</si>
  <si>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</si>
  <si>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</si>
  <si>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</si>
  <si>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</si>
  <si>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</si>
  <si>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</si>
  <si>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</si>
  <si>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</si>
  <si>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</si>
  <si>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</si>
  <si>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</si>
  <si>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</si>
  <si>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</si>
  <si>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</si>
  <si>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</si>
  <si>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</si>
  <si>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</si>
  <si>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</si>
  <si>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</si>
  <si>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</si>
  <si>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</si>
  <si>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</si>
  <si>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</si>
  <si>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</si>
  <si>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</si>
  <si>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</si>
  <si>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</si>
  <si>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</si>
  <si>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</si>
  <si>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</si>
  <si>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</si>
  <si>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</si>
  <si>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</si>
  <si>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</si>
  <si>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</si>
  <si>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</si>
  <si>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</si>
  <si>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</si>
  <si>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</si>
  <si>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</si>
  <si>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</si>
  <si>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</si>
  <si>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</si>
  <si>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</si>
  <si>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</si>
  <si>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</si>
  <si>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</si>
  <si>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</si>
  <si>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</si>
  <si>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</si>
  <si>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</si>
  <si>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</si>
  <si>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</si>
  <si>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</si>
  <si>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</si>
  <si>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</si>
  <si>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</si>
  <si>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</si>
  <si>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</si>
  <si>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</si>
  <si>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</si>
  <si>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</si>
  <si>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</si>
  <si>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</si>
  <si>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</si>
  <si>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</si>
  <si>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</si>
  <si>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</si>
  <si>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</si>
  <si>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</si>
  <si>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</si>
  <si>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</si>
  <si>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</si>
  <si>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</si>
  <si>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</si>
  <si>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</si>
  <si>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</si>
  <si>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</si>
  <si>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</si>
  <si>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</si>
  <si>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</si>
  <si>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</si>
  <si>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</si>
  <si>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</si>
  <si>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</si>
  <si>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</si>
  <si>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</si>
  <si>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</si>
  <si>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</si>
  <si>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</si>
  <si>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</si>
  <si>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</si>
  <si>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</si>
  <si>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</si>
  <si>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</si>
  <si>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</si>
  <si>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</si>
  <si>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</si>
  <si>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</si>
  <si>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</si>
  <si>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</si>
  <si>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</si>
  <si>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</si>
  <si>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</si>
  <si>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</si>
  <si>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</si>
  <si>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</si>
  <si>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</si>
  <si>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</si>
  <si>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</si>
  <si>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</si>
  <si>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</si>
  <si>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</si>
  <si>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</si>
  <si>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</si>
  <si>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</si>
  <si>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</si>
  <si>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</si>
  <si>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</si>
  <si>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</si>
  <si>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</si>
  <si>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</si>
  <si>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</si>
  <si>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</si>
  <si>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</si>
  <si>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</si>
  <si>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</si>
  <si>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</si>
  <si>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</si>
  <si>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</si>
  <si>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</si>
  <si>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</si>
  <si>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</si>
  <si>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</si>
  <si>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</si>
  <si>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</si>
  <si>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</si>
  <si>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</si>
  <si>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</si>
  <si>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</si>
  <si>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</si>
  <si>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</si>
  <si>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</si>
  <si>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</si>
  <si>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</si>
  <si>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</si>
  <si>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</si>
  <si>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</si>
  <si>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</si>
  <si>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</si>
  <si>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</si>
  <si>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</si>
  <si>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</si>
  <si>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</si>
  <si>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</si>
  <si>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</si>
  <si>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</si>
  <si>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</si>
  <si>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</si>
  <si>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</si>
  <si>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</si>
  <si>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</si>
  <si>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</si>
  <si>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</si>
  <si>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</si>
  <si>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</si>
  <si>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</si>
  <si>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</si>
  <si>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</si>
  <si>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</si>
  <si>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</si>
  <si>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</si>
  <si>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</si>
  <si>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</si>
  <si>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</si>
  <si>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</si>
  <si>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</si>
  <si>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</si>
  <si>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</si>
  <si>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</si>
  <si>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</si>
  <si>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</si>
  <si>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</si>
  <si>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</si>
  <si>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</si>
  <si>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</si>
  <si>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</si>
  <si>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</si>
  <si>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</si>
  <si>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</si>
  <si>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</si>
  <si>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</si>
  <si>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</si>
  <si>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</si>
  <si>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</si>
  <si>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</si>
  <si>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</si>
  <si>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</si>
  <si>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</si>
  <si>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</si>
  <si>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</si>
  <si>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</si>
  <si>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</si>
  <si>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</si>
  <si>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</si>
  <si>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</si>
  <si>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</si>
  <si>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</si>
  <si>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</si>
  <si>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</si>
  <si>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</si>
  <si>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</si>
  <si>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</si>
  <si>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</si>
  <si>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</si>
  <si>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</si>
  <si>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</si>
  <si>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</si>
  <si>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</si>
  <si>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</si>
  <si>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</si>
  <si>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</si>
  <si>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</si>
  <si>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</si>
  <si>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</si>
  <si>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</si>
  <si>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</si>
  <si>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</si>
  <si>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</si>
  <si>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</si>
  <si>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</si>
  <si>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</si>
  <si>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</si>
  <si>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</si>
  <si>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</si>
  <si>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</si>
  <si>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</si>
  <si>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</si>
  <si>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</si>
  <si>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</si>
  <si>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</si>
  <si>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</si>
  <si>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</si>
  <si>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</si>
  <si>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</si>
  <si>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</si>
  <si>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</si>
  <si>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</si>
  <si>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</si>
  <si>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</si>
  <si>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</si>
  <si>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</si>
  <si>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</si>
  <si>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</si>
  <si>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</si>
  <si>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</si>
  <si>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</si>
  <si>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</si>
  <si>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</si>
  <si>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</si>
  <si>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</si>
  <si>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</si>
  <si>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</si>
  <si>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</si>
  <si>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</si>
  <si>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</si>
  <si>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</si>
  <si>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</si>
  <si>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</si>
  <si>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</si>
  <si>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</si>
  <si>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</si>
  <si>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</si>
  <si>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</si>
  <si>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</si>
  <si>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</si>
  <si>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</si>
  <si>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</si>
  <si>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</si>
  <si>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</si>
  <si>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</si>
  <si>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</si>
  <si>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</si>
  <si>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</si>
  <si>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</si>
  <si>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</si>
  <si>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</si>
  <si>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</si>
  <si>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</si>
  <si>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</si>
  <si>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</si>
  <si>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</si>
  <si>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</si>
  <si>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</si>
  <si>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</si>
  <si>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</si>
  <si>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</si>
  <si>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</si>
  <si>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</si>
  <si>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</si>
  <si>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</si>
  <si>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</si>
  <si>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</si>
  <si>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</si>
  <si>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</si>
  <si>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</si>
  <si>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</si>
  <si>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</si>
  <si>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</si>
  <si>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</si>
  <si>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</si>
  <si>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</si>
  <si>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</si>
  <si>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</si>
  <si>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</si>
  <si>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</si>
  <si>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</si>
  <si>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</si>
  <si>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</si>
  <si>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</si>
  <si>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</si>
  <si>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</si>
  <si>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</si>
  <si>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</si>
  <si>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</si>
  <si>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</si>
  <si>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</si>
  <si>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</si>
  <si>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</si>
  <si>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</si>
  <si>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</si>
  <si>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</si>
  <si>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</si>
  <si>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</si>
  <si>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</si>
  <si>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</si>
  <si>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</si>
  <si>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</si>
  <si>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</si>
  <si>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</si>
  <si>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</si>
  <si>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</si>
  <si>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</si>
  <si>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</si>
  <si>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</si>
  <si>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</si>
  <si>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</si>
  <si>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</si>
  <si>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</si>
  <si>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</si>
  <si>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</si>
  <si>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</si>
  <si>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</si>
  <si>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</si>
  <si>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</si>
  <si>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</si>
  <si>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</si>
  <si>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</si>
  <si>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</si>
  <si>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</si>
  <si>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</si>
  <si>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</si>
  <si>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</si>
  <si>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</si>
  <si>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</si>
  <si>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</si>
  <si>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</si>
  <si>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</si>
  <si>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</si>
  <si>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</si>
  <si>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</si>
  <si>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</si>
  <si>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</si>
  <si>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</si>
  <si>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</si>
  <si>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</si>
  <si>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</si>
  <si>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</si>
  <si>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</si>
  <si>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</si>
  <si>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</si>
  <si>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</si>
  <si>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</si>
  <si>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</si>
  <si>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</si>
  <si>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</si>
  <si>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</si>
  <si>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</si>
  <si>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</si>
  <si>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</si>
  <si>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</si>
  <si>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</si>
  <si>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</si>
  <si>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</si>
  <si>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</si>
  <si>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</si>
  <si>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</si>
  <si>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</si>
  <si>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</si>
  <si>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</si>
  <si>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</si>
  <si>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</si>
  <si>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</si>
  <si>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</si>
  <si>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</si>
  <si>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</si>
  <si>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</si>
  <si>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</si>
  <si>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</si>
  <si>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</si>
  <si>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</si>
  <si>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</si>
  <si>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</si>
  <si>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</si>
  <si>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</si>
  <si>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</si>
  <si>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</si>
  <si>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</si>
  <si>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</si>
  <si>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</si>
  <si>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</si>
  <si>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</si>
  <si>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</si>
  <si>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</si>
  <si>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</si>
  <si>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</si>
  <si>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</si>
  <si>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</si>
  <si>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</si>
  <si>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</si>
  <si>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</si>
  <si>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</si>
  <si>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</si>
  <si>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</si>
  <si>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</si>
  <si>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</si>
  <si>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</si>
  <si>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</si>
  <si>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</si>
  <si>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</si>
  <si>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</si>
  <si>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</si>
  <si>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</si>
  <si>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</si>
  <si>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</si>
  <si>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</si>
  <si>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</si>
  <si>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</si>
  <si>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</si>
  <si>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</si>
  <si>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</si>
  <si>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</si>
  <si>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</si>
  <si>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</si>
  <si>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</si>
  <si>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</si>
  <si>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</si>
  <si>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</si>
  <si>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</si>
  <si>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</si>
  <si>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</si>
  <si>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</si>
  <si>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</si>
  <si>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</si>
  <si>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</si>
  <si>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</si>
  <si>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</si>
  <si>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</si>
  <si>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</si>
  <si>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</si>
  <si>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</si>
  <si>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</si>
  <si>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</si>
  <si>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</si>
  <si>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</si>
  <si>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</si>
  <si>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</si>
  <si>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</si>
  <si>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</si>
  <si>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</si>
  <si>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</si>
  <si>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</si>
  <si>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</si>
  <si>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</si>
  <si>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</si>
  <si>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</si>
  <si>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</si>
  <si>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</si>
  <si>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</si>
  <si>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</si>
  <si>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</si>
  <si>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</si>
  <si>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</si>
  <si>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</si>
  <si>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</si>
  <si>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</si>
  <si>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</si>
  <si>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</si>
  <si>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</si>
  <si>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</si>
  <si>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</si>
  <si>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</si>
  <si>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</si>
  <si>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</si>
  <si>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</si>
  <si>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</si>
  <si>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</si>
  <si>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</si>
  <si>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</si>
  <si>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</si>
  <si>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</si>
  <si>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</si>
  <si>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</si>
  <si>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</si>
  <si>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</si>
  <si>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</si>
  <si>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</si>
  <si>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</si>
  <si>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</si>
  <si>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</si>
  <si>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</si>
  <si>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</si>
  <si>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</si>
  <si>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</si>
  <si>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</si>
  <si>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</si>
  <si>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</si>
  <si>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</si>
  <si>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</si>
  <si>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</si>
  <si>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</si>
  <si>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</si>
  <si>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</si>
  <si>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</si>
  <si>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</si>
  <si>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</si>
  <si>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</si>
  <si>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</si>
  <si>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</si>
  <si>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</si>
  <si>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</si>
  <si>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</si>
  <si>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</si>
  <si>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</si>
  <si>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</si>
  <si>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</si>
  <si>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</si>
  <si>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</si>
  <si>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</si>
  <si>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</si>
  <si>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</si>
  <si>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</si>
  <si>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</si>
  <si>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</si>
  <si>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</si>
  <si>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</si>
  <si>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</si>
  <si>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Lionel Messi</t>
  </si>
  <si>
    <t>Kalidou Koulibaly</t>
  </si>
  <si>
    <t>4. 2 aafrika (Senegal ja Moroco). Mitte ühtegi aasia võistkonda ei pääse edasi.</t>
  </si>
  <si>
    <t>5.Lionel Messi</t>
  </si>
  <si>
    <t>6.Prantsusmaa</t>
  </si>
  <si>
    <t>7.Saudi Arabia</t>
  </si>
  <si>
    <t>Joshua Kimmich</t>
  </si>
  <si>
    <t>Messi hat-trick soolas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</si>
</sst>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topLeftCell="A18" zoomScale="70" zoomScaleNormal="70" workbookViewId="0">
      <selection activeCell="BU47" sqref="BU47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2</v>
      </c>
      <c r="G7" s="16">
        <v>0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4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4</v>
      </c>
      <c r="AH8" s="47">
        <f>(AF8-AG8)*100+AK8*10000+AF8</f>
        <v>60105</v>
      </c>
      <c r="AI8" s="47">
        <f>AF8-AG8</f>
        <v>1</v>
      </c>
      <c r="AJ8" s="47">
        <f>(AI8-AI13)/AI12</f>
        <v>0.45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648.84694592615381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12 - 1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England_draw</v>
      </c>
      <c r="T9" s="88" t="str">
        <f t="shared" si="4"/>
        <v>Iran_draw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0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2</v>
      </c>
      <c r="AG9" s="47">
        <f>SUMIF($E$7:$E$54,$AB9,$G$7:$G$54) + SUMIF($H$7:$H$54,$AB9,$F$7:$F$54)</f>
        <v>6</v>
      </c>
      <c r="AH9" s="47">
        <f>(AF9-AG9)*100+AK9*10000+AF9</f>
        <v>29602</v>
      </c>
      <c r="AI9" s="47">
        <f>AF9-AG9</f>
        <v>-4</v>
      </c>
      <c r="AJ9" s="47">
        <f>(AI9-AI13)/AI12</f>
        <v>0.2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321.53918203846155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0</v>
      </c>
      <c r="AE10" s="47">
        <f>COUNTIF($S$7:$T$54,"=" &amp; AB10 &amp; "_lose")</f>
        <v>3</v>
      </c>
      <c r="AF10" s="47">
        <f>SUMIF($E$7:$E$54,$AB10,$F$7:$F$54) + SUMIF($H$7:$H$54,$AB10,$G$7:$G$54)</f>
        <v>0</v>
      </c>
      <c r="AG10" s="47">
        <f>SUMIF($E$7:$E$54,$AB10,$G$7:$G$54) + SUMIF($H$7:$H$54,$AB10,$F$7:$F$54)</f>
        <v>8</v>
      </c>
      <c r="AH10" s="47">
        <f>(AF10-AG10)*100+AK10*10000+AF10</f>
        <v>-800</v>
      </c>
      <c r="AI10" s="47">
        <f>AF10-AG10</f>
        <v>-8</v>
      </c>
      <c r="AJ10" s="47">
        <f>(AI10-AI13)/AI12</f>
        <v>0</v>
      </c>
      <c r="AK10" s="47">
        <f>AC10*3+AD10</f>
        <v>0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7.2650000000000004E-4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0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6</v>
      </c>
      <c r="G11" s="22">
        <v>0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2 - 6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12</v>
      </c>
      <c r="AG11" s="47">
        <f>SUMIF($E$7:$E$54,$AB11,$G$7:$G$54) + SUMIF($H$7:$H$54,$AB11,$F$7:$F$54)</f>
        <v>1</v>
      </c>
      <c r="AH11" s="47">
        <f>(AF11-AG11)*100+AK11*10000+AF11</f>
        <v>91112</v>
      </c>
      <c r="AI11" s="47">
        <f>AF11-AG11</f>
        <v>11</v>
      </c>
      <c r="AJ11" s="47">
        <f>(AI11-AI13)/AI12</f>
        <v>0.95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1004.2315985607693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England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0 - 8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13</v>
      </c>
      <c r="AG12" s="47">
        <f t="shared" si="10"/>
        <v>8</v>
      </c>
      <c r="AH12" s="47">
        <f>MAX(AH8:AH11)-AH13+1</f>
        <v>91913</v>
      </c>
      <c r="AI12" s="47">
        <f>MAX(AI8:AI11)-AI13+1</f>
        <v>20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England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0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-800</v>
      </c>
      <c r="AI13" s="47">
        <f>MIN(AI8:AI11)</f>
        <v>-8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4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5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1</v>
      </c>
      <c r="AD14" s="47">
        <f>COUNTIF($S$7:$T$54,"=" &amp; AB14 &amp; "_draw")</f>
        <v>2</v>
      </c>
      <c r="AE14" s="47">
        <f>COUNTIF($S$7:$T$54,"=" &amp; AB14 &amp; "_lose")</f>
        <v>0</v>
      </c>
      <c r="AF14" s="47">
        <f>SUMIF($E$7:$E$54,$AB14,$F$7:$F$54) + SUMIF($H$7:$H$54,$AB14,$G$7:$G$54)</f>
        <v>2</v>
      </c>
      <c r="AG14" s="47">
        <f>SUMIF($E$7:$E$54,$AB14,$G$7:$G$54) + SUMIF($H$7:$H$54,$AB14,$F$7:$F$54)</f>
        <v>1</v>
      </c>
      <c r="AH14" s="47">
        <f>(AF14-AG14)*100+AK14*10000+AF14</f>
        <v>50102</v>
      </c>
      <c r="AI14" s="47">
        <f>AF14-AG14</f>
        <v>1</v>
      </c>
      <c r="AJ14" s="47">
        <f>(AI14-AI19)/AI18</f>
        <v>0.6</v>
      </c>
      <c r="AK14" s="47">
        <f>AC14*3+AD14</f>
        <v>5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898.33421433333342</v>
      </c>
      <c r="AO14" s="48" t="str">
        <f>IF(SUM(AC14:AE17)=12,J15,INDEX(T,72,lang))</f>
        <v>United States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3</v>
      </c>
      <c r="G15" s="22">
        <v>2</v>
      </c>
      <c r="H15" s="90" t="str">
        <f>AB41</f>
        <v>Croatia</v>
      </c>
      <c r="J15" s="50" t="str">
        <f>VLOOKUP(1,AA14:AK17,2,FALSE)</f>
        <v>United States</v>
      </c>
      <c r="K15" s="51">
        <f>L15+M15+N15</f>
        <v>3</v>
      </c>
      <c r="L15" s="51">
        <f>VLOOKUP(1,AA14:AK17,3,FALSE)</f>
        <v>2</v>
      </c>
      <c r="M15" s="51">
        <f>VLOOKUP(1,AA14:AK17,4,FALSE)</f>
        <v>0</v>
      </c>
      <c r="N15" s="51">
        <f>VLOOKUP(1,AA14:AK17,5,FALSE)</f>
        <v>1</v>
      </c>
      <c r="O15" s="51" t="str">
        <f>VLOOKUP(1,AA14:AK17,6,FALSE) &amp; " - " &amp; VLOOKUP(1,AA14:AK17,7,FALSE)</f>
        <v>4 - 2</v>
      </c>
      <c r="P15" s="52">
        <f>L15*3+M15</f>
        <v>6</v>
      </c>
      <c r="R15" s="47">
        <f>DATE(2022,11,22)+TIME(23,0,0)+gmt_delta</f>
        <v>44888.541666666672</v>
      </c>
      <c r="S15" s="88" t="str">
        <f t="shared" si="3"/>
        <v>Morocco_win</v>
      </c>
      <c r="T15" s="88" t="str">
        <f t="shared" si="4"/>
        <v>Croatia_lose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1</v>
      </c>
      <c r="AD15" s="47">
        <f>COUNTIF($S$7:$T$54,"=" &amp; AB15 &amp; "_draw")</f>
        <v>1</v>
      </c>
      <c r="AE15" s="47">
        <f>COUNTIF($S$7:$T$54,"=" &amp; AB15 &amp; "_lose")</f>
        <v>1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3</v>
      </c>
      <c r="AH15" s="47">
        <f>(AF15-AG15)*100+AK15*10000+AF15</f>
        <v>39902</v>
      </c>
      <c r="AI15" s="47">
        <f>AF15-AG15</f>
        <v>-1</v>
      </c>
      <c r="AJ15" s="47">
        <f>(AI15-AI19)/AI18</f>
        <v>0.2</v>
      </c>
      <c r="AK15" s="47">
        <f>AC15*3+AD15</f>
        <v>4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691.66744866666659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1</v>
      </c>
      <c r="M16" s="25">
        <f>VLOOKUP(2,AA14:AK17,4,FALSE)</f>
        <v>2</v>
      </c>
      <c r="N16" s="25">
        <f>VLOOKUP(2,AA14:AK17,5,FALSE)</f>
        <v>0</v>
      </c>
      <c r="O16" s="25" t="str">
        <f>VLOOKUP(2,AA14:AK17,6,FALSE) &amp; " - " &amp; VLOOKUP(2,AA14:AK17,7,FALSE)</f>
        <v>2 - 1</v>
      </c>
      <c r="P16" s="54">
        <f>L16*3+M16</f>
        <v>5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1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2</v>
      </c>
      <c r="AH16" s="47">
        <f>(AF16-AG16)*100+AK16*10000+AF16</f>
        <v>60204</v>
      </c>
      <c r="AI16" s="47">
        <f>AF16-AG16</f>
        <v>2</v>
      </c>
      <c r="AJ16" s="47">
        <f>(AI16-AI19)/AI18</f>
        <v>0.8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1090.00081686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2 - 3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4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1</v>
      </c>
      <c r="AG17" s="47">
        <f>SUMIF($E$7:$E$54,$AB17,$G$7:$G$54) + SUMIF($H$7:$H$54,$AB17,$F$7:$F$54)</f>
        <v>3</v>
      </c>
      <c r="AH17" s="47">
        <f>(AF17-AG17)*100+AK17*10000+AF17</f>
        <v>9801</v>
      </c>
      <c r="AI17" s="47">
        <f>AF17-AG17</f>
        <v>-2</v>
      </c>
      <c r="AJ17" s="47">
        <f>(AI17-AI19)/AI18</f>
        <v>0</v>
      </c>
      <c r="AK17" s="47">
        <f>AC17*3+AD17</f>
        <v>1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169.16745773166664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Wales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1 - 3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3</v>
      </c>
      <c r="AE18" s="47">
        <f t="shared" si="11"/>
        <v>3</v>
      </c>
      <c r="AF18" s="47">
        <f t="shared" si="11"/>
        <v>4</v>
      </c>
      <c r="AG18" s="47">
        <f t="shared" si="11"/>
        <v>3</v>
      </c>
      <c r="AH18" s="47">
        <f>MAX(AH14:AH17)-AH19+1</f>
        <v>50404</v>
      </c>
      <c r="AI18" s="47">
        <f>MAX(AI14:AI17)-AI19+1</f>
        <v>5</v>
      </c>
      <c r="AK18" s="47">
        <f t="shared" si="11"/>
        <v>6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>
        <v>1</v>
      </c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9801</v>
      </c>
      <c r="AI19" s="47">
        <f>MIN(AI14:AI17)</f>
        <v>-2</v>
      </c>
      <c r="AY19" s="125"/>
      <c r="AZ19" s="28" t="str">
        <f>AO39</f>
        <v>Morocco</v>
      </c>
      <c r="BA19" s="85">
        <v>2</v>
      </c>
      <c r="BB19" s="87">
        <v>0</v>
      </c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11</v>
      </c>
      <c r="AG20" s="47">
        <f>SUMIF($E$7:$E$54,$AB20,$G$7:$G$54) + SUMIF($H$7:$H$54,$AB20,$F$7:$F$54)</f>
        <v>1</v>
      </c>
      <c r="AH20" s="47">
        <f>(AF20-AG20)*100+AK20*10000+AF20</f>
        <v>91011</v>
      </c>
      <c r="AI20" s="47">
        <f>AF20-AG20</f>
        <v>10</v>
      </c>
      <c r="AJ20" s="47">
        <f>(AI20-AI25)/AI24</f>
        <v>0.95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1004.1675491666666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>
        <v>0</v>
      </c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11 - 1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9</v>
      </c>
      <c r="AH21" s="47">
        <f>(AF21-AG21)*100+AK21*10000+AF21</f>
        <v>-900</v>
      </c>
      <c r="AI21" s="47">
        <f>AF21-AG21</f>
        <v>-9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5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1 - 1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1</v>
      </c>
      <c r="AH22" s="47">
        <f>(AF22-AG22)*100+AK22*10000+AF22</f>
        <v>40001</v>
      </c>
      <c r="AI22" s="47">
        <f>AF22-AG22</f>
        <v>0</v>
      </c>
      <c r="AJ22" s="47">
        <f>(AI22-AI25)/AI24</f>
        <v>0.45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445.83416274333331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0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Wales_lose</v>
      </c>
      <c r="T23" s="88" t="str">
        <f t="shared" si="4"/>
        <v>Iran_win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-1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4</v>
      </c>
      <c r="AH23" s="47">
        <f>(AF23-AG23)*100+AK23*10000+AF23</f>
        <v>39903</v>
      </c>
      <c r="AI23" s="47">
        <f>AF23-AG23</f>
        <v>-1</v>
      </c>
      <c r="AJ23" s="47">
        <f>(AI23-AI25)/AI24</f>
        <v>0.4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442.50077199999998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0 - 9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12</v>
      </c>
      <c r="AG24" s="47">
        <f t="shared" si="12"/>
        <v>9</v>
      </c>
      <c r="AH24" s="47">
        <f>MAX(AH20:AH23)-AH25+1</f>
        <v>91912</v>
      </c>
      <c r="AI24" s="47">
        <f>MAX(AI20:AI23)-AI25+1</f>
        <v>20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1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4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-900</v>
      </c>
      <c r="AI25" s="47">
        <f>MIN(AI20:AI23)</f>
        <v>-9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13</v>
      </c>
      <c r="AG26" s="47">
        <f>SUMIF($E$7:$E$54,$AB26,$G$7:$G$54) + SUMIF($H$7:$H$54,$AB26,$F$7:$F$54)</f>
        <v>2</v>
      </c>
      <c r="AH26" s="47">
        <f>(AF26-AG26)*100+AK26*10000+AF26</f>
        <v>71113</v>
      </c>
      <c r="AI26" s="47">
        <f>AF26-AG26</f>
        <v>11</v>
      </c>
      <c r="AJ26" s="47">
        <f>(AI26-AI31)/AI30</f>
        <v>0.95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979.28660928571435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United States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13 - 2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1</v>
      </c>
      <c r="AE27" s="47">
        <f>COUNTIF($S$7:$T$54,"=" &amp; AB27 &amp; "_lose")</f>
        <v>1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5</v>
      </c>
      <c r="AH27" s="47">
        <f>(AF27-AG27)*100+AK27*10000+AF27</f>
        <v>39601</v>
      </c>
      <c r="AI27" s="47">
        <f>AF27-AG27</f>
        <v>-4</v>
      </c>
      <c r="AJ27" s="47">
        <f>(AI27-AI31)/AI30</f>
        <v>0.2</v>
      </c>
      <c r="AK27" s="47">
        <f>AC27*3+AD27</f>
        <v>4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520.71502757928567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2</v>
      </c>
      <c r="N28" s="25">
        <f>VLOOKUP(2,AA26:AK29,5,FALSE)</f>
        <v>0</v>
      </c>
      <c r="O28" s="25" t="str">
        <f>VLOOKUP(2,AA26:AK29,6,FALSE) &amp; " - " &amp; VLOOKUP(2,AA26:AK29,7,FALSE)</f>
        <v>3 - 2</v>
      </c>
      <c r="P28" s="54">
        <f>L28*3+M28</f>
        <v>5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2</v>
      </c>
      <c r="AE28" s="47">
        <f>COUNTIF($S$7:$T$54,"=" &amp; AB28 &amp; "_lose")</f>
        <v>0</v>
      </c>
      <c r="AF28" s="47">
        <f>SUMIF($E$7:$E$54,$AB28,$F$7:$F$54) + SUMIF($H$7:$H$54,$AB28,$G$7:$G$54)</f>
        <v>3</v>
      </c>
      <c r="AG28" s="47">
        <f>SUMIF($E$7:$E$54,$AB28,$G$7:$G$54) + SUMIF($H$7:$H$54,$AB28,$F$7:$F$54)</f>
        <v>2</v>
      </c>
      <c r="AH28" s="47">
        <f>(AF28-AG28)*100+AK28*10000+AF28</f>
        <v>50103</v>
      </c>
      <c r="AI28" s="47">
        <f>AF28-AG28</f>
        <v>1</v>
      </c>
      <c r="AJ28" s="47">
        <f>(AI28-AI31)/AI30</f>
        <v>0.45</v>
      </c>
      <c r="AK28" s="47">
        <f>AC28*3+AD28</f>
        <v>5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672.14368394285714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United States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1</v>
      </c>
      <c r="N29" s="25">
        <f>VLOOKUP(3,AA26:AK29,5,FALSE)</f>
        <v>1</v>
      </c>
      <c r="O29" s="25" t="str">
        <f>VLOOKUP(3,AA26:AK29,6,FALSE) &amp; " - " &amp; VLOOKUP(3,AA26:AK29,7,FALSE)</f>
        <v>1 - 5</v>
      </c>
      <c r="P29" s="54">
        <f>L29*3+M29</f>
        <v>4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8</v>
      </c>
      <c r="AH29" s="47">
        <f>(AF29-AG29)*100+AK29*10000+AF29</f>
        <v>-800</v>
      </c>
      <c r="AI29" s="47">
        <f>AF29-AG29</f>
        <v>-8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7.4989999999999996E-4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3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0 - 8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3</v>
      </c>
      <c r="AE30" s="47">
        <f t="shared" si="13"/>
        <v>4</v>
      </c>
      <c r="AF30" s="47">
        <f t="shared" si="13"/>
        <v>14</v>
      </c>
      <c r="AG30" s="47">
        <f t="shared" si="13"/>
        <v>7</v>
      </c>
      <c r="AH30" s="47">
        <f>MAX(AH26:AH29)-AH31+1</f>
        <v>71914</v>
      </c>
      <c r="AI30" s="47">
        <f>MAX(AI26:AI29)-AI31+1</f>
        <v>20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4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-800</v>
      </c>
      <c r="AI31" s="47">
        <f>MIN(AI26:AI29)</f>
        <v>-8</v>
      </c>
      <c r="AY31" s="125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4</v>
      </c>
      <c r="AG32" s="47">
        <f>SUMIF($E$7:$E$54,$AB32,$G$7:$G$54) + SUMIF($H$7:$H$54,$AB32,$F$7:$F$54)</f>
        <v>3</v>
      </c>
      <c r="AH32" s="47">
        <f>(AF32-AG32)*100+AK32*10000+AF32</f>
        <v>60104</v>
      </c>
      <c r="AI32" s="47">
        <f>AF32-AG32</f>
        <v>1</v>
      </c>
      <c r="AJ32" s="47">
        <f>(AI32-AI37)/AI36</f>
        <v>0.44444444444444442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648.4452989444444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>
        <v>0</v>
      </c>
      <c r="BQ32" s="27">
        <v>4</v>
      </c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10 - 0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8</v>
      </c>
      <c r="AH33" s="47">
        <f>(AF33-AG33)*100+AK33*10000+AF33</f>
        <v>-699</v>
      </c>
      <c r="AI33" s="47">
        <f>AF33-AG33</f>
        <v>-7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1.0007500300000001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>
        <v>0</v>
      </c>
      <c r="BQ33" s="30">
        <v>5</v>
      </c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3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4 - 3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10</v>
      </c>
      <c r="AG34" s="47">
        <f>SUMIF($E$7:$E$54,$AB34,$G$7:$G$54) + SUMIF($H$7:$H$54,$AB34,$F$7:$F$54)</f>
        <v>0</v>
      </c>
      <c r="AH34" s="47">
        <f>(AF34-AG34)*100+AK34*10000+AF34</f>
        <v>91010</v>
      </c>
      <c r="AI34" s="47">
        <f>AF34-AG34</f>
        <v>10</v>
      </c>
      <c r="AJ34" s="47">
        <f>(AI34-AI37)/AI36</f>
        <v>0.94444444444444442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1004.4452697094445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>
        <v>0</v>
      </c>
      <c r="BC34" s="27">
        <v>4</v>
      </c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6</v>
      </c>
      <c r="AH35" s="47">
        <f>(AF35-AG35)*100+AK35*10000+AF35</f>
        <v>29602</v>
      </c>
      <c r="AI35" s="47">
        <f>AF35-AG35</f>
        <v>-4</v>
      </c>
      <c r="AJ35" s="47">
        <f>(AI35-AI37)/AI36</f>
        <v>0.16666666666666666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318.66744338666666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>
        <v>0</v>
      </c>
      <c r="BC35" s="30">
        <v>3</v>
      </c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3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1 - 8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10</v>
      </c>
      <c r="AG36" s="47">
        <f t="shared" si="14"/>
        <v>9</v>
      </c>
      <c r="AH36" s="47">
        <f>MAX(AH32:AH35)-AH37+1</f>
        <v>91710</v>
      </c>
      <c r="AI36" s="47">
        <f>MAX(AI32:AI35)-AI37+1</f>
        <v>18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-699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3</v>
      </c>
      <c r="AH38" s="47">
        <f>(AF38-AG38)*100+AK38*10000+AF38</f>
        <v>90407</v>
      </c>
      <c r="AI38" s="47">
        <f>AF38-AG38</f>
        <v>4</v>
      </c>
      <c r="AJ38" s="47">
        <f>(AI38-AI43)/AI42</f>
        <v>0.88888888888888884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1000.5564690555556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7 - 3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6</v>
      </c>
      <c r="AH39" s="47">
        <f>(AF39-AG39)*100+AK39*10000+AF39</f>
        <v>-398</v>
      </c>
      <c r="AI39" s="47">
        <f>AF39-AG39</f>
        <v>-4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3.3340728333333334</v>
      </c>
      <c r="AO39" s="48" t="str">
        <f>IF(SUM(AC38:AE41)=12,J40,INDEX(T,81,lang))</f>
        <v>Morocco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Morocco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6 - 5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2</v>
      </c>
      <c r="AB40" s="48" t="str">
        <f>VLOOKUP("Morocco",T,lang,FALSE)</f>
        <v>Morocco</v>
      </c>
      <c r="AC40" s="47">
        <f>COUNTIF($S$7:$T$54,"=" &amp; AB40 &amp; "_win")</f>
        <v>2</v>
      </c>
      <c r="AD40" s="47">
        <f>COUNTIF($S$7:$T$54,"=" &amp; AB40 &amp; "_draw")</f>
        <v>0</v>
      </c>
      <c r="AE40" s="47">
        <f>COUNTIF($S$7:$T$54,"=" &amp; AB40 &amp; "_lose")</f>
        <v>1</v>
      </c>
      <c r="AF40" s="47">
        <f>SUMIF($E$7:$E$54,$AB40,$F$7:$F$54) + SUMIF($H$7:$H$54,$AB40,$G$7:$G$54)</f>
        <v>6</v>
      </c>
      <c r="AG40" s="47">
        <f>SUMIF($E$7:$E$54,$AB40,$G$7:$G$54) + SUMIF($H$7:$H$54,$AB40,$F$7:$F$54)</f>
        <v>5</v>
      </c>
      <c r="AH40" s="47">
        <f>(AF40-AG40)*100+AK40*10000+AF40</f>
        <v>60106</v>
      </c>
      <c r="AI40" s="47">
        <f>AF40-AG40</f>
        <v>1</v>
      </c>
      <c r="AJ40" s="47">
        <f>(AI40-AI43)/AI42</f>
        <v>0.55555555555555558</v>
      </c>
      <c r="AK40" s="47">
        <f>AC40*3+AD40</f>
        <v>6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665.55633149555558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0</v>
      </c>
      <c r="H41" s="90" t="str">
        <f>AB14</f>
        <v>England</v>
      </c>
      <c r="J41" s="53" t="str">
        <f>VLOOKUP(3,AA38:AK41,2,FALSE)</f>
        <v>Croatia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5 - 6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3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0</v>
      </c>
      <c r="AE41" s="47">
        <f>COUNTIF($S$7:$T$54,"=" &amp; AB41 &amp; "_lose")</f>
        <v>2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6</v>
      </c>
      <c r="AH41" s="47">
        <f>(AF41-AG41)*100+AK41*10000+AF41</f>
        <v>29905</v>
      </c>
      <c r="AI41" s="47">
        <f>AF41-AG41</f>
        <v>-1</v>
      </c>
      <c r="AJ41" s="47">
        <f>(AI41-AI43)/AI42</f>
        <v>0.33333333333333331</v>
      </c>
      <c r="AK41" s="47">
        <f>AC41*3+AD41</f>
        <v>3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341.66747722166662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6</v>
      </c>
      <c r="AG42" s="47">
        <f t="shared" si="15"/>
        <v>4</v>
      </c>
      <c r="AH42" s="47">
        <f>MAX(AH38:AH41)-AH43+1</f>
        <v>90806</v>
      </c>
      <c r="AI42" s="47">
        <f>MAX(AI38:AI41)-AI43+1</f>
        <v>9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0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Australia_draw</v>
      </c>
      <c r="T43" s="88" t="str">
        <f t="shared" si="4"/>
        <v>Denmark_draw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0</v>
      </c>
      <c r="AH43" s="47">
        <f>MIN(AH38:AH41)</f>
        <v>-398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6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11</v>
      </c>
      <c r="AG44" s="47">
        <f>SUMIF($E$7:$E$54,$AB44,$G$7:$G$54) + SUMIF($H$7:$H$54,$AB44,$F$7:$F$54)</f>
        <v>1</v>
      </c>
      <c r="AH44" s="47">
        <f>(AF44-AG44)*100+AK44*10000+AF44</f>
        <v>91011</v>
      </c>
      <c r="AI44" s="47">
        <f>AF44-AG44</f>
        <v>10</v>
      </c>
      <c r="AJ44" s="47">
        <f>(AI44-AI49)/AI48</f>
        <v>0.9375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1003.750916345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4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11 - 1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6</v>
      </c>
      <c r="AH45" s="47">
        <f>(AF45-AG45)*100+AK45*10000+AF45</f>
        <v>39804</v>
      </c>
      <c r="AI45" s="47">
        <f>AF45-AG45</f>
        <v>-2</v>
      </c>
      <c r="AJ45" s="47">
        <f>(AI45-AI49)/AI48</f>
        <v>0.1875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422.38713740136365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4 - 6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0</v>
      </c>
      <c r="AE46" s="47">
        <f>COUNTIF($S$7:$T$54,"=" &amp; AB46 &amp; "_lose")</f>
        <v>3</v>
      </c>
      <c r="AF46" s="47">
        <f>SUMIF($E$7:$E$54,$AB46,$F$7:$F$54) + SUMIF($H$7:$H$54,$AB46,$G$7:$G$54)</f>
        <v>1</v>
      </c>
      <c r="AG46" s="47">
        <f>SUMIF($E$7:$E$54,$AB46,$G$7:$G$54) + SUMIF($H$7:$H$54,$AB46,$F$7:$F$54)</f>
        <v>6</v>
      </c>
      <c r="AH46" s="47">
        <f>(AF46-AG46)*100+AK46*10000+AF46</f>
        <v>-499</v>
      </c>
      <c r="AI46" s="47">
        <f>AF46-AG46</f>
        <v>-5</v>
      </c>
      <c r="AJ46" s="47">
        <f>(AI46-AI49)/AI48</f>
        <v>0</v>
      </c>
      <c r="AK46" s="47">
        <f>AC46*3+AD46</f>
        <v>0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0.90990856909090911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1</v>
      </c>
      <c r="N47" s="25">
        <f>VLOOKUP(3,AA44:AK47,5,FALSE)</f>
        <v>1</v>
      </c>
      <c r="O47" s="25" t="str">
        <f>VLOOKUP(3,AA44:AK47,6,FALSE) &amp; " - " &amp; VLOOKUP(3,AA44:AK47,7,FALSE)</f>
        <v>3 - 6</v>
      </c>
      <c r="P47" s="54">
        <f>L47*3+M47</f>
        <v>4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1</v>
      </c>
      <c r="AE47" s="47">
        <f>COUNTIF($S$7:$T$54,"=" &amp; AB47 &amp; "_lose")</f>
        <v>1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6</v>
      </c>
      <c r="AH47" s="47">
        <f>(AF47-AG47)*100+AK47*10000+AF47</f>
        <v>39703</v>
      </c>
      <c r="AI47" s="47">
        <f>AF47-AG47</f>
        <v>-3</v>
      </c>
      <c r="AJ47" s="47">
        <f>(AI47-AI49)/AI48</f>
        <v>0.125</v>
      </c>
      <c r="AK47" s="47">
        <f>AC47*3+AD47</f>
        <v>4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415.22801296727278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2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4</v>
      </c>
      <c r="AF48" s="47">
        <f t="shared" si="16"/>
        <v>11</v>
      </c>
      <c r="AG48" s="47">
        <f t="shared" si="16"/>
        <v>6</v>
      </c>
      <c r="AH48" s="47">
        <f>MAX(AH44:AH47)-AH49+1</f>
        <v>91511</v>
      </c>
      <c r="AI48" s="47">
        <f>MAX(AI44:AI47)-AI49+1</f>
        <v>16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-499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2</v>
      </c>
      <c r="AH50" s="47">
        <f>(AF50-AG50)*100+AK50*10000+AF50</f>
        <v>90406</v>
      </c>
      <c r="AI50" s="47">
        <f>AF50-AG50</f>
        <v>4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997.50083739000002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6 - 2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5</v>
      </c>
      <c r="AH51" s="47">
        <f>(AF51-AG51)*100+AK51*10000+AF51</f>
        <v>-500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1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7 - 5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5</v>
      </c>
      <c r="AH52" s="47">
        <f>(AF52-AG52)*100+AK52*10000+AF52</f>
        <v>60207</v>
      </c>
      <c r="AI52" s="47">
        <f>AF52-AG52</f>
        <v>2</v>
      </c>
      <c r="AJ52" s="47">
        <f>(AI52-AI55)/AI54</f>
        <v>0.7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678.75081786500004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0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3 - 4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4</v>
      </c>
      <c r="AH53" s="47">
        <f>(AF53-AG53)*100+AK53*10000+AF53</f>
        <v>29903</v>
      </c>
      <c r="AI53" s="47">
        <f>AF53-AG53</f>
        <v>-1</v>
      </c>
      <c r="AJ53" s="47">
        <f>(AI53-AI55)/AI54</f>
        <v>0.4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343.75075977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0 - 5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8</v>
      </c>
      <c r="AG54" s="47">
        <f t="shared" si="17"/>
        <v>4</v>
      </c>
      <c r="AH54" s="47">
        <f>MAX(AH50:AH53)-AH55+1</f>
        <v>90907</v>
      </c>
      <c r="AI54" s="47">
        <f>MAX(AI50:AI53)-AI55+1</f>
        <v>10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-500</v>
      </c>
      <c r="AI55" s="47">
        <f>MIN(AI50:AI53)</f>
        <v>-5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England</v>
      </c>
      <c r="T58" s="88" t="str">
        <f>IF(OR(S58="",S58="draw"),INDEX(T,86,lang),S58)</f>
        <v>England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United States</v>
      </c>
      <c r="T60" s="88" t="str">
        <f>IF(OR(S60="",S60="draw"),INDEX(T,88,lang),S60)</f>
        <v>United States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1115</v>
      </c>
    </row>
    <row r="5" spans="1:2" x14ac:dyDescent="0.3">
      <c r="A5" s="100" t="s">
        <v>2529</v>
      </c>
      <c r="B5" s="103" t="s">
        <v>2532</v>
      </c>
    </row>
    <row r="6" spans="1:2" x14ac:dyDescent="0.3">
      <c r="A6" s="103" t="s">
        <v>2521</v>
      </c>
      <c r="B6" s="100" t="s">
        <v>2533</v>
      </c>
    </row>
    <row r="7" spans="1:2" x14ac:dyDescent="0.3">
      <c r="A7" s="100" t="s">
        <v>2522</v>
      </c>
      <c r="B7" s="103" t="s">
        <v>2534</v>
      </c>
    </row>
    <row r="8" spans="1:2" x14ac:dyDescent="0.3">
      <c r="A8" s="103" t="s">
        <v>2523</v>
      </c>
      <c r="B8" s="100" t="s">
        <v>2535</v>
      </c>
    </row>
    <row r="9" spans="1:2" x14ac:dyDescent="0.3">
      <c r="A9" s="100" t="s">
        <v>2524</v>
      </c>
      <c r="B9" s="103" t="s">
        <v>2004</v>
      </c>
    </row>
    <row r="10" spans="1:2" x14ac:dyDescent="0.3">
      <c r="A10" s="103" t="s">
        <v>2525</v>
      </c>
      <c r="B10" s="100" t="s">
        <v>2536</v>
      </c>
    </row>
    <row r="11" spans="1:2" x14ac:dyDescent="0.3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Kristo Põldsaar</cp:lastModifiedBy>
  <cp:lastPrinted>2018-01-03T15:36:04Z</cp:lastPrinted>
  <dcterms:created xsi:type="dcterms:W3CDTF">2017-12-27T19:32:51Z</dcterms:created>
  <dcterms:modified xsi:type="dcterms:W3CDTF">2022-11-19T10:07:40Z</dcterms:modified>
</cp:coreProperties>
</file>