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/Downloads/"/>
    </mc:Choice>
  </mc:AlternateContent>
  <xr:revisionPtr revIDLastSave="0" documentId="13_ncr:1_{79361DD3-B72B-414B-B85B-A3B189B0ABC1}" xr6:coauthVersionLast="47" xr6:coauthVersionMax="47" xr10:uidLastSave="{00000000-0000-0000-0000-000000000000}"/>
  <bookViews>
    <workbookView xWindow="0" yWindow="760" windowWidth="30240" windowHeight="17320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K26" i="3" s="1"/>
  <c r="A1" i="3" l="1"/>
  <c r="N14" i="3"/>
  <c r="BL41" i="3"/>
  <c r="P50" i="3"/>
  <c r="N8" i="3"/>
  <c r="M8" i="3"/>
  <c r="N32" i="3"/>
  <c r="O44" i="3"/>
  <c r="O50" i="3"/>
  <c r="BF6" i="3"/>
  <c r="AY6" i="3"/>
  <c r="L8" i="3"/>
  <c r="L26" i="3"/>
  <c r="L32" i="3"/>
  <c r="O38" i="3"/>
  <c r="N44" i="3"/>
  <c r="N50" i="3"/>
  <c r="M50" i="3"/>
  <c r="A5" i="3"/>
  <c r="O20" i="3"/>
  <c r="J26" i="3"/>
  <c r="J32" i="3"/>
  <c r="N38" i="3"/>
  <c r="M44" i="3"/>
  <c r="L44" i="3"/>
  <c r="K50" i="3"/>
  <c r="K8" i="3"/>
  <c r="BT6" i="3"/>
  <c r="P26" i="3"/>
  <c r="BT31" i="3"/>
  <c r="M38" i="3"/>
  <c r="L38" i="3"/>
  <c r="N20" i="3"/>
  <c r="J44" i="3"/>
  <c r="R37" i="3"/>
  <c r="R17" i="3"/>
  <c r="R36" i="3"/>
  <c r="R16" i="3"/>
  <c r="R33" i="3"/>
  <c r="R13" i="3"/>
  <c r="R32" i="3"/>
  <c r="R12" i="3"/>
  <c r="R29" i="3"/>
  <c r="R28" i="3"/>
  <c r="R21" i="3"/>
  <c r="R20" i="3"/>
  <c r="J20" i="3"/>
  <c r="M26" i="3"/>
  <c r="K44" i="3"/>
  <c r="P44" i="3"/>
  <c r="B44" i="2"/>
  <c r="B36" i="2"/>
  <c r="B28" i="2"/>
  <c r="B20" i="2"/>
  <c r="AB46" i="3"/>
  <c r="AB41" i="3"/>
  <c r="AB32" i="3"/>
  <c r="AB27" i="3"/>
  <c r="AB22" i="3"/>
  <c r="AB8" i="3"/>
  <c r="B27" i="2"/>
  <c r="AB51" i="3"/>
  <c r="B42" i="2"/>
  <c r="AB50" i="3"/>
  <c r="AB45" i="3"/>
  <c r="AB40" i="3"/>
  <c r="AB35" i="3"/>
  <c r="AB26" i="3"/>
  <c r="AB21" i="3"/>
  <c r="AB16" i="3"/>
  <c r="AB11" i="3"/>
  <c r="B41" i="2"/>
  <c r="B33" i="2"/>
  <c r="B25" i="2"/>
  <c r="B17" i="2"/>
  <c r="B48" i="2"/>
  <c r="B40" i="2"/>
  <c r="B32" i="2"/>
  <c r="B24" i="2"/>
  <c r="AB15" i="3"/>
  <c r="B39" i="2"/>
  <c r="B23" i="2"/>
  <c r="B34" i="2"/>
  <c r="AB53" i="3"/>
  <c r="AB44" i="3"/>
  <c r="AB39" i="3"/>
  <c r="AB34" i="3"/>
  <c r="AB29" i="3"/>
  <c r="AB20" i="3"/>
  <c r="AB10" i="3"/>
  <c r="B47" i="2"/>
  <c r="B31" i="2"/>
  <c r="B19" i="2"/>
  <c r="B18" i="2"/>
  <c r="B46" i="2"/>
  <c r="B38" i="2"/>
  <c r="B30" i="2"/>
  <c r="B22" i="2"/>
  <c r="AB28" i="3"/>
  <c r="AB9" i="3"/>
  <c r="B37" i="2"/>
  <c r="AB17" i="3"/>
  <c r="B35" i="2"/>
  <c r="AB52" i="3"/>
  <c r="AB47" i="3"/>
  <c r="AB38" i="3"/>
  <c r="AB33" i="3"/>
  <c r="AB23" i="3"/>
  <c r="AB14" i="3"/>
  <c r="B45" i="2"/>
  <c r="B29" i="2"/>
  <c r="B21" i="2"/>
  <c r="B43" i="2"/>
  <c r="B26" i="2"/>
  <c r="K20" i="3"/>
  <c r="O26" i="3"/>
  <c r="P32" i="3"/>
  <c r="O32" i="3"/>
  <c r="L50" i="3"/>
  <c r="M32" i="3"/>
  <c r="O8" i="3"/>
  <c r="N26" i="3"/>
  <c r="BM6" i="3"/>
  <c r="P14" i="3"/>
  <c r="O14" i="3"/>
  <c r="P20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53" i="3" l="1"/>
  <c r="E19" i="3"/>
  <c r="H37" i="3"/>
  <c r="AM46" i="3"/>
  <c r="H21" i="3"/>
  <c r="X21" i="3" s="1"/>
  <c r="E51" i="3"/>
  <c r="X51" i="3" s="1"/>
  <c r="AM51" i="3"/>
  <c r="H36" i="3"/>
  <c r="H29" i="3"/>
  <c r="AM28" i="3"/>
  <c r="E12" i="3"/>
  <c r="H43" i="3"/>
  <c r="AM33" i="3"/>
  <c r="H46" i="3"/>
  <c r="AM22" i="3"/>
  <c r="E13" i="3"/>
  <c r="H30" i="3"/>
  <c r="H38" i="3"/>
  <c r="E20" i="3"/>
  <c r="AM52" i="3"/>
  <c r="H51" i="3"/>
  <c r="H12" i="3"/>
  <c r="AM29" i="3"/>
  <c r="E44" i="3"/>
  <c r="E27" i="3"/>
  <c r="E42" i="3"/>
  <c r="H23" i="3"/>
  <c r="H9" i="3"/>
  <c r="AM15" i="3"/>
  <c r="E38" i="3"/>
  <c r="AM50" i="3"/>
  <c r="E21" i="3"/>
  <c r="H52" i="3"/>
  <c r="X52" i="3" s="1"/>
  <c r="E33" i="3"/>
  <c r="AM41" i="3"/>
  <c r="H15" i="3"/>
  <c r="E47" i="3"/>
  <c r="X47" i="3" s="1"/>
  <c r="AM11" i="3"/>
  <c r="H54" i="3"/>
  <c r="E22" i="3"/>
  <c r="AM44" i="3"/>
  <c r="E37" i="3"/>
  <c r="E46" i="3"/>
  <c r="AM21" i="3"/>
  <c r="H11" i="3"/>
  <c r="H28" i="3"/>
  <c r="E36" i="3"/>
  <c r="AM53" i="3"/>
  <c r="H20" i="3"/>
  <c r="X20" i="3" s="1"/>
  <c r="E52" i="3"/>
  <c r="E16" i="3"/>
  <c r="H34" i="3"/>
  <c r="H50" i="3"/>
  <c r="AM34" i="3"/>
  <c r="H10" i="3"/>
  <c r="E41" i="3"/>
  <c r="E23" i="3"/>
  <c r="AG50" i="3" s="1"/>
  <c r="AM17" i="3"/>
  <c r="E28" i="3"/>
  <c r="E45" i="3"/>
  <c r="AM23" i="3"/>
  <c r="H13" i="3"/>
  <c r="X13" i="3" s="1"/>
  <c r="E49" i="3"/>
  <c r="H16" i="3"/>
  <c r="E31" i="3"/>
  <c r="X31" i="3" s="1"/>
  <c r="AM35" i="3"/>
  <c r="AM16" i="3"/>
  <c r="H42" i="3"/>
  <c r="H26" i="3"/>
  <c r="E10" i="3"/>
  <c r="H40" i="3"/>
  <c r="AM9" i="3"/>
  <c r="E24" i="3"/>
  <c r="E7" i="3"/>
  <c r="E14" i="3"/>
  <c r="E29" i="3"/>
  <c r="AM26" i="3"/>
  <c r="H44" i="3"/>
  <c r="E8" i="3"/>
  <c r="H24" i="3"/>
  <c r="AM8" i="3"/>
  <c r="H39" i="3"/>
  <c r="E18" i="3"/>
  <c r="H47" i="3"/>
  <c r="E32" i="3"/>
  <c r="AM38" i="3"/>
  <c r="H25" i="3"/>
  <c r="H7" i="3"/>
  <c r="AM10" i="3"/>
  <c r="E39" i="3"/>
  <c r="H48" i="3"/>
  <c r="H32" i="3"/>
  <c r="AM40" i="3"/>
  <c r="E15" i="3"/>
  <c r="H14" i="3"/>
  <c r="H27" i="3"/>
  <c r="E43" i="3"/>
  <c r="AF8" i="3" s="1"/>
  <c r="AM27" i="3"/>
  <c r="E25" i="3"/>
  <c r="X25" i="3" s="1"/>
  <c r="E40" i="3"/>
  <c r="H8" i="3"/>
  <c r="H18" i="3"/>
  <c r="H33" i="3"/>
  <c r="E48" i="3"/>
  <c r="X48" i="3" s="1"/>
  <c r="AM39" i="3"/>
  <c r="E26" i="3"/>
  <c r="AM14" i="3"/>
  <c r="H41" i="3"/>
  <c r="E9" i="3"/>
  <c r="AG33" i="3" s="1"/>
  <c r="E50" i="3"/>
  <c r="H17" i="3"/>
  <c r="H31" i="3"/>
  <c r="X7" i="3"/>
  <c r="E54" i="3"/>
  <c r="H19" i="3"/>
  <c r="E35" i="3"/>
  <c r="AM47" i="3"/>
  <c r="E30" i="3"/>
  <c r="E11" i="3"/>
  <c r="AM20" i="3"/>
  <c r="H45" i="3"/>
  <c r="X45" i="3" s="1"/>
  <c r="AM45" i="3"/>
  <c r="H22" i="3"/>
  <c r="H35" i="3"/>
  <c r="E53" i="3"/>
  <c r="E34" i="3"/>
  <c r="X34" i="3" s="1"/>
  <c r="AM32" i="3"/>
  <c r="E17" i="3"/>
  <c r="H49" i="3"/>
  <c r="AG45" i="3" s="1"/>
  <c r="X40" i="3"/>
  <c r="X33" i="3"/>
  <c r="X35" i="3"/>
  <c r="X23" i="3"/>
  <c r="X19" i="3"/>
  <c r="X10" i="3"/>
  <c r="X42" i="3"/>
  <c r="X44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16" i="3"/>
  <c r="T21" i="3"/>
  <c r="T20" i="3"/>
  <c r="X32" i="3"/>
  <c r="S32" i="3"/>
  <c r="X9" i="3"/>
  <c r="S9" i="3"/>
  <c r="S28" i="3"/>
  <c r="X28" i="3"/>
  <c r="S26" i="3"/>
  <c r="X26" i="3"/>
  <c r="AF23" i="3"/>
  <c r="AF33" i="3"/>
  <c r="AG11" i="3"/>
  <c r="AF10" i="3"/>
  <c r="AG21" i="3"/>
  <c r="T13" i="3"/>
  <c r="T22" i="3"/>
  <c r="AF46" i="3"/>
  <c r="T40" i="3"/>
  <c r="S45" i="3"/>
  <c r="X37" i="3"/>
  <c r="S37" i="3"/>
  <c r="S54" i="3"/>
  <c r="X54" i="3"/>
  <c r="X27" i="3"/>
  <c r="S27" i="3"/>
  <c r="T10" i="3"/>
  <c r="AG32" i="3"/>
  <c r="AG52" i="3"/>
  <c r="AF14" i="3"/>
  <c r="AG28" i="3"/>
  <c r="AG35" i="3"/>
  <c r="T47" i="3"/>
  <c r="T34" i="3"/>
  <c r="S46" i="3"/>
  <c r="X46" i="3"/>
  <c r="S53" i="3"/>
  <c r="X53" i="3"/>
  <c r="X43" i="3"/>
  <c r="S43" i="3"/>
  <c r="T19" i="3"/>
  <c r="AG38" i="3"/>
  <c r="AF52" i="3"/>
  <c r="AG9" i="3"/>
  <c r="AF26" i="3"/>
  <c r="AF34" i="3"/>
  <c r="T48" i="3"/>
  <c r="AF20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51" i="3"/>
  <c r="AF45" i="3"/>
  <c r="T44" i="3"/>
  <c r="AG22" i="3" l="1"/>
  <c r="AI22" i="3" s="1"/>
  <c r="AG39" i="3"/>
  <c r="AG42" i="3" s="1"/>
  <c r="AG27" i="3"/>
  <c r="AI27" i="3" s="1"/>
  <c r="AG20" i="3"/>
  <c r="AG53" i="3"/>
  <c r="AG54" i="3" s="1"/>
  <c r="AG10" i="3"/>
  <c r="AI10" i="3" s="1"/>
  <c r="AF38" i="3"/>
  <c r="AF53" i="3"/>
  <c r="AF54" i="3" s="1"/>
  <c r="AG8" i="3"/>
  <c r="AI8" i="3" s="1"/>
  <c r="AF47" i="3"/>
  <c r="AI47" i="3" s="1"/>
  <c r="AF17" i="3"/>
  <c r="AF18" i="3" s="1"/>
  <c r="AF35" i="3"/>
  <c r="AI35" i="3" s="1"/>
  <c r="AF29" i="3"/>
  <c r="AI29" i="3" s="1"/>
  <c r="AF11" i="3"/>
  <c r="AI11" i="3" s="1"/>
  <c r="AF32" i="3"/>
  <c r="AG26" i="3"/>
  <c r="AG17" i="3"/>
  <c r="AG18" i="3" s="1"/>
  <c r="AF21" i="3"/>
  <c r="AF24" i="3" s="1"/>
  <c r="AF28" i="3"/>
  <c r="AI28" i="3" s="1"/>
  <c r="AF39" i="3"/>
  <c r="AI51" i="3"/>
  <c r="T14" i="3"/>
  <c r="AI40" i="3"/>
  <c r="T38" i="3"/>
  <c r="AI34" i="3"/>
  <c r="T46" i="3"/>
  <c r="T45" i="3"/>
  <c r="AI23" i="3"/>
  <c r="AI45" i="3"/>
  <c r="T32" i="3"/>
  <c r="T18" i="3"/>
  <c r="T11" i="3"/>
  <c r="AG48" i="3"/>
  <c r="T43" i="3"/>
  <c r="T27" i="3"/>
  <c r="T12" i="3"/>
  <c r="AI44" i="3"/>
  <c r="AI16" i="3"/>
  <c r="AI14" i="3"/>
  <c r="T26" i="3"/>
  <c r="AI41" i="3"/>
  <c r="T29" i="3"/>
  <c r="T24" i="3"/>
  <c r="AI52" i="3"/>
  <c r="AI46" i="3"/>
  <c r="AI9" i="3"/>
  <c r="T30" i="3"/>
  <c r="T39" i="3"/>
  <c r="T16" i="3"/>
  <c r="T53" i="3"/>
  <c r="T54" i="3"/>
  <c r="T28" i="3"/>
  <c r="T49" i="3"/>
  <c r="T15" i="3"/>
  <c r="AG36" i="3"/>
  <c r="T37" i="3"/>
  <c r="T9" i="3"/>
  <c r="AI15" i="3"/>
  <c r="T41" i="3"/>
  <c r="AI50" i="3"/>
  <c r="T50" i="3"/>
  <c r="AI33" i="3"/>
  <c r="T17" i="3"/>
  <c r="AG30" i="3" l="1"/>
  <c r="AF36" i="3"/>
  <c r="AI17" i="3"/>
  <c r="AF48" i="3"/>
  <c r="AI39" i="3"/>
  <c r="AF42" i="3"/>
  <c r="AG24" i="3"/>
  <c r="AI20" i="3"/>
  <c r="AI21" i="3"/>
  <c r="AF30" i="3"/>
  <c r="AI32" i="3"/>
  <c r="AI37" i="3" s="1"/>
  <c r="AI36" i="3" s="1"/>
  <c r="AG12" i="3"/>
  <c r="AI38" i="3"/>
  <c r="AI43" i="3" s="1"/>
  <c r="AI42" i="3" s="1"/>
  <c r="AI26" i="3"/>
  <c r="AI31" i="3" s="1"/>
  <c r="AF12" i="3"/>
  <c r="AI53" i="3"/>
  <c r="AI55" i="3" s="1"/>
  <c r="AI54" i="3" s="1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C22" i="3"/>
  <c r="AE53" i="3"/>
  <c r="AE27" i="3"/>
  <c r="AE23" i="3"/>
  <c r="AE35" i="3"/>
  <c r="AE41" i="3"/>
  <c r="AD40" i="3"/>
  <c r="AE29" i="3"/>
  <c r="AI25" i="3" l="1"/>
  <c r="AI24" i="3" s="1"/>
  <c r="AK34" i="3"/>
  <c r="AK22" i="3"/>
  <c r="AH22" i="3" s="1"/>
  <c r="AK23" i="3"/>
  <c r="AH23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U8" i="3" s="1"/>
  <c r="W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39" i="3" l="1"/>
  <c r="W39" i="3" s="1"/>
  <c r="U40" i="3"/>
  <c r="U24" i="3"/>
  <c r="W24" i="3" s="1"/>
  <c r="V8" i="3"/>
  <c r="AH13" i="3"/>
  <c r="AH12" i="3" s="1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V39" i="3" l="1"/>
  <c r="W40" i="3"/>
  <c r="V40" i="3"/>
  <c r="V24" i="3"/>
  <c r="U20" i="3"/>
  <c r="W20" i="3" s="1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20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O15" i="3" l="1"/>
  <c r="N33" i="3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AO45" i="3"/>
  <c r="L9" i="3"/>
  <c r="O52" i="3"/>
  <c r="N53" i="3"/>
  <c r="J51" i="3"/>
  <c r="P16" i="3" l="1"/>
  <c r="P15" i="3"/>
  <c r="K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U77" i="3" l="1"/>
  <c r="Z77" i="3" s="1"/>
  <c r="BU36" i="3" s="1"/>
  <c r="T85" i="3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<sst xmlns="http://schemas.openxmlformats.org/spreadsheetml/2006/main" count="4374" uniqueCount="2540">
  <si>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</si>
  <si>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</si>
  <si>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</si>
  <si>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</si>
  <si>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</si>
  <si>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</si>
  <si>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</si>
  <si>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</si>
  <si>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</si>
  <si>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</si>
  <si>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</si>
  <si>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</si>
  <si>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</si>
  <si>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</si>
  <si>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</si>
  <si>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</si>
  <si>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</si>
  <si>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</si>
  <si>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</si>
  <si>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</si>
  <si>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</si>
  <si>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</si>
  <si>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</si>
  <si>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</si>
  <si>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</si>
  <si>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</si>
  <si>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</si>
  <si>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</si>
  <si>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</si>
  <si>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</si>
  <si>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</si>
  <si>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</si>
  <si>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</si>
  <si>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</si>
  <si>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</si>
  <si>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</si>
  <si>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</si>
  <si>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</si>
  <si>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</si>
  <si>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</si>
  <si>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</si>
  <si>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</si>
  <si>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</si>
  <si>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</si>
  <si>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</si>
  <si>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</si>
  <si>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</si>
  <si>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</si>
  <si>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</si>
  <si>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</si>
  <si>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</si>
  <si>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</si>
  <si>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</si>
  <si>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</si>
  <si>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</si>
  <si>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</si>
  <si>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</si>
  <si>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</si>
  <si>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</si>
  <si>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</si>
  <si>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</si>
  <si>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</si>
  <si>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</si>
  <si>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</si>
  <si>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</si>
  <si>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</si>
  <si>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</si>
  <si>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</si>
  <si>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</si>
  <si>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</si>
  <si>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</si>
  <si>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</si>
  <si>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</si>
  <si>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</si>
  <si>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</si>
  <si>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</si>
  <si>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</si>
  <si>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</si>
  <si>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</si>
  <si>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</si>
  <si>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</si>
  <si>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</si>
  <si>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</si>
  <si>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</si>
  <si>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</si>
  <si>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</si>
  <si>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</si>
  <si>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</si>
  <si>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</si>
  <si>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</si>
  <si>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</si>
  <si>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</si>
  <si>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</si>
  <si>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</si>
  <si>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</si>
  <si>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</si>
  <si>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</si>
  <si>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</si>
  <si>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</si>
  <si>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</si>
  <si>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</si>
  <si>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</si>
  <si>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</si>
  <si>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</si>
  <si>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</si>
  <si>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</si>
  <si>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</si>
  <si>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</si>
  <si>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</si>
  <si>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</si>
  <si>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</si>
  <si>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</si>
  <si>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</si>
  <si>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</si>
  <si>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</si>
  <si>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</si>
  <si>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</si>
  <si>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</si>
  <si>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</si>
  <si>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</si>
  <si>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</si>
  <si>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</si>
  <si>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</si>
  <si>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</si>
  <si>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</si>
  <si>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</si>
  <si>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</si>
  <si>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</si>
  <si>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</si>
  <si>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</si>
  <si>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</si>
  <si>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</si>
  <si>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</si>
  <si>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</si>
  <si>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</si>
  <si>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</si>
  <si>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</si>
  <si>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</si>
  <si>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</si>
  <si>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</si>
  <si>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</si>
  <si>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</si>
  <si>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</si>
  <si>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</si>
  <si>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</si>
  <si>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</si>
  <si>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</si>
  <si>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</si>
  <si>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</si>
  <si>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</si>
  <si>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</si>
  <si>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</si>
  <si>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</si>
  <si>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</si>
  <si>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</si>
  <si>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</si>
  <si>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</si>
  <si>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</si>
  <si>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</si>
  <si>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</si>
  <si>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</si>
  <si>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</si>
  <si>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</si>
  <si>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</si>
  <si>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</si>
  <si>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</si>
  <si>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</si>
  <si>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</si>
  <si>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</si>
  <si>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</si>
  <si>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</si>
  <si>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</si>
  <si>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</si>
  <si>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</si>
  <si>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</si>
  <si>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</si>
  <si>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</si>
  <si>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</si>
  <si>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</si>
  <si>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</si>
  <si>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</si>
  <si>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</si>
  <si>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</si>
  <si>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</si>
  <si>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</si>
  <si>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</si>
  <si>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</si>
  <si>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</si>
  <si>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</si>
  <si>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</si>
  <si>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</si>
  <si>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</si>
  <si>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</si>
  <si>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</si>
  <si>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</si>
  <si>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</si>
  <si>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</si>
  <si>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</si>
  <si>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</si>
  <si>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</si>
  <si>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</si>
  <si>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</si>
  <si>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</si>
  <si>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</si>
  <si>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</si>
  <si>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</si>
  <si>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</si>
  <si>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</si>
  <si>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</si>
  <si>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</si>
  <si>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</si>
  <si>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</si>
  <si>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</si>
  <si>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</si>
  <si>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</si>
  <si>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</si>
  <si>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</si>
  <si>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</si>
  <si>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</si>
  <si>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</si>
  <si>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</si>
  <si>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</si>
  <si>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</si>
  <si>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</si>
  <si>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</si>
  <si>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</si>
  <si>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</si>
  <si>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</si>
  <si>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</si>
  <si>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</si>
  <si>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</si>
  <si>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</si>
  <si>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</si>
  <si>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</si>
  <si>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</si>
  <si>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</si>
  <si>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</si>
  <si>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</si>
  <si>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</si>
  <si>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</si>
  <si>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</si>
  <si>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</si>
  <si>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</si>
  <si>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</si>
  <si>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</si>
  <si>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</si>
  <si>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</si>
  <si>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</si>
  <si>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</si>
  <si>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</si>
  <si>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</si>
  <si>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</si>
  <si>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</si>
  <si>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</si>
  <si>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</si>
  <si>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</si>
  <si>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</si>
  <si>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</si>
  <si>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</si>
  <si>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</si>
  <si>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</si>
  <si>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</si>
  <si>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</si>
  <si>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</si>
  <si>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</si>
  <si>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</si>
  <si>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</si>
  <si>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</si>
  <si>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</si>
  <si>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</si>
  <si>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</si>
  <si>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</si>
  <si>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</si>
  <si>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</si>
  <si>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</si>
  <si>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</si>
  <si>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</si>
  <si>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</si>
  <si>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</si>
  <si>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</si>
  <si>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</si>
  <si>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</si>
  <si>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</si>
  <si>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</si>
  <si>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</si>
  <si>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</si>
  <si>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</si>
  <si>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</si>
  <si>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</si>
  <si>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</si>
  <si>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</si>
  <si>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</si>
  <si>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</si>
  <si>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</si>
  <si>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</si>
  <si>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</si>
  <si>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</si>
  <si>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</si>
  <si>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</si>
  <si>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</si>
  <si>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</si>
  <si>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</si>
  <si>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</si>
  <si>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</si>
  <si>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</si>
  <si>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</si>
  <si>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</si>
  <si>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</si>
  <si>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</si>
  <si>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</si>
  <si>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</si>
  <si>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</si>
  <si>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</si>
  <si>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</si>
  <si>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</si>
  <si>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</si>
  <si>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</si>
  <si>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</si>
  <si>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</si>
  <si>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</si>
  <si>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</si>
  <si>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</si>
  <si>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</si>
  <si>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</si>
  <si>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</si>
  <si>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</si>
  <si>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</si>
  <si>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</si>
  <si>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</si>
  <si>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</si>
  <si>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</si>
  <si>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</si>
  <si>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</si>
  <si>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</si>
  <si>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</si>
  <si>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</si>
  <si>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</si>
  <si>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</si>
  <si>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</si>
  <si>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</si>
  <si>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</si>
  <si>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</si>
  <si>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</si>
  <si>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</si>
  <si>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</si>
  <si>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</si>
  <si>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</si>
  <si>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</si>
  <si>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</si>
  <si>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</si>
  <si>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</si>
  <si>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</si>
  <si>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</si>
  <si>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</si>
  <si>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</si>
  <si>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</si>
  <si>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</si>
  <si>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</si>
  <si>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</si>
  <si>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</si>
  <si>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</si>
  <si>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</si>
  <si>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</si>
  <si>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</si>
  <si>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</si>
  <si>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</si>
  <si>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</si>
  <si>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</si>
  <si>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</si>
  <si>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</si>
  <si>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</si>
  <si>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</si>
  <si>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</si>
  <si>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</si>
  <si>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</si>
  <si>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</si>
  <si>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</si>
  <si>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</si>
  <si>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</si>
  <si>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</si>
  <si>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</si>
  <si>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</si>
  <si>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</si>
  <si>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</si>
  <si>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</si>
  <si>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</si>
  <si>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</si>
  <si>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</si>
  <si>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</si>
  <si>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</si>
  <si>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</si>
  <si>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</si>
  <si>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</si>
  <si>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</si>
  <si>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</si>
  <si>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</si>
  <si>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</si>
  <si>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</si>
  <si>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</si>
  <si>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</si>
  <si>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</si>
  <si>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</si>
  <si>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</si>
  <si>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</si>
  <si>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</si>
  <si>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</si>
  <si>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</si>
  <si>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</si>
  <si>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</si>
  <si>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</si>
  <si>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</si>
  <si>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</si>
  <si>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</si>
  <si>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</si>
  <si>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</si>
  <si>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</si>
  <si>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</si>
  <si>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</si>
  <si>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</si>
  <si>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</si>
  <si>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</si>
  <si>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</si>
  <si>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</si>
  <si>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</si>
  <si>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</si>
  <si>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</si>
  <si>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</si>
  <si>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</si>
  <si>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</si>
  <si>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</si>
  <si>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</si>
  <si>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</si>
  <si>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</si>
  <si>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</si>
  <si>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</si>
  <si>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</si>
  <si>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</si>
  <si>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</si>
  <si>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</si>
  <si>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</si>
  <si>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</si>
  <si>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</si>
  <si>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</si>
  <si>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</si>
  <si>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</si>
  <si>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</si>
  <si>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</si>
  <si>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</si>
  <si>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</si>
  <si>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</si>
  <si>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</si>
  <si>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</si>
  <si>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</si>
  <si>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</si>
  <si>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</si>
  <si>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</si>
  <si>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</si>
  <si>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</si>
  <si>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</si>
  <si>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</si>
  <si>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</si>
  <si>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</si>
  <si>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</si>
  <si>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</si>
  <si>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</si>
  <si>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</si>
  <si>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</si>
  <si>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</si>
  <si>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</si>
  <si>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</si>
  <si>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</si>
  <si>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</si>
  <si>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</si>
  <si>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</si>
  <si>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</si>
  <si>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</si>
  <si>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</si>
  <si>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</si>
  <si>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</si>
  <si>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</si>
  <si>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</si>
  <si>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</si>
  <si>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</si>
  <si>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</si>
  <si>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</si>
  <si>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</si>
  <si>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</si>
  <si>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</si>
  <si>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</si>
  <si>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</si>
  <si>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</si>
  <si>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</si>
  <si>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</si>
  <si>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</si>
  <si>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</si>
  <si>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</si>
  <si>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</si>
  <si>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</si>
  <si>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</si>
  <si>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</si>
  <si>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</si>
  <si>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</si>
  <si>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</si>
  <si>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</si>
  <si>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</si>
  <si>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</si>
  <si>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</si>
  <si>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</si>
  <si>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</si>
  <si>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</si>
  <si>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</si>
  <si>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</si>
  <si>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</si>
  <si>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</si>
  <si>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</si>
  <si>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</si>
  <si>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</si>
  <si>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</si>
  <si>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</si>
  <si>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</si>
  <si>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</si>
  <si>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</si>
  <si>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</si>
  <si>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</si>
  <si>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</si>
  <si>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</si>
  <si>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</si>
  <si>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</si>
  <si>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</si>
  <si>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</si>
  <si>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</si>
  <si>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</si>
  <si>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</si>
  <si>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</si>
  <si>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</si>
  <si>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</si>
  <si>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</si>
  <si>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</si>
  <si>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</si>
  <si>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</si>
  <si>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</si>
  <si>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</si>
  <si>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</si>
  <si>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</si>
  <si>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</si>
  <si>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</si>
  <si>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</si>
  <si>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</si>
  <si>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</si>
  <si>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</si>
  <si>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</si>
  <si>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</si>
  <si>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</si>
  <si>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</si>
  <si>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</si>
  <si>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</si>
  <si>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</si>
  <si>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</si>
  <si>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</si>
  <si>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</si>
  <si>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</si>
  <si>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</si>
  <si>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</si>
  <si>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</si>
  <si>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</si>
  <si>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</si>
  <si>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</si>
  <si>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</si>
  <si>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</si>
  <si>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</si>
  <si>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</si>
  <si>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</si>
  <si>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</si>
  <si>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</si>
  <si>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</si>
  <si>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</si>
  <si>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</si>
  <si>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</si>
  <si>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</si>
  <si>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</si>
  <si>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</si>
  <si>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</si>
  <si>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</si>
  <si>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</si>
  <si>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</si>
  <si>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</si>
  <si>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</si>
  <si>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</si>
  <si>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</si>
  <si>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</si>
  <si>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</si>
  <si>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</si>
  <si>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</si>
  <si>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</si>
  <si>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</si>
  <si>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</si>
  <si>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</si>
  <si>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</si>
  <si>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</si>
  <si>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</si>
  <si>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</si>
  <si>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</si>
  <si>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</si>
  <si>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</si>
  <si>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</si>
  <si>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</si>
  <si>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</si>
  <si>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</si>
  <si>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</si>
  <si>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</si>
  <si>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</si>
  <si>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</si>
  <si>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</si>
  <si>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</si>
  <si>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</si>
  <si>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</si>
  <si>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</si>
  <si>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</si>
  <si>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</si>
  <si>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</si>
  <si>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</si>
  <si>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</si>
  <si>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</si>
  <si>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</si>
  <si>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</si>
  <si>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</si>
  <si>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</si>
  <si>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</si>
  <si>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</si>
  <si>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</si>
  <si>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</si>
  <si>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</si>
  <si>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</si>
  <si>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</si>
  <si>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</si>
  <si>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</si>
  <si>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</si>
  <si>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</si>
  <si>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</si>
  <si>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</si>
  <si>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</si>
  <si>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</si>
  <si>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</si>
  <si>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</si>
  <si>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</si>
  <si>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</si>
  <si>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</si>
  <si>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</si>
  <si>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</si>
  <si>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</si>
  <si>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</si>
  <si>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</si>
  <si>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</si>
  <si>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</si>
  <si>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</si>
  <si>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</si>
  <si>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</si>
  <si>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</si>
  <si>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</si>
  <si>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</si>
  <si>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</si>
  <si>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</si>
  <si>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</si>
  <si>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</si>
  <si>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</si>
  <si>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</si>
  <si>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</si>
  <si>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</si>
  <si>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</si>
  <si>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</si>
  <si>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</si>
  <si>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</si>
  <si>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</si>
  <si>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</si>
  <si>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</si>
  <si>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</si>
  <si>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</si>
  <si>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</si>
  <si>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</si>
  <si>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</si>
  <si>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</si>
  <si>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</si>
  <si>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</si>
  <si>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</si>
  <si>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</si>
  <si>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</si>
  <si>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</si>
  <si>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</si>
  <si>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</si>
  <si>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</si>
  <si>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</si>
  <si>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</si>
  <si>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</si>
  <si>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</si>
  <si>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</si>
  <si>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</si>
  <si>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</si>
  <si>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</si>
  <si>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</si>
  <si>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</si>
  <si>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</si>
  <si>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</si>
  <si>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</si>
  <si>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</si>
  <si>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</si>
  <si>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</si>
  <si>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</si>
  <si>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</si>
  <si>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</si>
  <si>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</si>
  <si>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</si>
  <si>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</si>
  <si>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</si>
  <si>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</si>
  <si>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</si>
  <si>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</si>
  <si>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</si>
  <si>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</si>
  <si>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</si>
  <si>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</si>
  <si>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</si>
  <si>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</si>
  <si>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</si>
  <si>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</si>
  <si>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</si>
  <si>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</si>
  <si>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</si>
  <si>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</si>
  <si>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</si>
  <si>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</si>
  <si>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</si>
  <si>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</si>
  <si>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</si>
  <si>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</si>
  <si>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</si>
  <si>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</si>
  <si>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</si>
  <si>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</si>
  <si>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</si>
  <si>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</si>
  <si>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</si>
  <si>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</si>
  <si>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</si>
  <si>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</si>
  <si>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</si>
  <si>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</si>
  <si>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</si>
  <si>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</si>
  <si>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</si>
  <si>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</si>
  <si>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</si>
  <si>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</si>
  <si>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</si>
  <si>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</si>
  <si>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</si>
  <si>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</si>
  <si>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</si>
  <si>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</si>
  <si>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</si>
  <si>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</si>
  <si>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</si>
  <si>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</si>
  <si>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</si>
  <si>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</si>
  <si>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</si>
  <si>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</si>
  <si>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</si>
  <si>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</si>
  <si>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</si>
  <si>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</si>
  <si>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</si>
  <si>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</si>
  <si>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</si>
  <si>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</si>
  <si>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</si>
  <si>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</si>
  <si>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</si>
  <si>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</si>
  <si>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</si>
  <si>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</si>
  <si>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</si>
  <si>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</si>
  <si>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</si>
  <si>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</si>
  <si>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</si>
  <si>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</si>
  <si>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</si>
  <si>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</si>
  <si>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</si>
  <si>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</si>
  <si>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</si>
  <si>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</si>
  <si>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</si>
  <si>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</si>
  <si>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</si>
  <si>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</si>
  <si>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</si>
  <si>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</si>
  <si>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</si>
  <si>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</si>
  <si>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</si>
  <si>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</si>
  <si>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</si>
  <si>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</si>
  <si>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</si>
  <si>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</si>
  <si>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</si>
  <si>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</si>
  <si>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</si>
  <si>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</si>
  <si>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</si>
  <si>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</si>
  <si>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</si>
  <si>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</si>
  <si>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</si>
  <si>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</si>
  <si>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</si>
  <si>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</si>
  <si>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</si>
  <si>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</si>
  <si>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</si>
  <si>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</si>
  <si>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</si>
  <si>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</si>
  <si>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</si>
  <si>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</si>
  <si>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</si>
  <si>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</si>
  <si>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</si>
  <si>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</si>
  <si>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</si>
  <si>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</si>
  <si>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</si>
  <si>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</si>
  <si>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</si>
  <si>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</si>
  <si>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</si>
  <si>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</si>
  <si>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</si>
  <si>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</si>
  <si>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</si>
  <si>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</si>
  <si>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</si>
  <si>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</si>
  <si>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</si>
  <si>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</si>
  <si>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</si>
  <si>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</si>
  <si>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</si>
  <si>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</si>
  <si>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</si>
  <si>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</si>
  <si>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</si>
  <si>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</si>
  <si>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</si>
  <si>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</si>
  <si>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</si>
  <si>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</si>
  <si>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</si>
  <si>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</si>
  <si>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</si>
  <si>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</si>
  <si>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</si>
  <si>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</si>
  <si>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</si>
  <si>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</si>
  <si>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</si>
  <si>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</si>
  <si>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</si>
  <si>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</si>
  <si>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</si>
  <si>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</si>
  <si>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</si>
  <si>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</si>
  <si>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</si>
  <si>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</si>
  <si>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</si>
  <si>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</si>
  <si>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</si>
  <si>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</si>
  <si>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</si>
  <si>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</si>
  <si>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</si>
  <si>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</si>
  <si>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</si>
  <si>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</si>
  <si>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</si>
  <si>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</si>
  <si>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</si>
  <si>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</si>
  <si>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</si>
  <si>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</si>
  <si>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</si>
  <si>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</si>
  <si>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</si>
  <si>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</si>
  <si>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</si>
  <si>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</si>
  <si>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</si>
  <si>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</si>
  <si>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</si>
  <si>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</si>
  <si>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</si>
  <si>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</si>
  <si>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</si>
  <si>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</si>
  <si>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</si>
  <si>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</si>
  <si>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</si>
  <si>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</si>
  <si>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</si>
  <si>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</si>
  <si>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</si>
  <si>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</si>
  <si>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</si>
  <si>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</si>
  <si>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</si>
  <si>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</si>
  <si>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</si>
  <si>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</si>
  <si>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</si>
  <si>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</si>
  <si>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</si>
  <si>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</si>
  <si>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</si>
  <si>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</si>
  <si>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</si>
  <si>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</si>
  <si>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</si>
  <si>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</si>
  <si>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</si>
  <si>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</si>
  <si>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</si>
  <si>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</si>
  <si>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</si>
  <si>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</si>
  <si>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</si>
  <si>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</si>
  <si>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</si>
  <si>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</si>
  <si>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</si>
  <si>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</si>
  <si>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</si>
  <si>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</si>
  <si>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</si>
  <si>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</si>
  <si>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</si>
  <si>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</si>
  <si>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</si>
  <si>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</si>
  <si>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</si>
  <si>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</si>
  <si>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</si>
  <si>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</si>
  <si>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</si>
  <si>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</si>
  <si>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</si>
  <si>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</si>
  <si>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</si>
  <si>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</si>
  <si>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</si>
  <si>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</si>
  <si>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</si>
  <si>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</si>
  <si>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</si>
  <si>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</si>
  <si>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</si>
  <si>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</si>
  <si>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</si>
  <si>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</si>
  <si>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</si>
  <si>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</si>
  <si>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</si>
  <si>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</si>
  <si>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</si>
  <si>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</si>
  <si>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</si>
  <si>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</si>
  <si>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</si>
  <si>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</si>
  <si>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</si>
  <si>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</si>
  <si>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</si>
  <si>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</si>
  <si>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</si>
  <si>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</si>
  <si>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</si>
  <si>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</si>
  <si>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</si>
  <si>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</si>
  <si>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</si>
  <si>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</si>
  <si>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</si>
  <si>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</si>
  <si>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</si>
  <si>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</si>
  <si>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</si>
  <si>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</si>
  <si>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</si>
  <si>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</si>
  <si>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</si>
  <si>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</si>
  <si>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</si>
  <si>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</si>
  <si>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</si>
  <si>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</si>
  <si>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</si>
  <si>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</si>
  <si>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</si>
  <si>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</si>
  <si>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</si>
  <si>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</si>
  <si>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</si>
  <si>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</si>
  <si>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</si>
  <si>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</si>
  <si>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</si>
  <si>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</si>
  <si>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</si>
  <si>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</si>
  <si>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</si>
  <si>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</si>
  <si>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</si>
  <si>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</si>
  <si>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</si>
  <si>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</si>
  <si>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</si>
  <si>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</si>
  <si>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</si>
  <si>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</si>
  <si>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</si>
  <si>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</si>
  <si>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</si>
  <si>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</si>
  <si>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</si>
  <si>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</si>
  <si>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</si>
  <si>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</si>
  <si>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</si>
  <si>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</si>
  <si>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</si>
  <si>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</si>
  <si>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</si>
  <si>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</si>
  <si>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</si>
  <si>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</si>
  <si>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</si>
  <si>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</si>
  <si>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</si>
  <si>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</si>
  <si>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</si>
  <si>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</si>
  <si>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</si>
  <si>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</si>
  <si>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</si>
  <si>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</si>
  <si>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</si>
  <si>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</si>
  <si>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</si>
  <si>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</si>
  <si>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</si>
  <si>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</si>
  <si>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</si>
  <si>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</si>
  <si>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</si>
  <si>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</si>
  <si>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</si>
  <si>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</si>
  <si>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</si>
  <si>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</si>
  <si>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</si>
  <si>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</si>
  <si>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</si>
  <si>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</si>
  <si>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</si>
  <si>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</si>
  <si>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</si>
  <si>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</si>
  <si>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</si>
  <si>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</si>
  <si>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</si>
  <si>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</si>
  <si>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</si>
  <si>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</si>
  <si>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</si>
  <si>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</si>
  <si>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</si>
  <si>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</si>
  <si>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</si>
  <si>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</si>
  <si>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</si>
  <si>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</si>
  <si>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</si>
  <si>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</si>
  <si>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</si>
  <si>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</si>
  <si>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</si>
  <si>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</si>
  <si>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</si>
  <si>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</si>
  <si>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</si>
  <si>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</si>
  <si>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</si>
  <si>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</si>
  <si>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</si>
  <si>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</si>
  <si>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</si>
  <si>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</si>
  <si>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</si>
  <si>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</si>
  <si>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</si>
  <si>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</si>
  <si>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</si>
  <si>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</si>
  <si>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</si>
  <si>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</si>
  <si>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</si>
  <si>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</si>
  <si>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</si>
  <si>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</si>
  <si>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</si>
  <si>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</si>
  <si>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</si>
  <si>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</si>
  <si>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</si>
  <si>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</si>
  <si>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</si>
  <si>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</si>
  <si>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</si>
  <si>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</si>
  <si>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</si>
  <si>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</si>
  <si>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</si>
  <si>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</si>
  <si>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</si>
  <si>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</si>
  <si>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</si>
  <si>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</si>
  <si>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</si>
  <si>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</si>
  <si>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</si>
  <si>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</si>
  <si>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</si>
  <si>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</si>
  <si>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</si>
  <si>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</si>
  <si>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</si>
  <si>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</si>
  <si>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</si>
  <si>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</si>
  <si>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</si>
  <si>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</si>
  <si>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</si>
  <si>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</si>
  <si>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</si>
  <si>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</si>
  <si>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</si>
  <si>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</si>
  <si>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</si>
  <si>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</si>
  <si>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</si>
  <si>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</si>
  <si>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</si>
  <si>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</si>
  <si>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</si>
  <si>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</si>
  <si>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</si>
  <si>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</si>
  <si>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</si>
  <si>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</si>
  <si>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</si>
  <si>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</si>
  <si>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</si>
  <si>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</si>
  <si>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</si>
  <si>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</si>
  <si>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</si>
  <si>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</si>
  <si>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</si>
  <si>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</si>
  <si>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</si>
  <si>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</si>
  <si>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</si>
  <si>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</si>
  <si>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</si>
  <si>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</si>
  <si>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</si>
  <si>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</si>
  <si>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</si>
  <si>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</si>
  <si>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</si>
  <si>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</si>
  <si>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</si>
  <si>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</si>
  <si>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</si>
  <si>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</si>
  <si>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</si>
  <si>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</si>
  <si>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</si>
  <si>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</si>
  <si>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</si>
  <si>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</si>
  <si>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</si>
  <si>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</si>
  <si>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</si>
  <si>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</si>
  <si>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</si>
  <si>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</si>
  <si>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</si>
  <si>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</si>
  <si>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</si>
  <si>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</si>
  <si>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</si>
  <si>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</si>
  <si>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</si>
  <si>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</si>
  <si>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</si>
  <si>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</si>
  <si>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</si>
  <si>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</si>
  <si>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</si>
  <si>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</si>
  <si>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</si>
  <si>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</si>
  <si>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</si>
  <si>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</si>
  <si>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</si>
  <si>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</si>
  <si>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</si>
  <si>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</si>
  <si>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</si>
  <si>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</si>
  <si>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</si>
  <si>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</si>
  <si>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</si>
  <si>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</si>
  <si>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</si>
  <si>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</si>
  <si>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</si>
  <si>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</si>
  <si>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</si>
  <si>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</si>
  <si>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</si>
  <si>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</si>
  <si>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</si>
  <si>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</si>
  <si>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</si>
  <si>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</si>
  <si>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</si>
  <si>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</si>
  <si>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</si>
  <si>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</si>
  <si>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</si>
  <si>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</si>
  <si>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</si>
  <si>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</si>
  <si>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</si>
  <si>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</si>
  <si>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</si>
  <si>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</si>
  <si>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</si>
  <si>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</si>
  <si>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</si>
  <si>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</si>
  <si>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</si>
  <si>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</si>
  <si>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</si>
  <si>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</si>
  <si>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</si>
  <si>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</si>
  <si>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</si>
  <si>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</si>
  <si>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</si>
  <si>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</si>
  <si>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</si>
  <si>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</si>
  <si>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</si>
  <si>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</si>
  <si>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</si>
  <si>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</si>
  <si>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</si>
  <si>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</si>
  <si>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</si>
  <si>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</si>
  <si>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</si>
  <si>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</si>
  <si>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</si>
  <si>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</si>
  <si>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</si>
  <si>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</si>
  <si>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</si>
  <si>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</si>
  <si>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</si>
  <si>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</si>
  <si>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</si>
  <si>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</si>
  <si>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</si>
  <si>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</si>
  <si>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</si>
  <si>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</si>
  <si>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</si>
  <si>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</si>
  <si>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</si>
  <si>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</si>
  <si>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</si>
  <si>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</si>
  <si>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</si>
  <si>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</si>
  <si>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</si>
  <si>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</si>
  <si>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</si>
  <si>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</si>
  <si>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</si>
  <si>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</si>
  <si>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</si>
  <si>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</si>
  <si>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</si>
  <si>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</si>
  <si>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</si>
  <si>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</si>
  <si>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</si>
  <si>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</si>
  <si>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</si>
  <si>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</si>
  <si>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</si>
  <si>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</si>
  <si>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</si>
  <si>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</si>
  <si>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</si>
  <si>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</si>
  <si>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</si>
  <si>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</si>
  <si>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</si>
  <si>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</si>
  <si>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</si>
  <si>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</si>
  <si>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</si>
  <si>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</si>
  <si>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</si>
  <si>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</si>
  <si>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</si>
  <si>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</si>
  <si>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</si>
  <si>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</si>
  <si>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</si>
  <si>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</si>
  <si>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</si>
  <si>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</si>
  <si>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</si>
  <si>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</si>
  <si>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</si>
  <si>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</si>
  <si>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</si>
  <si>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</si>
  <si>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</si>
  <si>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</si>
  <si>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</si>
  <si>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</si>
  <si>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</si>
  <si>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</si>
  <si>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</si>
  <si>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</si>
  <si>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</si>
  <si>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</si>
  <si>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</si>
  <si>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</si>
  <si>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</si>
  <si>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</si>
  <si>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</si>
  <si>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</si>
  <si>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</si>
  <si>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</si>
  <si>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</si>
  <si>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</si>
  <si>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</si>
  <si>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</si>
  <si>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</si>
  <si>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</si>
  <si>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</si>
  <si>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</si>
  <si>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</si>
  <si>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</si>
  <si>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</si>
  <si>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</si>
  <si>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</si>
  <si>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</si>
  <si>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</si>
  <si>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</si>
  <si>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</si>
  <si>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</si>
  <si>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</si>
  <si>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</si>
  <si>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</si>
  <si>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</si>
  <si>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</si>
  <si>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</si>
  <si>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</si>
  <si>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</si>
  <si>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</si>
  <si>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</si>
  <si>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</si>
  <si>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</si>
  <si>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</si>
  <si>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</si>
  <si>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</si>
  <si>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</si>
  <si>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</si>
  <si>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</si>
  <si>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</si>
  <si>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</si>
  <si>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</si>
  <si>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</si>
  <si>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</si>
  <si>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</si>
  <si>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</si>
  <si>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</si>
  <si>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</si>
  <si>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</si>
  <si>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</si>
  <si>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</si>
  <si>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</si>
  <si>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</si>
  <si>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</si>
  <si>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</si>
  <si>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</si>
  <si>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</si>
  <si>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</si>
  <si>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</si>
  <si>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</si>
  <si>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</si>
  <si>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</si>
  <si>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</si>
  <si>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</si>
  <si>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</si>
  <si>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</si>
  <si>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</si>
  <si>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</si>
  <si>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</si>
  <si>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</si>
  <si>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</si>
  <si>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</si>
  <si>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</si>
  <si>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</si>
  <si>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</si>
  <si>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</si>
  <si>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</si>
  <si>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</si>
  <si>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</si>
  <si>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</si>
  <si>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</si>
  <si>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</si>
  <si>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</si>
  <si>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</si>
  <si>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</si>
  <si>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</si>
  <si>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</si>
  <si>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</si>
  <si>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</si>
  <si>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</si>
  <si>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</si>
  <si>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</si>
  <si>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</si>
  <si>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</si>
  <si>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</si>
  <si>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</si>
  <si>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</si>
  <si>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</si>
  <si>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</si>
  <si>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</si>
  <si>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</si>
  <si>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</si>
  <si>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</si>
  <si>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</si>
  <si>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</si>
  <si>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</si>
  <si>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</si>
  <si>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</si>
  <si>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</si>
  <si>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</si>
  <si>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</si>
  <si>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</si>
  <si>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</si>
  <si>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</si>
  <si>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</si>
  <si>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</si>
  <si>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</si>
  <si>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</si>
  <si>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</si>
  <si>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</si>
  <si>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</si>
  <si>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</si>
  <si>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</si>
  <si>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</si>
  <si>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</si>
  <si>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</si>
  <si>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</si>
  <si>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</si>
  <si>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</si>
  <si>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</si>
  <si>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</si>
  <si>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</si>
  <si>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</si>
  <si>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</si>
  <si>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</si>
  <si>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</si>
  <si>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</si>
  <si>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</si>
  <si>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</si>
  <si>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</si>
  <si>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</si>
  <si>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</si>
  <si>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</si>
  <si>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</si>
  <si>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</si>
  <si>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</si>
  <si>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</si>
  <si>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</si>
  <si>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</si>
  <si>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</si>
  <si>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</si>
  <si>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</si>
  <si>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</si>
  <si>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</si>
  <si>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</si>
  <si>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</si>
  <si>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</si>
  <si>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</si>
  <si>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</si>
  <si>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</si>
  <si>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</si>
  <si>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</si>
  <si>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</si>
  <si>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</si>
  <si>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</si>
  <si>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</si>
  <si>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</si>
  <si>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</si>
  <si>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</si>
  <si>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</si>
  <si>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</si>
  <si>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</si>
  <si>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</si>
  <si>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</si>
  <si>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</si>
  <si>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</si>
  <si>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</si>
  <si>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</si>
  <si>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</si>
  <si>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</si>
  <si>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</si>
  <si>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</si>
  <si>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</si>
  <si>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</si>
  <si>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</si>
  <si>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</si>
  <si>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</si>
  <si>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</si>
  <si>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</si>
  <si>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</si>
  <si>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</si>
  <si>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</si>
  <si>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</si>
  <si>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</si>
  <si>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</si>
  <si>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</si>
  <si>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</si>
  <si>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</si>
  <si>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</si>
  <si>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</si>
  <si>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</si>
  <si>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</si>
  <si>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</si>
  <si>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</si>
  <si>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</si>
  <si>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</si>
  <si>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</si>
  <si>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</si>
  <si>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</si>
  <si>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</si>
  <si>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</si>
  <si>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</si>
  <si>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</si>
  <si>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</si>
  <si>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</si>
  <si>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</si>
  <si>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</si>
  <si>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</si>
  <si>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</si>
  <si>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</si>
  <si>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</si>
  <si>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</si>
  <si>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</si>
  <si>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</si>
  <si>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</si>
  <si>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</si>
  <si>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</si>
  <si>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</si>
  <si>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</si>
  <si>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</si>
  <si>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</si>
  <si>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</si>
  <si>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</si>
  <si>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</si>
  <si>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</si>
  <si>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</si>
  <si>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</si>
  <si>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</si>
  <si>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</si>
  <si>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</si>
  <si>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</si>
  <si>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</si>
  <si>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</si>
  <si>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</si>
  <si>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</si>
  <si>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</si>
  <si>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</si>
  <si>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</si>
  <si>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</si>
  <si>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</si>
  <si>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</si>
  <si>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</si>
  <si>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</si>
  <si>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</si>
  <si>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</si>
  <si>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</si>
  <si>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</si>
  <si>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</si>
  <si>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</si>
  <si>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</si>
  <si>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</si>
  <si>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</si>
  <si>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</si>
  <si>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</si>
  <si>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</si>
  <si>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</si>
  <si>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</si>
  <si>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</si>
  <si>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</si>
  <si>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</si>
  <si>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</si>
  <si>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</si>
  <si>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</si>
  <si>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</si>
  <si>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</si>
  <si>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</si>
  <si>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</si>
  <si>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</si>
  <si>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</si>
  <si>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</si>
  <si>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</si>
  <si>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</si>
  <si>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</si>
  <si>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</si>
  <si>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</si>
  <si>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</si>
  <si>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</si>
  <si>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</si>
  <si>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</si>
  <si>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</si>
  <si>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</si>
  <si>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</si>
  <si>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</si>
  <si>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</si>
  <si>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</si>
  <si>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</si>
  <si>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</si>
  <si>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</si>
  <si>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</si>
  <si>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</si>
  <si>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</si>
  <si>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</si>
  <si>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</si>
  <si>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</si>
  <si>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</si>
  <si>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</si>
  <si>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</si>
  <si>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</si>
  <si>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</si>
  <si>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</si>
  <si>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</si>
  <si>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</si>
  <si>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</si>
  <si>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</si>
  <si>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</si>
  <si>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</si>
  <si>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</si>
  <si>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</si>
  <si>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</si>
  <si>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</si>
  <si>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</si>
  <si>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</si>
  <si>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</si>
  <si>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</si>
  <si>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</si>
  <si>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</si>
  <si>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</si>
  <si>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</si>
  <si>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</si>
  <si>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</si>
  <si>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</si>
  <si>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</si>
  <si>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</si>
  <si>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</si>
  <si>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</si>
  <si>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</si>
  <si>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</si>
  <si>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</si>
  <si>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</si>
  <si>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</si>
  <si>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</si>
  <si>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</si>
  <si>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</si>
  <si>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</si>
  <si>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</si>
  <si>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</si>
  <si>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</si>
  <si>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</si>
  <si>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</si>
  <si>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</si>
  <si>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</si>
  <si>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</si>
  <si>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</si>
  <si>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</si>
  <si>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</si>
  <si>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</si>
  <si>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</si>
  <si>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</si>
  <si>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</si>
  <si>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</si>
  <si>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</si>
  <si>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</si>
  <si>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</si>
  <si>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</si>
  <si>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</si>
  <si>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</si>
  <si>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</si>
  <si>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</si>
  <si>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</si>
  <si>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</si>
  <si>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</si>
  <si>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</si>
  <si>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</si>
  <si>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</si>
  <si>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</si>
  <si>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</si>
  <si>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</si>
  <si>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</si>
  <si>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</si>
  <si>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</si>
  <si>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</si>
  <si>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</si>
  <si>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</si>
  <si>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</si>
  <si>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</si>
  <si>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</si>
  <si>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</si>
  <si>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</si>
  <si>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</si>
  <si>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</si>
  <si>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</si>
  <si>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</si>
  <si>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</si>
  <si>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</si>
  <si>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</si>
  <si>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</si>
  <si>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</si>
  <si>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</si>
  <si>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</si>
  <si>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</si>
  <si>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</si>
  <si>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</si>
  <si>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</si>
  <si>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</si>
  <si>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</si>
  <si>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</si>
  <si>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</si>
  <si>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</si>
  <si>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</si>
  <si>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</si>
  <si>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</si>
  <si>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</si>
  <si>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</si>
  <si>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</si>
  <si>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</si>
  <si>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</si>
  <si>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</si>
  <si>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</si>
  <si>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</si>
  <si>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</si>
  <si>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</si>
  <si>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</si>
  <si>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</si>
  <si>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</si>
  <si>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</si>
  <si>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</si>
  <si>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</si>
  <si>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</si>
  <si>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</si>
  <si>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</si>
  <si>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</si>
  <si>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</si>
  <si>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</si>
  <si>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</si>
  <si>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</si>
  <si>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</si>
  <si>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</si>
  <si>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</si>
  <si>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</si>
  <si>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</si>
  <si>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</si>
  <si>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</si>
  <si>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</si>
  <si>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</si>
  <si>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</si>
  <si>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</si>
  <si>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</si>
  <si>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</si>
  <si>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</si>
  <si>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</si>
  <si>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</si>
  <si>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</si>
  <si>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</si>
  <si>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</si>
  <si>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</si>
  <si>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</si>
  <si>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</si>
  <si>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</si>
  <si>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</si>
  <si>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</si>
  <si>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</si>
  <si>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</si>
  <si>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</si>
  <si>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</si>
  <si>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</si>
  <si>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</si>
  <si>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</si>
  <si>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</si>
  <si>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</si>
  <si>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</si>
  <si>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</si>
  <si>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</si>
  <si>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</si>
  <si>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</si>
  <si>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</si>
  <si>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</si>
  <si>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</si>
  <si>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</si>
  <si>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</si>
  <si>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</si>
  <si>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</si>
  <si>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</si>
  <si>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</si>
  <si>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</si>
  <si>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</si>
  <si>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</si>
  <si>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</si>
  <si>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</si>
  <si>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</si>
  <si>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</si>
  <si>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</si>
  <si>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</si>
  <si>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</si>
  <si>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</si>
  <si>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</si>
  <si>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</si>
  <si>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</si>
  <si>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</si>
  <si>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</si>
  <si>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</si>
  <si>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</si>
  <si>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</si>
  <si>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</si>
  <si>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</si>
  <si>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</si>
  <si>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</si>
  <si>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</si>
  <si>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</si>
  <si>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</si>
  <si>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</si>
  <si>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</si>
  <si>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</si>
  <si>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</si>
  <si>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</si>
  <si>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</si>
  <si>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</si>
  <si>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</si>
  <si>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</si>
  <si>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</si>
  <si>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</si>
  <si>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</si>
  <si>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</si>
  <si>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</si>
  <si>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</si>
  <si>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</si>
  <si>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</si>
  <si>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</si>
  <si>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</si>
  <si>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</si>
  <si>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</si>
  <si>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</si>
  <si>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</si>
  <si>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</si>
  <si>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</si>
  <si>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</si>
  <si>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</si>
  <si>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</si>
  <si>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</si>
  <si>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</si>
  <si>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</si>
  <si>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</si>
  <si>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</si>
  <si>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</si>
  <si>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</si>
  <si>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</si>
  <si>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</si>
  <si>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</si>
  <si>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</si>
  <si>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</si>
  <si>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</si>
  <si>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</si>
  <si>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</si>
  <si>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</si>
  <si>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</si>
  <si>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</si>
  <si>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</si>
  <si>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</si>
  <si>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</si>
  <si>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</si>
  <si>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</si>
  <si>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</si>
  <si>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</si>
  <si>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</si>
  <si>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</si>
  <si>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</si>
  <si>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</si>
  <si>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</si>
  <si>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</si>
  <si>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</si>
  <si>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</si>
  <si>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</si>
  <si>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</si>
  <si>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</si>
  <si>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</si>
  <si>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</si>
  <si>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</si>
  <si>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</si>
  <si>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</si>
  <si>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</si>
  <si>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</si>
  <si>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</si>
  <si>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</si>
  <si>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</si>
  <si>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</si>
  <si>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</si>
  <si>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</si>
  <si>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</si>
  <si>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</si>
  <si>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</si>
  <si>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</si>
  <si>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</si>
  <si>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</si>
  <si>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</si>
  <si>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</si>
  <si>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</si>
  <si>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</si>
  <si>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</si>
  <si>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</si>
  <si>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</si>
  <si>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</si>
  <si>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</si>
  <si>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</si>
  <si>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</si>
  <si>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</si>
  <si>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</si>
  <si>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</si>
  <si>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</si>
  <si>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</si>
  <si>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</si>
  <si>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</si>
  <si>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</si>
  <si>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</si>
  <si>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</si>
  <si>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</si>
  <si>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</si>
  <si>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</si>
  <si>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</si>
  <si>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</si>
  <si>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</si>
  <si>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</si>
  <si>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</si>
  <si>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</si>
  <si>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</si>
  <si>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</si>
  <si>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</si>
  <si>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</si>
  <si>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</si>
  <si>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</si>
  <si>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</si>
  <si>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</si>
  <si>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</si>
  <si>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</si>
  <si>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</si>
  <si>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</si>
  <si>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</si>
  <si>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</si>
  <si>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</si>
  <si>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</si>
  <si>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</si>
  <si>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</si>
  <si>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</si>
  <si>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</si>
  <si>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</si>
  <si>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</si>
  <si>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</si>
  <si>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</si>
  <si>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</si>
  <si>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</si>
  <si>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</si>
  <si>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</si>
  <si>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</si>
  <si>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</si>
  <si>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</si>
  <si>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</si>
  <si>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</si>
  <si>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</si>
  <si>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</si>
  <si>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</si>
  <si>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</si>
  <si>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</si>
  <si>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</si>
  <si>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</si>
  <si>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</si>
  <si>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</si>
  <si>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</si>
  <si>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</si>
  <si>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</si>
  <si>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</si>
  <si>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</si>
  <si>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</si>
  <si>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</si>
  <si>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</si>
  <si>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</si>
  <si>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</si>
  <si>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</si>
  <si>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</si>
  <si>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</si>
  <si>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</si>
  <si>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</si>
  <si>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</si>
  <si>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</si>
  <si>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</si>
  <si>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</si>
  <si>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</si>
  <si>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</si>
  <si>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</si>
  <si>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</si>
  <si>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</si>
  <si>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</si>
  <si>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</si>
  <si>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</si>
  <si>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</si>
  <si>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</si>
  <si>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</si>
  <si>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</si>
  <si>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</si>
  <si>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</si>
  <si>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</si>
  <si>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</si>
  <si>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</si>
  <si>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</si>
  <si>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</si>
  <si>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</si>
  <si>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</si>
  <si>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</si>
  <si>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</si>
  <si>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</si>
  <si>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</si>
  <si>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</si>
  <si>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</si>
  <si>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</si>
  <si>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</si>
  <si>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</si>
  <si>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</si>
  <si>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</si>
  <si>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</si>
  <si>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</si>
  <si>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</si>
  <si>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</si>
  <si>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</si>
  <si>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</si>
  <si>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</si>
  <si>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</si>
  <si>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</si>
  <si>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</si>
  <si>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</si>
  <si>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</si>
  <si>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</si>
  <si>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</si>
  <si>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</si>
  <si>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</si>
  <si>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</si>
  <si>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</si>
  <si>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</si>
  <si>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</si>
  <si>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</si>
  <si>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</si>
  <si>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</si>
  <si>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</si>
  <si>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</si>
  <si>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</si>
  <si>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</si>
  <si>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</si>
  <si>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</si>
  <si>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</si>
  <si>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</si>
  <si>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</si>
  <si>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</si>
  <si>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</si>
  <si>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</si>
  <si>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</si>
  <si>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</si>
  <si>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</si>
  <si>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</si>
  <si>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</si>
  <si>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</si>
  <si>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</si>
  <si>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</si>
  <si>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</si>
  <si>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</si>
  <si>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</si>
  <si>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</si>
  <si>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</si>
  <si>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</si>
  <si>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</si>
  <si>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</si>
  <si>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</si>
  <si>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</si>
  <si>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</si>
  <si>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</si>
  <si>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</si>
  <si>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</si>
  <si>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</si>
  <si>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</si>
  <si>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</si>
  <si>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</si>
  <si>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</si>
  <si>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</si>
  <si>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</si>
  <si>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</si>
  <si>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</si>
  <si>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</si>
  <si>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</si>
  <si>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</si>
  <si>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</si>
  <si>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</si>
  <si>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</si>
  <si>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</si>
  <si>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</si>
  <si>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</si>
  <si>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</si>
  <si>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</si>
  <si>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</si>
  <si>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</si>
  <si>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</si>
  <si>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</si>
  <si>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</si>
  <si>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</si>
  <si>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</si>
  <si>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</si>
  <si>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</si>
  <si>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</si>
  <si>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</si>
  <si>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</si>
  <si>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</si>
  <si>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</si>
  <si>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</si>
  <si>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</si>
  <si>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</si>
  <si>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</si>
  <si>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</si>
  <si>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</si>
  <si>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</si>
  <si>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</si>
  <si>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</si>
  <si>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</si>
  <si>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</si>
  <si>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</si>
  <si>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</si>
  <si>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</si>
  <si>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</si>
  <si>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</si>
  <si>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</si>
  <si>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</si>
  <si>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</si>
  <si>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</si>
  <si>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</si>
  <si>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</si>
  <si>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</si>
  <si>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</si>
  <si>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</si>
  <si>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</si>
  <si>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</si>
  <si>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</si>
  <si>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</si>
  <si>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</si>
  <si>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</si>
  <si>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</si>
  <si>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</si>
  <si>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</si>
  <si>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</si>
  <si>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</si>
  <si>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</si>
  <si>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</si>
  <si>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</si>
  <si>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</si>
  <si>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</si>
  <si>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</si>
  <si>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</si>
  <si>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</si>
  <si>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</si>
  <si>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</si>
  <si>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</si>
  <si>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</si>
  <si>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</si>
  <si>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</si>
  <si>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</si>
  <si>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</si>
  <si>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</si>
  <si>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</si>
  <si>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</si>
  <si>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</si>
  <si>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</si>
  <si>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</si>
  <si>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</si>
  <si>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</si>
  <si>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</si>
  <si>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</si>
  <si>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</si>
  <si>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</si>
  <si>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</si>
  <si>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</si>
  <si>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</si>
  <si>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</si>
  <si>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</si>
  <si>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</si>
  <si>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</si>
  <si>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</si>
  <si>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</si>
  <si>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</si>
  <si>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</si>
  <si>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</si>
  <si>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</si>
  <si>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</si>
  <si>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</si>
  <si>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</si>
  <si>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</si>
  <si>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</si>
  <si>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</si>
  <si>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</si>
  <si>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</si>
  <si>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</si>
  <si>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</si>
  <si>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</si>
  <si>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</si>
  <si>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</si>
  <si>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</si>
  <si>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</si>
  <si>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</si>
  <si>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</si>
  <si>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</si>
  <si>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</si>
  <si>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</si>
  <si>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</si>
  <si>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</si>
  <si>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</si>
  <si>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</si>
  <si>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</si>
  <si>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</si>
  <si>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</si>
  <si>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</si>
  <si>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</si>
  <si>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</si>
  <si>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</si>
  <si>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</si>
  <si>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</si>
  <si>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</si>
  <si>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</si>
  <si>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</si>
  <si>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</si>
  <si>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</si>
  <si>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</si>
  <si>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</si>
  <si>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</si>
  <si>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</si>
  <si>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</si>
  <si>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</si>
  <si>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</si>
  <si>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</si>
  <si>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</si>
  <si>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</si>
  <si>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</si>
  <si>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</si>
  <si>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</si>
  <si>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</si>
  <si>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</si>
  <si>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</si>
  <si>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</si>
  <si>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</si>
  <si>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</si>
  <si>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</si>
  <si>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</si>
  <si>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</si>
  <si>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</si>
  <si>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</si>
  <si>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</si>
  <si>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</si>
  <si>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</si>
  <si>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</si>
  <si>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</si>
  <si>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</si>
  <si>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</si>
  <si>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</si>
  <si>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</si>
  <si>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</si>
  <si>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</si>
  <si>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</si>
  <si>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</si>
  <si>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</si>
  <si>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</si>
  <si>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</si>
  <si>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</si>
  <si>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</si>
  <si>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</si>
  <si>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</si>
  <si>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</si>
  <si>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</si>
  <si>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</si>
  <si>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</si>
  <si>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</si>
  <si>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</si>
  <si>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</si>
  <si>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</si>
  <si>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</si>
  <si>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</si>
  <si>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</si>
  <si>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</si>
  <si>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</si>
  <si>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</si>
  <si>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</si>
  <si>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</si>
  <si>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</si>
  <si>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</si>
  <si>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</si>
  <si>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</si>
  <si>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</si>
  <si>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</si>
  <si>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</si>
  <si>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</si>
  <si>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</si>
  <si>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</si>
  <si>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</si>
  <si>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</si>
  <si>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</si>
  <si>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</si>
  <si>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</si>
  <si>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</si>
  <si>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</si>
  <si>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</si>
  <si>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</si>
  <si>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</si>
  <si>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</si>
  <si>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</si>
  <si>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</si>
  <si>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</si>
  <si>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</si>
  <si>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</si>
  <si>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</si>
  <si>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</si>
  <si>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</si>
  <si>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</si>
  <si>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</si>
  <si>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</si>
  <si>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</si>
  <si>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</si>
  <si>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</si>
  <si>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</si>
  <si>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</si>
  <si>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</si>
  <si>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</si>
  <si>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</si>
  <si>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</si>
  <si>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</si>
  <si>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</si>
  <si>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</si>
  <si>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</si>
  <si>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</si>
  <si>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</si>
  <si>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</si>
  <si>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</si>
  <si>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</si>
  <si>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</si>
  <si>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</si>
  <si>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</si>
  <si>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</si>
  <si>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</si>
  <si>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</si>
  <si>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</si>
  <si>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</si>
  <si>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</si>
  <si>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</si>
  <si>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</si>
  <si>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</si>
  <si>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</si>
  <si>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</si>
  <si>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</si>
  <si>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</si>
  <si>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</si>
  <si>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</si>
  <si>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</si>
  <si>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</si>
  <si>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</si>
  <si>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</si>
  <si>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</si>
  <si>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</si>
  <si>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</si>
  <si>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</si>
  <si>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</si>
  <si>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</si>
  <si>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</si>
  <si>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</si>
  <si>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</si>
  <si>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</si>
  <si>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</si>
  <si>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</si>
  <si>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</si>
  <si>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</si>
  <si>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</si>
  <si>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</si>
  <si>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</si>
  <si>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</si>
  <si>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</si>
  <si>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</si>
  <si>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</si>
  <si>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</si>
  <si>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</si>
  <si>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</si>
  <si>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</si>
  <si>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</si>
  <si>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</si>
  <si>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</si>
  <si>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</si>
  <si>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</si>
  <si>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</si>
  <si>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</si>
  <si>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</si>
  <si>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</si>
  <si>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</si>
  <si>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</si>
  <si>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</si>
  <si>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</si>
  <si>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</si>
  <si>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</si>
  <si>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</si>
  <si>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</si>
  <si>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</si>
  <si>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</si>
  <si>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</si>
  <si>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</si>
  <si>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</si>
  <si>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</si>
  <si>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</si>
  <si>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</si>
  <si>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</si>
  <si>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</si>
  <si>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</si>
  <si>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</si>
  <si>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</si>
  <si>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</si>
  <si>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</si>
  <si>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</si>
  <si>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</si>
  <si>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</si>
  <si>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</si>
  <si>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</si>
  <si>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</si>
  <si>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</si>
  <si>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</si>
  <si>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</si>
  <si>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</si>
  <si>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</si>
  <si>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</si>
  <si>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</si>
  <si>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</si>
  <si>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</si>
  <si>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</si>
  <si>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</si>
  <si>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</si>
  <si>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</si>
  <si>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</si>
  <si>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</si>
  <si>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</si>
  <si>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</si>
  <si>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</si>
  <si>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</si>
  <si>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</si>
  <si>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</si>
  <si>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</si>
  <si>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</si>
  <si>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</si>
  <si>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</si>
  <si>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</si>
  <si>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</si>
  <si>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</si>
  <si>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</si>
  <si>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</si>
  <si>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</si>
  <si>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</si>
  <si>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</si>
  <si>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</si>
  <si>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</si>
  <si>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</si>
  <si>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</si>
  <si>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</si>
  <si>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</si>
  <si>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</si>
  <si>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</si>
  <si>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</si>
  <si>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</si>
  <si>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</si>
  <si>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</si>
  <si>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9. Messi</t>
  </si>
  <si>
    <t>8. Switzerland</t>
  </si>
  <si>
    <t>10. Yes</t>
  </si>
  <si>
    <t>7. Saudi Arabia</t>
  </si>
  <si>
    <t>6. Argentina</t>
  </si>
  <si>
    <t>5. Messi</t>
  </si>
  <si>
    <t>3. Argentina</t>
  </si>
  <si>
    <t>2. Serbia</t>
  </si>
  <si>
    <t>1. Messi</t>
  </si>
  <si>
    <t>4. 1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</si>
</sst>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49" fontId="0" fillId="12" borderId="0" xfId="0" applyNumberFormat="1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">
      <c r="A103" s="1"/>
    </row>
    <row r="104" spans="1:42" x14ac:dyDescent="0.2">
      <c r="A104" s="1"/>
    </row>
    <row r="105" spans="1:42" x14ac:dyDescent="0.2">
      <c r="A105" s="1"/>
    </row>
    <row r="106" spans="1:42" x14ac:dyDescent="0.2">
      <c r="A106" s="1"/>
    </row>
    <row r="107" spans="1:42" x14ac:dyDescent="0.2">
      <c r="A107" s="1"/>
    </row>
    <row r="108" spans="1:42" x14ac:dyDescent="0.2">
      <c r="A108" s="1"/>
    </row>
    <row r="109" spans="1:42" x14ac:dyDescent="0.2">
      <c r="A109" s="1"/>
    </row>
    <row r="110" spans="1:42" x14ac:dyDescent="0.2">
      <c r="A110" s="1"/>
    </row>
    <row r="111" spans="1:42" x14ac:dyDescent="0.2">
      <c r="A111" s="1"/>
    </row>
    <row r="112" spans="1:42" x14ac:dyDescent="0.2">
      <c r="A112" s="1"/>
    </row>
    <row r="113" spans="1:42" x14ac:dyDescent="0.2">
      <c r="A113" s="1"/>
    </row>
    <row r="114" spans="1:42" x14ac:dyDescent="0.2">
      <c r="A114" s="1"/>
    </row>
    <row r="115" spans="1:42" x14ac:dyDescent="0.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topLeftCell="A10" workbookViewId="0">
      <selection activeCell="G21" sqref="G21"/>
    </sheetView>
  </sheetViews>
  <sheetFormatPr baseColWidth="10" defaultColWidth="9.1640625" defaultRowHeight="15" x14ac:dyDescent="0.2"/>
  <cols>
    <col min="1" max="1" width="1.1640625" style="10" customWidth="1"/>
    <col min="2" max="2" width="18.83203125" style="10" bestFit="1" customWidth="1"/>
    <col min="3" max="3" width="20.33203125" style="10" customWidth="1"/>
    <col min="4" max="4" width="9.1640625" style="10"/>
    <col min="5" max="5" width="1.1640625" style="10" customWidth="1"/>
    <col min="6" max="6" width="9.1640625" style="10"/>
    <col min="7" max="7" width="27.5" style="10" bestFit="1" customWidth="1"/>
    <col min="8" max="8" width="2.6640625" style="10" customWidth="1"/>
    <col min="9" max="9" width="1.1640625" style="10" customWidth="1"/>
    <col min="10" max="16384" width="9.1640625" style="10"/>
  </cols>
  <sheetData>
    <row r="1" spans="2:12" ht="7.5" customHeight="1" x14ac:dyDescent="0.2"/>
    <row r="2" spans="2:12" ht="17" thickBot="1" x14ac:dyDescent="0.2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">
      <c r="B3" s="64"/>
      <c r="C3" s="65"/>
      <c r="D3" s="66"/>
      <c r="F3" s="64"/>
      <c r="G3" s="65"/>
      <c r="H3" s="66"/>
    </row>
    <row r="4" spans="2:12" x14ac:dyDescent="0.2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">
      <c r="B11" s="64"/>
      <c r="C11" s="65"/>
      <c r="D11" s="66"/>
      <c r="F11" s="73"/>
      <c r="G11" s="74"/>
      <c r="H11" s="75"/>
    </row>
    <row r="12" spans="2:12" x14ac:dyDescent="0.2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">
      <c r="F14" s="83"/>
      <c r="G14" s="83"/>
      <c r="H14" s="83"/>
      <c r="I14" s="83"/>
      <c r="J14" s="83"/>
      <c r="K14" s="99"/>
      <c r="L14" s="99"/>
    </row>
    <row r="15" spans="2:12" ht="9" customHeight="1" x14ac:dyDescent="0.2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7" thickBot="1" x14ac:dyDescent="0.2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C14" zoomScaleNormal="100" workbookViewId="0">
      <selection activeCell="BX16" sqref="BX16"/>
    </sheetView>
  </sheetViews>
  <sheetFormatPr baseColWidth="10" defaultColWidth="9.1640625" defaultRowHeight="15" x14ac:dyDescent="0.2"/>
  <cols>
    <col min="1" max="1" width="4.83203125" style="3" customWidth="1"/>
    <col min="2" max="2" width="6.1640625" style="3" customWidth="1"/>
    <col min="3" max="3" width="11.6640625" style="3" bestFit="1" customWidth="1"/>
    <col min="4" max="4" width="7.33203125" style="4" customWidth="1"/>
    <col min="5" max="5" width="22.5" style="5" customWidth="1"/>
    <col min="6" max="7" width="4.33203125" style="6" customWidth="1"/>
    <col min="8" max="8" width="22.5" style="7" customWidth="1"/>
    <col min="9" max="9" width="3.5" style="2" customWidth="1"/>
    <col min="10" max="10" width="14" style="8" customWidth="1"/>
    <col min="11" max="14" width="5.5" style="9" customWidth="1"/>
    <col min="15" max="15" width="7.6640625" style="9" customWidth="1"/>
    <col min="16" max="16" width="6.6640625" style="9" customWidth="1"/>
    <col min="17" max="17" width="3.5" style="98" customWidth="1"/>
    <col min="18" max="18" width="15.5" style="47" hidden="1" customWidth="1"/>
    <col min="19" max="20" width="16" style="88" hidden="1" customWidth="1"/>
    <col min="21" max="21" width="5" style="48" hidden="1" customWidth="1"/>
    <col min="22" max="25" width="6.1640625" style="47" hidden="1" customWidth="1"/>
    <col min="26" max="26" width="4.33203125" style="48" hidden="1" customWidth="1"/>
    <col min="27" max="27" width="5.5" style="47" hidden="1" customWidth="1"/>
    <col min="28" max="28" width="13.5" style="48" hidden="1" customWidth="1"/>
    <col min="29" max="33" width="5.5" style="47" hidden="1" customWidth="1"/>
    <col min="34" max="36" width="6" style="47" hidden="1" customWidth="1"/>
    <col min="37" max="37" width="5.5" style="47" hidden="1" customWidth="1"/>
    <col min="38" max="38" width="6" style="47" hidden="1" customWidth="1"/>
    <col min="39" max="39" width="7.1640625" style="48" hidden="1" customWidth="1"/>
    <col min="40" max="40" width="10" style="48" hidden="1" customWidth="1"/>
    <col min="41" max="41" width="15.33203125" style="48" hidden="1" customWidth="1"/>
    <col min="42" max="46" width="4.6640625" style="47" hidden="1" customWidth="1"/>
    <col min="47" max="49" width="9.1640625" style="48" hidden="1" customWidth="1"/>
    <col min="50" max="50" width="9.1640625" style="49" hidden="1" customWidth="1"/>
    <col min="51" max="51" width="3.33203125" style="2" customWidth="1"/>
    <col min="52" max="52" width="19.6640625" style="2" customWidth="1"/>
    <col min="53" max="55" width="3" style="2" customWidth="1"/>
    <col min="56" max="57" width="2" style="2" customWidth="1"/>
    <col min="58" max="58" width="3.33203125" style="2" customWidth="1"/>
    <col min="59" max="59" width="19.6640625" style="2" customWidth="1"/>
    <col min="60" max="62" width="3" style="2" customWidth="1"/>
    <col min="63" max="64" width="2" style="2" customWidth="1"/>
    <col min="65" max="65" width="3.33203125" style="2" customWidth="1"/>
    <col min="66" max="66" width="19.6640625" style="2" customWidth="1"/>
    <col min="67" max="69" width="3" style="2" customWidth="1"/>
    <col min="70" max="71" width="2" style="2" customWidth="1"/>
    <col min="72" max="72" width="3.33203125" style="2" customWidth="1"/>
    <col min="73" max="73" width="19.6640625" style="2" customWidth="1"/>
    <col min="74" max="76" width="3" style="2" customWidth="1"/>
    <col min="77" max="16384" width="9.1640625" style="2"/>
  </cols>
  <sheetData>
    <row r="1" spans="1:76" ht="47" x14ac:dyDescent="0.2">
      <c r="A1" s="111" t="str">
        <f>INDEX(T,2,lang)</f>
        <v>2022 World Cup Final Tournament Schedule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2" t="str">
        <f>"Language: " &amp; Settings!C4</f>
        <v>Language: English</v>
      </c>
      <c r="P3" s="11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"/>
    <row r="5" spans="1:76" ht="15" customHeight="1" x14ac:dyDescent="0.2">
      <c r="A5" s="113" t="str">
        <f>INDEX(T,3,lang)</f>
        <v>Group Stage</v>
      </c>
      <c r="B5" s="114"/>
      <c r="C5" s="114"/>
      <c r="D5" s="114"/>
      <c r="E5" s="114"/>
      <c r="F5" s="114"/>
      <c r="G5" s="114"/>
      <c r="H5" s="115"/>
      <c r="J5" s="119" t="s">
        <v>2006</v>
      </c>
      <c r="K5" s="120"/>
      <c r="L5" s="120"/>
      <c r="M5" s="120"/>
      <c r="N5" s="120"/>
      <c r="O5" s="120"/>
      <c r="P5" s="121"/>
    </row>
    <row r="6" spans="1:76" ht="15" customHeight="1" x14ac:dyDescent="0.2">
      <c r="A6" s="116"/>
      <c r="B6" s="117"/>
      <c r="C6" s="117"/>
      <c r="D6" s="117"/>
      <c r="E6" s="117"/>
      <c r="F6" s="117"/>
      <c r="G6" s="117"/>
      <c r="H6" s="118"/>
      <c r="J6" s="122"/>
      <c r="K6" s="123"/>
      <c r="L6" s="123"/>
      <c r="M6" s="123"/>
      <c r="N6" s="123"/>
      <c r="O6" s="123"/>
      <c r="P6" s="12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5" t="str">
        <f>INDEX(T,4,lang)</f>
        <v>Round of 16</v>
      </c>
      <c r="AZ6" s="106"/>
      <c r="BA6" s="106"/>
      <c r="BB6" s="106"/>
      <c r="BC6" s="107"/>
      <c r="BF6" s="105" t="str">
        <f>INDEX(T,5,lang)</f>
        <v>Quarterfinals</v>
      </c>
      <c r="BG6" s="106"/>
      <c r="BH6" s="106"/>
      <c r="BI6" s="106"/>
      <c r="BJ6" s="107"/>
      <c r="BM6" s="105" t="str">
        <f>INDEX(T,6,lang)</f>
        <v>Semi-Finals</v>
      </c>
      <c r="BN6" s="106"/>
      <c r="BO6" s="106"/>
      <c r="BP6" s="106"/>
      <c r="BQ6" s="107"/>
      <c r="BT6" s="105" t="str">
        <f>INDEX(T,8,lang)</f>
        <v>Final</v>
      </c>
      <c r="BU6" s="106"/>
      <c r="BV6" s="106"/>
      <c r="BW6" s="106"/>
      <c r="BX6" s="107"/>
    </row>
    <row r="7" spans="1:76" ht="15" customHeight="1" x14ac:dyDescent="0.2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2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8"/>
      <c r="AZ7" s="109"/>
      <c r="BA7" s="109"/>
      <c r="BB7" s="109"/>
      <c r="BC7" s="110"/>
      <c r="BF7" s="108"/>
      <c r="BG7" s="109"/>
      <c r="BH7" s="109"/>
      <c r="BI7" s="109"/>
      <c r="BJ7" s="110"/>
      <c r="BM7" s="108"/>
      <c r="BN7" s="109"/>
      <c r="BO7" s="109"/>
      <c r="BP7" s="109"/>
      <c r="BQ7" s="110"/>
      <c r="BT7" s="108"/>
      <c r="BU7" s="109"/>
      <c r="BV7" s="109"/>
      <c r="BW7" s="109"/>
      <c r="BX7" s="110"/>
    </row>
    <row r="8" spans="1:76" ht="15" customHeight="1" x14ac:dyDescent="0.2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3</v>
      </c>
      <c r="AG8" s="47">
        <f>SUMIF($E$7:$E$54,$AB8,$G$7:$G$54) + SUMIF($H$7:$H$54,$AB8,$F$7:$F$54)</f>
        <v>4</v>
      </c>
      <c r="AH8" s="47">
        <f>(AF8-AG8)*100+AK8*10000+AF8</f>
        <v>39903</v>
      </c>
      <c r="AI8" s="47">
        <f>AF8-AG8</f>
        <v>-1</v>
      </c>
      <c r="AJ8" s="47">
        <f>(AI8-AI13)/AI12</f>
        <v>0.25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475.44523652444445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1</v>
      </c>
      <c r="AE9" s="47">
        <f>COUNTIF($S$7:$T$54,"=" &amp; AB9 &amp; "_lose")</f>
        <v>2</v>
      </c>
      <c r="AF9" s="47">
        <f>SUMIF($E$7:$E$54,$AB9,$F$7:$F$54) + SUMIF($H$7:$H$54,$AB9,$G$7:$G$54)</f>
        <v>3</v>
      </c>
      <c r="AG9" s="47">
        <f>SUMIF($E$7:$E$54,$AB9,$G$7:$G$54) + SUMIF($H$7:$H$54,$AB9,$F$7:$F$54)</f>
        <v>7</v>
      </c>
      <c r="AH9" s="47">
        <f>(AF9-AG9)*100+AK9*10000+AF9</f>
        <v>9603</v>
      </c>
      <c r="AI9" s="47">
        <f>AF9-AG9</f>
        <v>-4</v>
      </c>
      <c r="AJ9" s="47">
        <f>(AI9-AI13)/AI12</f>
        <v>0</v>
      </c>
      <c r="AK9" s="47">
        <f>AC9*3+AD9</f>
        <v>1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117.11183161111111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3 - 4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2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5</v>
      </c>
      <c r="AH10" s="47">
        <f>(AF10-AG10)*100+AK10*10000+AF10</f>
        <v>19803</v>
      </c>
      <c r="AI10" s="47">
        <f>AF10-AG10</f>
        <v>-2</v>
      </c>
      <c r="AJ10" s="47">
        <f>(AI10-AI13)/AI12</f>
        <v>0.16666666666666666</v>
      </c>
      <c r="AK10" s="47">
        <f>AC10*3+AD10</f>
        <v>2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244.8896153888889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5">
        <v>49</v>
      </c>
      <c r="AZ10" s="26" t="str">
        <f>AO8</f>
        <v>Netherlands</v>
      </c>
      <c r="BA10" s="84">
        <v>3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0</v>
      </c>
      <c r="M11" s="25">
        <f>VLOOKUP(3,AA8:AK11,4,FALSE)</f>
        <v>2</v>
      </c>
      <c r="N11" s="25">
        <f>VLOOKUP(3,AA8:AK11,5,FALSE)</f>
        <v>1</v>
      </c>
      <c r="O11" s="25" t="str">
        <f>VLOOKUP(3,AA8:AK11,6,FALSE) &amp; " - " &amp; VLOOKUP(3,AA8:AK11,7,FALSE)</f>
        <v>3 - 5</v>
      </c>
      <c r="P11" s="54">
        <f>L11*3+M11</f>
        <v>2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0</v>
      </c>
      <c r="AH11" s="47">
        <f>(AF11-AG11)*100+AK11*10000+AF11</f>
        <v>90707</v>
      </c>
      <c r="AI11" s="47">
        <f>AF11-AG11</f>
        <v>7</v>
      </c>
      <c r="AJ11" s="47">
        <f>(AI11-AI13)/AI12</f>
        <v>0.91666666666666663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1105.6674959966667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6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3 - 7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3</v>
      </c>
      <c r="AE12" s="47">
        <f t="shared" si="10"/>
        <v>3</v>
      </c>
      <c r="AF12" s="47">
        <f t="shared" si="10"/>
        <v>5</v>
      </c>
      <c r="AG12" s="47">
        <f t="shared" si="10"/>
        <v>8</v>
      </c>
      <c r="AH12" s="47">
        <f>MAX(AH8:AH11)-AH13+1</f>
        <v>81105</v>
      </c>
      <c r="AI12" s="47">
        <f>MAX(AI8:AI11)-AI13+1</f>
        <v>12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5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0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9603</v>
      </c>
      <c r="AI13" s="47">
        <f>MIN(AI8:AI11)</f>
        <v>-4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6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7</v>
      </c>
      <c r="AG14" s="47">
        <f>SUMIF($E$7:$E$54,$AB14,$G$7:$G$54) + SUMIF($H$7:$H$54,$AB14,$F$7:$F$54)</f>
        <v>2</v>
      </c>
      <c r="AH14" s="47">
        <f>(AF14-AG14)*100+AK14*10000+AF14</f>
        <v>90507</v>
      </c>
      <c r="AI14" s="47">
        <f>AF14-AG14</f>
        <v>5</v>
      </c>
      <c r="AJ14" s="47">
        <f>(AI14-AI19)/AI18</f>
        <v>0.88888888888888884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1100.5564365555556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5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7 - 2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5</v>
      </c>
      <c r="AH15" s="47">
        <f>(AF15-AG15)*100+AK15*10000+AF15</f>
        <v>9702</v>
      </c>
      <c r="AI15" s="47">
        <f>AF15-AG15</f>
        <v>-3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114.44522644444444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6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1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4 - 5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Germany_draw</v>
      </c>
      <c r="T16" s="88" t="str">
        <f t="shared" si="4"/>
        <v>Japan_draw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0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5</v>
      </c>
      <c r="AH16" s="47">
        <f>(AF16-AG16)*100+AK16*10000+AF16</f>
        <v>39904</v>
      </c>
      <c r="AI16" s="47">
        <f>AF16-AG16</f>
        <v>-1</v>
      </c>
      <c r="AJ16" s="47">
        <f>(AI16-AI19)/AI18</f>
        <v>0.22222222222222221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473.33415019333336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5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3 - 4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2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4</v>
      </c>
      <c r="AH17" s="47">
        <f>(AF17-AG17)*100+AK17*10000+AF17</f>
        <v>19903</v>
      </c>
      <c r="AI17" s="47">
        <f>AF17-AG17</f>
        <v>-1</v>
      </c>
      <c r="AJ17" s="47">
        <f>(AI17-AI19)/AI18</f>
        <v>0.22222222222222221</v>
      </c>
      <c r="AK17" s="47">
        <f>AC17*3+AD17</f>
        <v>2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249.44523550944444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6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2 - 5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3</v>
      </c>
      <c r="AF18" s="47">
        <f t="shared" si="11"/>
        <v>6</v>
      </c>
      <c r="AG18" s="47">
        <f t="shared" si="11"/>
        <v>4</v>
      </c>
      <c r="AH18" s="47">
        <f>MAX(AH14:AH17)-AH19+1</f>
        <v>80806</v>
      </c>
      <c r="AI18" s="47">
        <f>MAX(AI14:AI17)-AI19+1</f>
        <v>9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5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9702</v>
      </c>
      <c r="AI19" s="47">
        <f>MIN(AI14:AI17)</f>
        <v>-3</v>
      </c>
      <c r="AY19" s="126"/>
      <c r="AZ19" s="28" t="str">
        <f>AO39</f>
        <v>Belgium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10</v>
      </c>
      <c r="AG20" s="47">
        <f>SUMIF($E$7:$E$54,$AB20,$G$7:$G$54) + SUMIF($H$7:$H$54,$AB20,$F$7:$F$54)</f>
        <v>1</v>
      </c>
      <c r="AH20" s="47">
        <f>(AF20-AG20)*100+AK20*10000+AF20</f>
        <v>90910</v>
      </c>
      <c r="AI20" s="47">
        <f>AF20-AG20</f>
        <v>9</v>
      </c>
      <c r="AJ20" s="47">
        <f>(AI20-AI25)/AI24</f>
        <v>0.94444444444444442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1003.5362360353536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5">
        <v>58</v>
      </c>
      <c r="BG20" s="26" t="str">
        <f>T62</f>
        <v>Spain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10 - 1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8</v>
      </c>
      <c r="AH21" s="47">
        <f>(AF21-AG21)*100+AK21*10000+AF21</f>
        <v>-800</v>
      </c>
      <c r="AI21" s="47">
        <f>AF21-AG21</f>
        <v>-8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6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1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5 - 3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3</v>
      </c>
      <c r="AH22" s="47">
        <f>(AF22-AG22)*100+AK22*10000+AF22</f>
        <v>60205</v>
      </c>
      <c r="AI22" s="47">
        <f>AF22-AG22</f>
        <v>2</v>
      </c>
      <c r="AJ22" s="47">
        <f>(AI22-AI25)/AI24</f>
        <v>0.55555555555555558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660.1018395110101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5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2 - 5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2</v>
      </c>
      <c r="AG23" s="47">
        <f>SUMIF($E$7:$E$54,$AB23,$G$7:$G$54) + SUMIF($H$7:$H$54,$AB23,$F$7:$F$54)</f>
        <v>5</v>
      </c>
      <c r="AH23" s="47">
        <f>(AF23-AG23)*100+AK23*10000+AF23</f>
        <v>29702</v>
      </c>
      <c r="AI23" s="47">
        <f>AF23-AG23</f>
        <v>-3</v>
      </c>
      <c r="AJ23" s="47">
        <f>(AI23-AI25)/AI24</f>
        <v>0.27777777777777779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329.59673159595957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6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5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2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0 - 8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11</v>
      </c>
      <c r="AG24" s="47">
        <f t="shared" si="12"/>
        <v>8</v>
      </c>
      <c r="AH24" s="47">
        <f>MAX(AH20:AH23)-AH25+1</f>
        <v>91711</v>
      </c>
      <c r="AI24" s="47">
        <f>MAX(AI20:AI23)-AI25+1</f>
        <v>18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6"/>
      <c r="BU24" s="28" t="str">
        <f>T77</f>
        <v>Germany</v>
      </c>
      <c r="BV24" s="85">
        <v>0</v>
      </c>
      <c r="BW24" s="87"/>
      <c r="BX24" s="30"/>
    </row>
    <row r="25" spans="1:76" ht="15" customHeight="1" x14ac:dyDescent="0.2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-800</v>
      </c>
      <c r="AI25" s="47">
        <f>MIN(AI20:AI23)</f>
        <v>-8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1</v>
      </c>
      <c r="AH26" s="47">
        <f>(AF26-AG26)*100+AK26*10000+AF26</f>
        <v>90708</v>
      </c>
      <c r="AI26" s="47">
        <f>AF26-AG26</f>
        <v>7</v>
      </c>
      <c r="AJ26" s="47">
        <f>(AI26-AI31)/AI30</f>
        <v>0.92307692307692313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1102.3085873076923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5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8 - 1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6</v>
      </c>
      <c r="AH27" s="47">
        <f>(AF27-AG27)*100+AK27*10000+AF27</f>
        <v>9501</v>
      </c>
      <c r="AI27" s="47">
        <f>AF27-AG27</f>
        <v>-5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112.36185297611111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6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5 - 3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3</v>
      </c>
      <c r="AH28" s="47">
        <f>(AF28-AG28)*100+AK28*10000+AF28</f>
        <v>60205</v>
      </c>
      <c r="AI28" s="47">
        <f>AF28-AG28</f>
        <v>2</v>
      </c>
      <c r="AJ28" s="47">
        <f>(AI28-AI31)/AI30</f>
        <v>0.53846153846153844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726.76364731282047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5">
        <v>59</v>
      </c>
      <c r="BG28" s="26" t="str">
        <f>T60</f>
        <v>England</v>
      </c>
      <c r="BH28" s="84">
        <v>1</v>
      </c>
      <c r="BI28" s="86">
        <v>1</v>
      </c>
      <c r="BJ28" s="27">
        <v>4</v>
      </c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2 - 6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2</v>
      </c>
      <c r="AG29" s="47">
        <f>SUMIF($E$7:$E$54,$AB29,$G$7:$G$54) + SUMIF($H$7:$H$54,$AB29,$F$7:$F$54)</f>
        <v>6</v>
      </c>
      <c r="AH29" s="47">
        <f>(AF29-AG29)*100+AK29*10000+AF29</f>
        <v>9602</v>
      </c>
      <c r="AI29" s="47">
        <f>AF29-AG29</f>
        <v>-4</v>
      </c>
      <c r="AJ29" s="47">
        <f>(AI29-AI31)/AI30</f>
        <v>7.6923076923076927E-2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121.30416870341881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6"/>
      <c r="BG29" s="28" t="str">
        <f>T61</f>
        <v>Mexico</v>
      </c>
      <c r="BH29" s="85">
        <v>1</v>
      </c>
      <c r="BI29" s="87">
        <v>1</v>
      </c>
      <c r="BJ29" s="30">
        <v>5</v>
      </c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8</v>
      </c>
      <c r="AG30" s="47">
        <f t="shared" si="13"/>
        <v>6</v>
      </c>
      <c r="AH30" s="47">
        <f>MAX(AH26:AH29)-AH31+1</f>
        <v>81208</v>
      </c>
      <c r="AI30" s="47">
        <f>MAX(AI26:AI29)-AI31+1</f>
        <v>13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5">
        <v>52</v>
      </c>
      <c r="AZ30" s="26" t="str">
        <f>AO26</f>
        <v>France</v>
      </c>
      <c r="BA30" s="84">
        <v>1</v>
      </c>
      <c r="BB30" s="86">
        <v>1</v>
      </c>
      <c r="BC30" s="27">
        <v>4</v>
      </c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9501</v>
      </c>
      <c r="AI31" s="47">
        <f>MIN(AI26:AI29)</f>
        <v>-5</v>
      </c>
      <c r="AY31" s="126"/>
      <c r="AZ31" s="28" t="str">
        <f>AO21</f>
        <v>Mexico</v>
      </c>
      <c r="BA31" s="85">
        <v>1</v>
      </c>
      <c r="BB31" s="87">
        <v>1</v>
      </c>
      <c r="BC31" s="30">
        <v>5</v>
      </c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7" t="str">
        <f>INDEX(T,7,lang)</f>
        <v>Third-Place Play-Off</v>
      </c>
      <c r="BU31" s="128"/>
      <c r="BV31" s="128"/>
      <c r="BW31" s="128"/>
      <c r="BX31" s="129"/>
    </row>
    <row r="32" spans="1:76" ht="15" customHeight="1" x14ac:dyDescent="0.2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3</v>
      </c>
      <c r="AH32" s="47">
        <f>(AF32-AG32)*100+AK32*10000+AF32</f>
        <v>70407</v>
      </c>
      <c r="AI32" s="47">
        <f>AF32-AG32</f>
        <v>4</v>
      </c>
      <c r="AJ32" s="47">
        <f>(AI32-AI37)/AI36</f>
        <v>0.91666666666666663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975.41752116666657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5">
        <v>62</v>
      </c>
      <c r="BN32" s="26" t="str">
        <f>T71</f>
        <v>Mexico</v>
      </c>
      <c r="BO32" s="84">
        <v>0</v>
      </c>
      <c r="BP32" s="86"/>
      <c r="BQ32" s="27"/>
      <c r="BR32" s="35"/>
      <c r="BS32" s="23"/>
      <c r="BT32" s="130"/>
      <c r="BU32" s="131"/>
      <c r="BV32" s="131"/>
      <c r="BW32" s="131"/>
      <c r="BX32" s="132"/>
    </row>
    <row r="33" spans="1:76" ht="15" customHeight="1" x14ac:dyDescent="0.2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7 - 3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7</v>
      </c>
      <c r="AH33" s="47">
        <f>(AF33-AG33)*100+AK33*10000+AF33</f>
        <v>-700</v>
      </c>
      <c r="AI33" s="47">
        <f>AF33-AG33</f>
        <v>-7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6"/>
      <c r="BN33" s="28" t="str">
        <f>T72</f>
        <v>Germany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1</v>
      </c>
      <c r="M34" s="25">
        <f>VLOOKUP(2,AA32:AK35,4,FALSE)</f>
        <v>2</v>
      </c>
      <c r="N34" s="25">
        <f>VLOOKUP(2,AA32:AK35,5,FALSE)</f>
        <v>0</v>
      </c>
      <c r="O34" s="25" t="str">
        <f>VLOOKUP(2,AA32:AK35,6,FALSE) &amp; " - " &amp; VLOOKUP(2,AA32:AK35,7,FALSE)</f>
        <v>5 - 3</v>
      </c>
      <c r="P34" s="54">
        <f>L34*3+M34</f>
        <v>5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1</v>
      </c>
      <c r="AD34" s="47">
        <f>COUNTIF($S$7:$T$54,"=" &amp; AB34 &amp; "_draw")</f>
        <v>2</v>
      </c>
      <c r="AE34" s="47">
        <f>COUNTIF($S$7:$T$54,"=" &amp; AB34 &amp; "_lose")</f>
        <v>0</v>
      </c>
      <c r="AF34" s="47">
        <f>SUMIF($E$7:$E$54,$AB34,$F$7:$F$54) + SUMIF($H$7:$H$54,$AB34,$G$7:$G$54)</f>
        <v>5</v>
      </c>
      <c r="AG34" s="47">
        <f>SUMIF($E$7:$E$54,$AB34,$G$7:$G$54) + SUMIF($H$7:$H$54,$AB34,$F$7:$F$54)</f>
        <v>3</v>
      </c>
      <c r="AH34" s="47">
        <f>(AF34-AG34)*100+AK34*10000+AF34</f>
        <v>50205</v>
      </c>
      <c r="AI34" s="47">
        <f>AF34-AG34</f>
        <v>2</v>
      </c>
      <c r="AJ34" s="47">
        <f>(AI34-AI37)/AI36</f>
        <v>0.75</v>
      </c>
      <c r="AK34" s="47">
        <f>AC34*3+AD34</f>
        <v>5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706.250825265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5">
        <v>55</v>
      </c>
      <c r="AZ34" s="26" t="str">
        <f>AO38</f>
        <v>Croatia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1</v>
      </c>
      <c r="N35" s="25">
        <f>VLOOKUP(3,AA32:AK35,5,FALSE)</f>
        <v>1</v>
      </c>
      <c r="O35" s="25" t="str">
        <f>VLOOKUP(3,AA32:AK35,6,FALSE) &amp; " - " &amp; VLOOKUP(3,AA32:AK35,7,FALSE)</f>
        <v>4 - 3</v>
      </c>
      <c r="P35" s="54">
        <f>L35*3+M35</f>
        <v>4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1</v>
      </c>
      <c r="AE35" s="47">
        <f>COUNTIF($S$7:$T$54,"=" &amp; AB35 &amp; "_lose")</f>
        <v>1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3</v>
      </c>
      <c r="AH35" s="47">
        <f>(AF35-AG35)*100+AK35*10000+AF35</f>
        <v>40104</v>
      </c>
      <c r="AI35" s="47">
        <f>AF35-AG35</f>
        <v>1</v>
      </c>
      <c r="AJ35" s="47">
        <f>(AI35-AI37)/AI36</f>
        <v>0.66666666666666663</v>
      </c>
      <c r="AK35" s="47">
        <f>AC35*3+AD35</f>
        <v>4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571.6674433866666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6"/>
      <c r="AZ35" s="28" t="str">
        <f>AO33</f>
        <v>Germany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5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 x14ac:dyDescent="0.2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0 - 7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3</v>
      </c>
      <c r="AD36" s="47">
        <f t="shared" si="14"/>
        <v>3</v>
      </c>
      <c r="AE36" s="47">
        <f t="shared" si="14"/>
        <v>4</v>
      </c>
      <c r="AF36" s="47">
        <f t="shared" si="14"/>
        <v>8</v>
      </c>
      <c r="AG36" s="47">
        <f t="shared" si="14"/>
        <v>5</v>
      </c>
      <c r="AH36" s="47">
        <f>MAX(AH32:AH35)-AH37+1</f>
        <v>71108</v>
      </c>
      <c r="AI36" s="47">
        <f>MAX(AI32:AI35)-AI37+1</f>
        <v>12</v>
      </c>
      <c r="AK36" s="47">
        <f t="shared" si="14"/>
        <v>8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5">
        <v>60</v>
      </c>
      <c r="BG36" s="26" t="str">
        <f>T64</f>
        <v>Germany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6"/>
      <c r="BU36" s="28" t="str">
        <f>Z77</f>
        <v>Mexico</v>
      </c>
      <c r="BV36" s="85">
        <v>0</v>
      </c>
      <c r="BW36" s="87"/>
      <c r="BX36" s="30"/>
    </row>
    <row r="37" spans="1:76" ht="15" customHeight="1" x14ac:dyDescent="0.2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-700</v>
      </c>
      <c r="AI37" s="47">
        <f>MIN(AI32:AI35)</f>
        <v>-7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6"/>
      <c r="BG37" s="28" t="str">
        <f>T65</f>
        <v>Switzerland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2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5</v>
      </c>
      <c r="AG38" s="47">
        <f>SUMIF($E$7:$E$54,$AB38,$G$7:$G$54) + SUMIF($H$7:$H$54,$AB38,$F$7:$F$54)</f>
        <v>3</v>
      </c>
      <c r="AH38" s="47">
        <f>(AF38-AG38)*100+AK38*10000+AF38</f>
        <v>70205</v>
      </c>
      <c r="AI38" s="47">
        <f>AF38-AG38</f>
        <v>2</v>
      </c>
      <c r="AJ38" s="47">
        <f>(AI38-AI43)/AI42</f>
        <v>0.75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962.50091350000002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5">
        <v>56</v>
      </c>
      <c r="AZ38" s="26" t="str">
        <f>AO50</f>
        <v>Portugal</v>
      </c>
      <c r="BA38" s="84">
        <v>1</v>
      </c>
      <c r="BB38" s="86">
        <v>1</v>
      </c>
      <c r="BC38" s="27">
        <v>4</v>
      </c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5 - 2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6</v>
      </c>
      <c r="AH39" s="47">
        <f>(AF39-AG39)*100+AK39*10000+AF39</f>
        <v>-398</v>
      </c>
      <c r="AI39" s="47">
        <f>AF39-AG39</f>
        <v>-4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5.0007394999999999</v>
      </c>
      <c r="AO39" s="48" t="str">
        <f>IF(SUM(AC38:AE41)=12,J40,INDEX(T,81,lang))</f>
        <v>Belgium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6"/>
      <c r="AZ39" s="28" t="str">
        <f>AO45</f>
        <v>Switzerland</v>
      </c>
      <c r="BA39" s="85">
        <v>1</v>
      </c>
      <c r="BB39" s="87">
        <v>1</v>
      </c>
      <c r="BC39" s="30">
        <v>5</v>
      </c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2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Belgium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5 - 3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4</v>
      </c>
      <c r="AG40" s="47">
        <f>SUMIF($E$7:$E$54,$AB40,$G$7:$G$54) + SUMIF($H$7:$H$54,$AB40,$F$7:$F$54)</f>
        <v>5</v>
      </c>
      <c r="AH40" s="47">
        <f>(AF40-AG40)*100+AK40*10000+AF40</f>
        <v>29904</v>
      </c>
      <c r="AI40" s="47">
        <f>AF40-AG40</f>
        <v>-1</v>
      </c>
      <c r="AJ40" s="47">
        <f>(AI40-AI43)/AI42</f>
        <v>0.375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422.50077593999998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4 - 5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2</v>
      </c>
      <c r="AH41" s="47">
        <f>(AF41-AG41)*100+AK41*10000+AF41</f>
        <v>70305</v>
      </c>
      <c r="AI41" s="47">
        <f>AF41-AG41</f>
        <v>3</v>
      </c>
      <c r="AJ41" s="47">
        <f>(AI41-AI43)/AI42</f>
        <v>0.875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975.00081055500004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3" t="s">
        <v>2515</v>
      </c>
      <c r="AZ41" s="134"/>
      <c r="BA41" s="134"/>
      <c r="BB41" s="134"/>
      <c r="BC41" s="135"/>
      <c r="BL41" s="142" t="str">
        <f>INDEX(T,102,lang)</f>
        <v>World Champion 2022</v>
      </c>
      <c r="BM41" s="142"/>
      <c r="BN41" s="142"/>
      <c r="BO41" s="142"/>
      <c r="BP41" s="142"/>
      <c r="BQ41" s="142"/>
      <c r="BR41" s="144" t="str">
        <f>S85</f>
        <v>Argentina</v>
      </c>
      <c r="BS41" s="144"/>
      <c r="BT41" s="144"/>
      <c r="BU41" s="144"/>
      <c r="BV41" s="144"/>
      <c r="BW41" s="144"/>
      <c r="BX41" s="144"/>
    </row>
    <row r="42" spans="1:76" ht="15" customHeight="1" x14ac:dyDescent="0.2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2 - 6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4</v>
      </c>
      <c r="AG42" s="47">
        <f t="shared" si="15"/>
        <v>5</v>
      </c>
      <c r="AH42" s="47">
        <f>MAX(AH38:AH41)-AH43+1</f>
        <v>70704</v>
      </c>
      <c r="AI42" s="47">
        <f>MAX(AI38:AI41)-AI43+1</f>
        <v>8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6"/>
      <c r="AZ42" s="137"/>
      <c r="BA42" s="137"/>
      <c r="BB42" s="137"/>
      <c r="BC42" s="138"/>
      <c r="BL42" s="143"/>
      <c r="BM42" s="143"/>
      <c r="BN42" s="143"/>
      <c r="BO42" s="143"/>
      <c r="BP42" s="143"/>
      <c r="BQ42" s="143"/>
      <c r="BR42" s="145"/>
      <c r="BS42" s="145"/>
      <c r="BT42" s="145"/>
      <c r="BU42" s="145"/>
      <c r="BV42" s="145"/>
      <c r="BW42" s="145"/>
      <c r="BX42" s="145"/>
    </row>
    <row r="43" spans="1:76" ht="15" customHeight="1" x14ac:dyDescent="0.2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-398</v>
      </c>
      <c r="AI43" s="47">
        <f>MIN(AI38:AI41)</f>
        <v>-4</v>
      </c>
      <c r="AY43" s="136"/>
      <c r="AZ43" s="137"/>
      <c r="BA43" s="137"/>
      <c r="BB43" s="137"/>
      <c r="BC43" s="138"/>
    </row>
    <row r="44" spans="1:76" ht="15" customHeight="1" x14ac:dyDescent="0.2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2</v>
      </c>
      <c r="AH44" s="47">
        <f>(AF44-AG44)*100+AK44*10000+AF44</f>
        <v>90709</v>
      </c>
      <c r="AI44" s="47">
        <f>AF44-AG44</f>
        <v>7</v>
      </c>
      <c r="AJ44" s="47">
        <f>(AI44-AI49)/AI48</f>
        <v>0.92307692307692313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1001.3086086526922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6"/>
      <c r="AZ44" s="137"/>
      <c r="BA44" s="137"/>
      <c r="BB44" s="137"/>
      <c r="BC44" s="138"/>
    </row>
    <row r="45" spans="1:76" ht="15" customHeight="1" x14ac:dyDescent="0.2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1</v>
      </c>
      <c r="AE45" s="47">
        <f>COUNTIF($S$7:$T$54,"=" &amp; AB45 &amp; "_lose")</f>
        <v>1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4</v>
      </c>
      <c r="AH45" s="47">
        <f>(AF45-AG45)*100+AK45*10000+AF45</f>
        <v>39903</v>
      </c>
      <c r="AI45" s="47">
        <f>AF45-AG45</f>
        <v>-1</v>
      </c>
      <c r="AJ45" s="47">
        <f>(AI45-AI49)/AI48</f>
        <v>0.30769230769230771</v>
      </c>
      <c r="AK45" s="47">
        <f>AC45*3+AD45</f>
        <v>4</v>
      </c>
      <c r="AL45" s="47">
        <f>AP45/AP48*1000+AQ45/AQ48*100+AT45/AT48*10+AR45/AR48</f>
        <v>50.5</v>
      </c>
      <c r="AM45" s="47">
        <f>VLOOKUP(AB45,db_fifarank,2,FALSE)/2000000</f>
        <v>7.7376499999999993E-4</v>
      </c>
      <c r="AN45" s="48">
        <f>1000*AK45/AK48+100*AJ45+10*AF45/AF48+1*AL45/AL48+AM45</f>
        <v>434.75058705850262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1</v>
      </c>
      <c r="AR45" s="47">
        <f>SUMPRODUCT(($E$7:$E$54=AB45)*($U$7:$U$54)*($F$7:$F$54))+SUMPRODUCT(($H$7:$H$54=AB45)*($U$7:$U$54)*($G$7:$G$54))</f>
        <v>1</v>
      </c>
      <c r="AS45" s="47">
        <f>SUMPRODUCT(($E$7:$E$54=AB45)*($U$7:$U$54)*($G$7:$G$54))+SUMPRODUCT(($H$7:$H$54=AB45)*($U$7:$U$54)*($F$7:$F$54))</f>
        <v>1</v>
      </c>
      <c r="AT45" s="47">
        <f>AR45-AS45</f>
        <v>0</v>
      </c>
      <c r="AY45" s="136"/>
      <c r="AZ45" s="137"/>
      <c r="BA45" s="137"/>
      <c r="BB45" s="137"/>
      <c r="BC45" s="138"/>
    </row>
    <row r="46" spans="1:76" ht="15" customHeight="1" x14ac:dyDescent="0.2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3 - 4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4</v>
      </c>
      <c r="AH46" s="47">
        <f>(AF46-AG46)*100+AK46*10000+AF46</f>
        <v>39903</v>
      </c>
      <c r="AI46" s="47">
        <f>AF46-AG46</f>
        <v>-1</v>
      </c>
      <c r="AJ46" s="47">
        <f>(AI46-AI49)/AI48</f>
        <v>0.30769230769230771</v>
      </c>
      <c r="AK46" s="47">
        <f>AC46*3+AD46</f>
        <v>4</v>
      </c>
      <c r="AL46" s="47">
        <f>AP46/AP48*1000+AQ46/AQ48*100+AT46/AT48*10+AR46/AR48</f>
        <v>50.5</v>
      </c>
      <c r="AM46" s="47">
        <f>VLOOKUP(AB46,db_fifarank,2,FALSE)/2000000</f>
        <v>8.1766E-4</v>
      </c>
      <c r="AN46" s="48">
        <f>1000*AK46/AK48+100*AJ46+10*AF46/AF48+1*AL46/AL48+AM46</f>
        <v>434.75063095350259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1</v>
      </c>
      <c r="AR46" s="47">
        <f>SUMPRODUCT(($E$7:$E$54=AB46)*($U$7:$U$54)*($F$7:$F$54))+SUMPRODUCT(($H$7:$H$54=AB46)*($U$7:$U$54)*($G$7:$G$54))</f>
        <v>1</v>
      </c>
      <c r="AS46" s="47">
        <f>SUMPRODUCT(($E$7:$E$54=AB46)*($U$7:$U$54)*($G$7:$G$54))+SUMPRODUCT(($H$7:$H$54=AB46)*($U$7:$U$54)*($F$7:$F$54))</f>
        <v>1</v>
      </c>
      <c r="AT46" s="47">
        <f>AR46-AS46</f>
        <v>0</v>
      </c>
      <c r="AY46" s="139"/>
      <c r="AZ46" s="140"/>
      <c r="BA46" s="140"/>
      <c r="BB46" s="140"/>
      <c r="BC46" s="141"/>
    </row>
    <row r="47" spans="1:76" ht="15" customHeight="1" x14ac:dyDescent="0.2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1</v>
      </c>
      <c r="N47" s="25">
        <f>VLOOKUP(3,AA44:AK47,5,FALSE)</f>
        <v>1</v>
      </c>
      <c r="O47" s="25" t="str">
        <f>VLOOKUP(3,AA44:AK47,6,FALSE) &amp; " - " &amp; VLOOKUP(3,AA44:AK47,7,FALSE)</f>
        <v>3 - 4</v>
      </c>
      <c r="P47" s="54">
        <f>L47*3+M47</f>
        <v>4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0</v>
      </c>
      <c r="AG47" s="47">
        <f>SUMIF($E$7:$E$54,$AB47,$G$7:$G$54) + SUMIF($H$7:$H$54,$AB47,$F$7:$F$54)</f>
        <v>5</v>
      </c>
      <c r="AH47" s="47">
        <f>(AF47-AG47)*100+AK47*10000+AF47</f>
        <v>-500</v>
      </c>
      <c r="AI47" s="47">
        <f>AF47-AG47</f>
        <v>-5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7.4023999999999997E-4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2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0 - 5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4</v>
      </c>
      <c r="AF48" s="47">
        <f t="shared" si="16"/>
        <v>10</v>
      </c>
      <c r="AG48" s="47">
        <f t="shared" si="16"/>
        <v>4</v>
      </c>
      <c r="AH48" s="47">
        <f>MAX(AH44:AH47)-AH49+1</f>
        <v>91210</v>
      </c>
      <c r="AI48" s="47">
        <f>MAX(AI44:AI47)-AI49+1</f>
        <v>13</v>
      </c>
      <c r="AK48" s="47">
        <f t="shared" si="16"/>
        <v>10</v>
      </c>
      <c r="AL48" s="47">
        <f t="shared" si="16"/>
        <v>51.5</v>
      </c>
      <c r="AP48" s="47">
        <f>MAX(AP44:AP47)-MIN(AP44:AP47)+1</f>
        <v>1</v>
      </c>
      <c r="AQ48" s="47">
        <f>MAX(AQ44:AQ47)-MIN(AQ44:AQ47)+1</f>
        <v>2</v>
      </c>
      <c r="AR48" s="47">
        <f>MAX(AR44:AR47)-MIN(AR44:AR47)+1</f>
        <v>2</v>
      </c>
      <c r="AS48" s="47">
        <f>MAX(AS44:AS47)-MIN(AS44:AS47)+1</f>
        <v>2</v>
      </c>
      <c r="AT48" s="47">
        <f>MAX(AT44:AT47)-MIN(AT44:AT47)+1</f>
        <v>1</v>
      </c>
      <c r="AY48" s="133" t="s">
        <v>2516</v>
      </c>
      <c r="AZ48" s="134"/>
      <c r="BA48" s="134"/>
      <c r="BB48" s="134"/>
      <c r="BC48" s="135"/>
    </row>
    <row r="49" spans="1:55" ht="15" customHeight="1" x14ac:dyDescent="0.2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-500</v>
      </c>
      <c r="AI49" s="47">
        <f>MIN(AI44:AI47)</f>
        <v>-5</v>
      </c>
      <c r="AY49" s="136"/>
      <c r="AZ49" s="137"/>
      <c r="BA49" s="137"/>
      <c r="BB49" s="137"/>
      <c r="BC49" s="138"/>
    </row>
    <row r="50" spans="1:55" ht="15" customHeight="1" x14ac:dyDescent="0.2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5</v>
      </c>
      <c r="AG50" s="47">
        <f>SUMIF($E$7:$E$54,$AB50,$G$7:$G$54) + SUMIF($H$7:$H$54,$AB50,$F$7:$F$54)</f>
        <v>1</v>
      </c>
      <c r="AH50" s="47">
        <f>(AF50-AG50)*100+AK50*10000+AF50</f>
        <v>70405</v>
      </c>
      <c r="AI50" s="47">
        <f>AF50-AG50</f>
        <v>4</v>
      </c>
      <c r="AJ50" s="47">
        <f>(AI50-AI55)/AI54</f>
        <v>0.88888888888888884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972.2230596122223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6"/>
      <c r="AZ50" s="137"/>
      <c r="BA50" s="137"/>
      <c r="BB50" s="137"/>
      <c r="BC50" s="138"/>
    </row>
    <row r="51" spans="1:55" ht="15" customHeight="1" x14ac:dyDescent="0.2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5 - 1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4</v>
      </c>
      <c r="AH51" s="47">
        <f>(AF51-AG51)*100+AK51*10000+AF51</f>
        <v>-400</v>
      </c>
      <c r="AI51" s="47">
        <f>AF51-AG51</f>
        <v>-4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6"/>
      <c r="AZ51" s="137"/>
      <c r="BA51" s="137"/>
      <c r="BB51" s="137"/>
      <c r="BC51" s="138"/>
    </row>
    <row r="52" spans="1:55" ht="15" customHeight="1" x14ac:dyDescent="0.2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1</v>
      </c>
      <c r="M52" s="25">
        <f>VLOOKUP(2,AA50:AK53,4,FALSE)</f>
        <v>2</v>
      </c>
      <c r="N52" s="25">
        <f>VLOOKUP(2,AA50:AK53,5,FALSE)</f>
        <v>0</v>
      </c>
      <c r="O52" s="25" t="str">
        <f>VLOOKUP(2,AA50:AK53,6,FALSE) &amp; " - " &amp; VLOOKUP(2,AA50:AK53,7,FALSE)</f>
        <v>3 - 2</v>
      </c>
      <c r="P52" s="54">
        <f>L52*3+M52</f>
        <v>5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2</v>
      </c>
      <c r="AE52" s="47">
        <f>COUNTIF($S$7:$T$54,"=" &amp; AB52 &amp; "_lose")</f>
        <v>0</v>
      </c>
      <c r="AF52" s="47">
        <f>SUMIF($E$7:$E$54,$AB52,$F$7:$F$54) + SUMIF($H$7:$H$54,$AB52,$G$7:$G$54)</f>
        <v>3</v>
      </c>
      <c r="AG52" s="47">
        <f>SUMIF($E$7:$E$54,$AB52,$G$7:$G$54) + SUMIF($H$7:$H$54,$AB52,$F$7:$F$54)</f>
        <v>2</v>
      </c>
      <c r="AH52" s="47">
        <f>(AF52-AG52)*100+AK52*10000+AF52</f>
        <v>50103</v>
      </c>
      <c r="AI52" s="47">
        <f>AF52-AG52</f>
        <v>1</v>
      </c>
      <c r="AJ52" s="47">
        <f>(AI52-AI55)/AI54</f>
        <v>0.55555555555555558</v>
      </c>
      <c r="AK52" s="47">
        <f>AC52*3+AD52</f>
        <v>5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685.55637342055559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6"/>
      <c r="AZ52" s="137"/>
      <c r="BA52" s="137"/>
      <c r="BB52" s="137"/>
      <c r="BC52" s="138"/>
    </row>
    <row r="53" spans="1:55" ht="15" customHeight="1" x14ac:dyDescent="0.2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1</v>
      </c>
      <c r="N53" s="25">
        <f>VLOOKUP(3,AA50:AK53,5,FALSE)</f>
        <v>1</v>
      </c>
      <c r="O53" s="25" t="str">
        <f>VLOOKUP(3,AA50:AK53,6,FALSE) &amp; " - " &amp; VLOOKUP(3,AA50:AK53,7,FALSE)</f>
        <v>2 - 3</v>
      </c>
      <c r="P53" s="54">
        <f>L53*3+M53</f>
        <v>4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1</v>
      </c>
      <c r="V53" s="47">
        <f t="shared" si="6"/>
        <v>1</v>
      </c>
      <c r="W53" s="47">
        <f t="shared" si="7"/>
        <v>1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1</v>
      </c>
      <c r="AE53" s="47">
        <f>COUNTIF($S$7:$T$54,"=" &amp; AB53 &amp; "_lose")</f>
        <v>1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3</v>
      </c>
      <c r="AH53" s="47">
        <f>(AF53-AG53)*100+AK53*10000+AF53</f>
        <v>39902</v>
      </c>
      <c r="AI53" s="47">
        <f>AF53-AG53</f>
        <v>-1</v>
      </c>
      <c r="AJ53" s="47">
        <f>(AI53-AI55)/AI54</f>
        <v>0.33333333333333331</v>
      </c>
      <c r="AK53" s="47">
        <f>AC53*3+AD53</f>
        <v>4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536.66742643666669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6"/>
      <c r="AZ53" s="137"/>
      <c r="BA53" s="137"/>
      <c r="BB53" s="137"/>
      <c r="BC53" s="138"/>
    </row>
    <row r="54" spans="1:55" ht="15" customHeight="1" x14ac:dyDescent="0.2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0 - 4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3</v>
      </c>
      <c r="AE54" s="47">
        <f t="shared" si="17"/>
        <v>4</v>
      </c>
      <c r="AF54" s="47">
        <f t="shared" si="17"/>
        <v>6</v>
      </c>
      <c r="AG54" s="47">
        <f t="shared" si="17"/>
        <v>4</v>
      </c>
      <c r="AH54" s="47">
        <f>MAX(AH50:AH53)-AH55+1</f>
        <v>70806</v>
      </c>
      <c r="AI54" s="47">
        <f>MAX(AI50:AI53)-AI55+1</f>
        <v>9</v>
      </c>
      <c r="AK54" s="47">
        <f t="shared" si="17"/>
        <v>8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9"/>
      <c r="AZ54" s="140"/>
      <c r="BA54" s="140"/>
      <c r="BB54" s="140"/>
      <c r="BC54" s="141"/>
    </row>
    <row r="55" spans="1:55" x14ac:dyDescent="0.2">
      <c r="A55" s="9"/>
      <c r="B55" s="42"/>
      <c r="C55" s="9"/>
      <c r="D55" s="43"/>
      <c r="E55" s="44"/>
      <c r="F55" s="45"/>
      <c r="G55" s="45"/>
      <c r="H55" s="46"/>
      <c r="AH55" s="47">
        <f>MIN(AH50:AH53)</f>
        <v>-400</v>
      </c>
      <c r="AI55" s="47">
        <f>MIN(AI50:AI53)</f>
        <v>-4</v>
      </c>
    </row>
    <row r="56" spans="1:55" ht="12.75" customHeight="1" x14ac:dyDescent="0.2"/>
    <row r="57" spans="1:55" ht="12.75" customHeight="1" x14ac:dyDescent="0.2"/>
    <row r="58" spans="1:55" x14ac:dyDescent="0.2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Mexico</v>
      </c>
      <c r="T61" s="88" t="str">
        <f>IF(OR(S61="",S61="draw"),INDEX(T,89,lang),S61)</f>
        <v>Mexico</v>
      </c>
    </row>
    <row r="62" spans="1:55" ht="12.75" customHeight="1" x14ac:dyDescent="0.2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2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2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Switzerland</v>
      </c>
      <c r="T65" s="88" t="str">
        <f>IF(OR(S65="",S65="draw"),INDEX(T,93,lang),S65)</f>
        <v>Switzerland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Mexico</v>
      </c>
      <c r="T71" s="88" t="str">
        <f>IF(OR(S71="",S71="draw"),INDEX(T,96,lang),S71)</f>
        <v>Mexico</v>
      </c>
    </row>
    <row r="72" spans="18:26" ht="12.75" customHeight="1" x14ac:dyDescent="0.2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Germany</v>
      </c>
      <c r="T72" s="88" t="str">
        <f>IF(OR(S72="",S72="draw"),INDEX(T,97,lang),S72)</f>
        <v>Germany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2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Germany</v>
      </c>
      <c r="T77" s="88" t="str">
        <f>IF(OR(S77="",S77="draw"),INDEX(T,99,lang),S77)</f>
        <v>Germany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Mexico</v>
      </c>
      <c r="Z77" s="88" t="str">
        <f>IF(OR(U77="",U77="draw"),INDEX(T,101,lang),U77)</f>
        <v>Mexico</v>
      </c>
    </row>
    <row r="79" spans="18:26" ht="12.75" customHeight="1" x14ac:dyDescent="0.2"/>
    <row r="80" spans="18:26" ht="12.75" customHeight="1" x14ac:dyDescent="0.2"/>
    <row r="81" spans="18:20" x14ac:dyDescent="0.2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2"/>
    <row r="84" spans="18:20" ht="12.75" customHeight="1" x14ac:dyDescent="0.2"/>
    <row r="85" spans="18:20" x14ac:dyDescent="0.2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80.33203125" customWidth="1"/>
    <col min="2" max="2" width="63.83203125" customWidth="1"/>
  </cols>
  <sheetData>
    <row r="1" spans="1:2" x14ac:dyDescent="0.2">
      <c r="A1" s="101" t="s">
        <v>2526</v>
      </c>
      <c r="B1" s="102" t="s">
        <v>2527</v>
      </c>
    </row>
    <row r="2" spans="1:2" x14ac:dyDescent="0.2">
      <c r="A2" s="103" t="s">
        <v>2518</v>
      </c>
      <c r="B2" s="100" t="s">
        <v>2538</v>
      </c>
    </row>
    <row r="3" spans="1:2" x14ac:dyDescent="0.2">
      <c r="A3" s="100" t="s">
        <v>2519</v>
      </c>
      <c r="B3" s="103" t="s">
        <v>2537</v>
      </c>
    </row>
    <row r="4" spans="1:2" x14ac:dyDescent="0.2">
      <c r="A4" s="103" t="s">
        <v>2520</v>
      </c>
      <c r="B4" s="100" t="s">
        <v>2536</v>
      </c>
    </row>
    <row r="5" spans="1:2" x14ac:dyDescent="0.2">
      <c r="A5" s="100" t="s">
        <v>2529</v>
      </c>
      <c r="B5" s="104" t="s">
        <v>2539</v>
      </c>
    </row>
    <row r="6" spans="1:2" x14ac:dyDescent="0.2">
      <c r="A6" s="103" t="s">
        <v>2521</v>
      </c>
      <c r="B6" s="100" t="s">
        <v>2535</v>
      </c>
    </row>
    <row r="7" spans="1:2" x14ac:dyDescent="0.2">
      <c r="A7" s="100" t="s">
        <v>2522</v>
      </c>
      <c r="B7" s="103" t="s">
        <v>2534</v>
      </c>
    </row>
    <row r="8" spans="1:2" x14ac:dyDescent="0.2">
      <c r="A8" s="103" t="s">
        <v>2523</v>
      </c>
      <c r="B8" s="100" t="s">
        <v>2533</v>
      </c>
    </row>
    <row r="9" spans="1:2" x14ac:dyDescent="0.2">
      <c r="A9" s="100" t="s">
        <v>2524</v>
      </c>
      <c r="B9" s="103" t="s">
        <v>2531</v>
      </c>
    </row>
    <row r="10" spans="1:2" x14ac:dyDescent="0.2">
      <c r="A10" s="103" t="s">
        <v>2525</v>
      </c>
      <c r="B10" s="100" t="s">
        <v>2530</v>
      </c>
    </row>
    <row r="11" spans="1:2" x14ac:dyDescent="0.2">
      <c r="A11" s="100" t="s">
        <v>2528</v>
      </c>
      <c r="B11" s="103" t="s">
        <v>2532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Markus Lokk</cp:lastModifiedBy>
  <cp:lastPrinted>2018-01-03T15:36:04Z</cp:lastPrinted>
  <dcterms:created xsi:type="dcterms:W3CDTF">2017-12-27T19:32:51Z</dcterms:created>
  <dcterms:modified xsi:type="dcterms:W3CDTF">2022-11-20T14:54:05Z</dcterms:modified>
</cp:coreProperties>
</file>