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rviv\Desktop\"/>
    </mc:Choice>
  </mc:AlternateContent>
  <xr:revisionPtr revIDLastSave="0" documentId="8_{A57C49A2-3948-401A-B9CA-DFB63FCD5F8E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BT6" i="3" s="1"/>
  <c r="A1" i="3" l="1"/>
  <c r="BL41" i="3"/>
  <c r="O44" i="3"/>
  <c r="O50" i="3"/>
  <c r="BF6" i="3"/>
  <c r="AY6" i="3"/>
  <c r="L8" i="3"/>
  <c r="L26" i="3"/>
  <c r="L32" i="3"/>
  <c r="P50" i="3"/>
  <c r="M8" i="3"/>
  <c r="O38" i="3"/>
  <c r="N44" i="3"/>
  <c r="N50" i="3"/>
  <c r="M50" i="3"/>
  <c r="A5" i="3"/>
  <c r="O20" i="3"/>
  <c r="J26" i="3"/>
  <c r="J32" i="3"/>
  <c r="N38" i="3"/>
  <c r="M44" i="3"/>
  <c r="L44" i="3"/>
  <c r="K50" i="3"/>
  <c r="K8" i="3"/>
  <c r="P44" i="3"/>
  <c r="B44" i="2"/>
  <c r="B36" i="2"/>
  <c r="B28" i="2"/>
  <c r="B20" i="2"/>
  <c r="AB32" i="3"/>
  <c r="AB22" i="3"/>
  <c r="AB8" i="3"/>
  <c r="B35" i="2"/>
  <c r="B19" i="2"/>
  <c r="AB16" i="3"/>
  <c r="B41" i="2"/>
  <c r="AB51" i="3"/>
  <c r="AB46" i="3"/>
  <c r="AB41" i="3"/>
  <c r="AB27" i="3"/>
  <c r="AB17" i="3"/>
  <c r="B43" i="2"/>
  <c r="B27" i="2"/>
  <c r="B25" i="2"/>
  <c r="B42" i="2"/>
  <c r="B34" i="2"/>
  <c r="B26" i="2"/>
  <c r="B18" i="2"/>
  <c r="AB45" i="3"/>
  <c r="AB40" i="3"/>
  <c r="AB35" i="3"/>
  <c r="AB26" i="3"/>
  <c r="AB21" i="3"/>
  <c r="AB11" i="3"/>
  <c r="B33" i="2"/>
  <c r="B17" i="2"/>
  <c r="AB50" i="3"/>
  <c r="B48" i="2"/>
  <c r="B40" i="2"/>
  <c r="B32" i="2"/>
  <c r="B24" i="2"/>
  <c r="AB29" i="3"/>
  <c r="AB15" i="3"/>
  <c r="B39" i="2"/>
  <c r="B37" i="2"/>
  <c r="AB53" i="3"/>
  <c r="AB44" i="3"/>
  <c r="AB39" i="3"/>
  <c r="AB34" i="3"/>
  <c r="AB20" i="3"/>
  <c r="AB10" i="3"/>
  <c r="B47" i="2"/>
  <c r="B31" i="2"/>
  <c r="B23" i="2"/>
  <c r="B45" i="2"/>
  <c r="B29" i="2"/>
  <c r="B46" i="2"/>
  <c r="B38" i="2"/>
  <c r="B30" i="2"/>
  <c r="B22" i="2"/>
  <c r="AB47" i="3"/>
  <c r="AB38" i="3"/>
  <c r="AB33" i="3"/>
  <c r="AB28" i="3"/>
  <c r="AB23" i="3"/>
  <c r="AB14" i="3"/>
  <c r="AB9" i="3"/>
  <c r="B21" i="2"/>
  <c r="AB52" i="3"/>
  <c r="R37" i="3"/>
  <c r="R17" i="3"/>
  <c r="R36" i="3"/>
  <c r="R16" i="3"/>
  <c r="R33" i="3"/>
  <c r="R13" i="3"/>
  <c r="R32" i="3"/>
  <c r="R12" i="3"/>
  <c r="R29" i="3"/>
  <c r="R28" i="3"/>
  <c r="R21" i="3"/>
  <c r="R20" i="3"/>
  <c r="N14" i="3"/>
  <c r="P26" i="3"/>
  <c r="M38" i="3"/>
  <c r="N20" i="3"/>
  <c r="O26" i="3"/>
  <c r="O32" i="3"/>
  <c r="L50" i="3"/>
  <c r="M32" i="3"/>
  <c r="O8" i="3"/>
  <c r="J20" i="3"/>
  <c r="N26" i="3"/>
  <c r="M26" i="3"/>
  <c r="K44" i="3"/>
  <c r="K26" i="3"/>
  <c r="N8" i="3"/>
  <c r="N32" i="3"/>
  <c r="BT31" i="3"/>
  <c r="L38" i="3"/>
  <c r="J44" i="3"/>
  <c r="K20" i="3"/>
  <c r="P32" i="3"/>
  <c r="BM6" i="3"/>
  <c r="P14" i="3"/>
  <c r="O14" i="3"/>
  <c r="P20" i="3"/>
  <c r="K38" i="3"/>
  <c r="L14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E25" i="3" l="1"/>
  <c r="E40" i="3"/>
  <c r="H8" i="3"/>
  <c r="AM33" i="3"/>
  <c r="H12" i="3"/>
  <c r="E44" i="3"/>
  <c r="X44" i="3" s="1"/>
  <c r="E27" i="3"/>
  <c r="X27" i="3" s="1"/>
  <c r="AM29" i="3"/>
  <c r="E34" i="3"/>
  <c r="H49" i="3"/>
  <c r="AM32" i="3"/>
  <c r="E17" i="3"/>
  <c r="H14" i="3"/>
  <c r="H27" i="3"/>
  <c r="E43" i="3"/>
  <c r="X43" i="3" s="1"/>
  <c r="AM27" i="3"/>
  <c r="E8" i="3"/>
  <c r="AM8" i="3"/>
  <c r="H24" i="3"/>
  <c r="H39" i="3"/>
  <c r="H40" i="3"/>
  <c r="AM9" i="3"/>
  <c r="E24" i="3"/>
  <c r="X24" i="3" s="1"/>
  <c r="E7" i="3"/>
  <c r="AG33" i="3" s="1"/>
  <c r="H25" i="3"/>
  <c r="H7" i="3"/>
  <c r="AM10" i="3"/>
  <c r="E39" i="3"/>
  <c r="E42" i="3"/>
  <c r="H9" i="3"/>
  <c r="AM15" i="3"/>
  <c r="H23" i="3"/>
  <c r="E33" i="3"/>
  <c r="H15" i="3"/>
  <c r="AM41" i="3"/>
  <c r="E47" i="3"/>
  <c r="H46" i="3"/>
  <c r="E13" i="3"/>
  <c r="X13" i="3" s="1"/>
  <c r="AM22" i="3"/>
  <c r="H30" i="3"/>
  <c r="X30" i="3" s="1"/>
  <c r="E30" i="3"/>
  <c r="AM20" i="3"/>
  <c r="H45" i="3"/>
  <c r="E11" i="3"/>
  <c r="H29" i="3"/>
  <c r="H43" i="3"/>
  <c r="AM28" i="3"/>
  <c r="E12" i="3"/>
  <c r="X12" i="3" s="1"/>
  <c r="H18" i="3"/>
  <c r="H33" i="3"/>
  <c r="E48" i="3"/>
  <c r="AM39" i="3"/>
  <c r="E14" i="3"/>
  <c r="AM26" i="3"/>
  <c r="H44" i="3"/>
  <c r="E29" i="3"/>
  <c r="X29" i="3" s="1"/>
  <c r="E50" i="3"/>
  <c r="H31" i="3"/>
  <c r="H17" i="3"/>
  <c r="H54" i="3"/>
  <c r="E22" i="3"/>
  <c r="X22" i="3" s="1"/>
  <c r="E37" i="3"/>
  <c r="X37" i="3" s="1"/>
  <c r="AM44" i="3"/>
  <c r="E49" i="3"/>
  <c r="X49" i="3" s="1"/>
  <c r="H16" i="3"/>
  <c r="E31" i="3"/>
  <c r="AM35" i="3"/>
  <c r="AM16" i="3"/>
  <c r="H42" i="3"/>
  <c r="H26" i="3"/>
  <c r="X26" i="3" s="1"/>
  <c r="E10" i="3"/>
  <c r="X10" i="3" s="1"/>
  <c r="E18" i="3"/>
  <c r="X18" i="3" s="1"/>
  <c r="H47" i="3"/>
  <c r="AM38" i="3"/>
  <c r="E32" i="3"/>
  <c r="AM53" i="3"/>
  <c r="H20" i="3"/>
  <c r="E52" i="3"/>
  <c r="X52" i="3" s="1"/>
  <c r="E36" i="3"/>
  <c r="X36" i="3" s="1"/>
  <c r="H48" i="3"/>
  <c r="X48" i="3" s="1"/>
  <c r="AM40" i="3"/>
  <c r="H32" i="3"/>
  <c r="E15" i="3"/>
  <c r="AM11" i="3"/>
  <c r="E26" i="3"/>
  <c r="AM14" i="3"/>
  <c r="E9" i="3"/>
  <c r="H41" i="3"/>
  <c r="H53" i="3"/>
  <c r="E19" i="3"/>
  <c r="H37" i="3"/>
  <c r="AM46" i="3"/>
  <c r="E45" i="3"/>
  <c r="X45" i="3" s="1"/>
  <c r="AM23" i="3"/>
  <c r="E28" i="3"/>
  <c r="X28" i="3" s="1"/>
  <c r="H13" i="3"/>
  <c r="E16" i="3"/>
  <c r="AM34" i="3"/>
  <c r="H34" i="3"/>
  <c r="H50" i="3"/>
  <c r="E46" i="3"/>
  <c r="H11" i="3"/>
  <c r="X11" i="3" s="1"/>
  <c r="AM21" i="3"/>
  <c r="H28" i="3"/>
  <c r="H21" i="3"/>
  <c r="E51" i="3"/>
  <c r="AM51" i="3"/>
  <c r="H36" i="3"/>
  <c r="H38" i="3"/>
  <c r="E20" i="3"/>
  <c r="X20" i="3" s="1"/>
  <c r="AM52" i="3"/>
  <c r="H51" i="3"/>
  <c r="E54" i="3"/>
  <c r="E35" i="3"/>
  <c r="H19" i="3"/>
  <c r="AM47" i="3"/>
  <c r="E38" i="3"/>
  <c r="X38" i="3" s="1"/>
  <c r="AM50" i="3"/>
  <c r="E21" i="3"/>
  <c r="X21" i="3" s="1"/>
  <c r="H52" i="3"/>
  <c r="H22" i="3"/>
  <c r="H35" i="3"/>
  <c r="E53" i="3"/>
  <c r="AM45" i="3"/>
  <c r="H10" i="3"/>
  <c r="E41" i="3"/>
  <c r="X41" i="3" s="1"/>
  <c r="E23" i="3"/>
  <c r="X23" i="3" s="1"/>
  <c r="AM17" i="3"/>
  <c r="X25" i="3"/>
  <c r="X31" i="3"/>
  <c r="X40" i="3"/>
  <c r="X33" i="3"/>
  <c r="X35" i="3"/>
  <c r="X51" i="3"/>
  <c r="X34" i="3"/>
  <c r="X19" i="3"/>
  <c r="X42" i="3"/>
  <c r="X47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S12" i="3"/>
  <c r="T31" i="3"/>
  <c r="S17" i="3"/>
  <c r="X17" i="3"/>
  <c r="S49" i="3"/>
  <c r="AG50" i="3"/>
  <c r="T21" i="3"/>
  <c r="T20" i="3"/>
  <c r="X32" i="3"/>
  <c r="S32" i="3"/>
  <c r="X9" i="3"/>
  <c r="S9" i="3"/>
  <c r="S28" i="3"/>
  <c r="S26" i="3"/>
  <c r="AF33" i="3"/>
  <c r="T13" i="3"/>
  <c r="T22" i="3"/>
  <c r="T40" i="3"/>
  <c r="S45" i="3"/>
  <c r="S37" i="3"/>
  <c r="S54" i="3"/>
  <c r="X54" i="3"/>
  <c r="S27" i="3"/>
  <c r="T10" i="3"/>
  <c r="AF14" i="3"/>
  <c r="T47" i="3"/>
  <c r="T34" i="3"/>
  <c r="S46" i="3"/>
  <c r="X46" i="3"/>
  <c r="S53" i="3"/>
  <c r="X53" i="3"/>
  <c r="S43" i="3"/>
  <c r="T19" i="3"/>
  <c r="T48" i="3"/>
  <c r="S24" i="3"/>
  <c r="S38" i="3"/>
  <c r="X50" i="3"/>
  <c r="S50" i="3"/>
  <c r="X16" i="3"/>
  <c r="S16" i="3"/>
  <c r="S29" i="3"/>
  <c r="AF50" i="3"/>
  <c r="T7" i="3"/>
  <c r="T42" i="3"/>
  <c r="T51" i="3"/>
  <c r="T25" i="3"/>
  <c r="X14" i="3"/>
  <c r="S14" i="3"/>
  <c r="S41" i="3"/>
  <c r="AG51" i="3"/>
  <c r="T36" i="3"/>
  <c r="T8" i="3"/>
  <c r="T52" i="3"/>
  <c r="T23" i="3"/>
  <c r="S39" i="3"/>
  <c r="X39" i="3"/>
  <c r="S11" i="3"/>
  <c r="T35" i="3"/>
  <c r="X15" i="3"/>
  <c r="S15" i="3"/>
  <c r="S30" i="3"/>
  <c r="S18" i="3"/>
  <c r="T33" i="3"/>
  <c r="AF9" i="3"/>
  <c r="T44" i="3"/>
  <c r="AF22" i="3" l="1"/>
  <c r="AG22" i="3"/>
  <c r="AG27" i="3"/>
  <c r="AF15" i="3"/>
  <c r="AG14" i="3"/>
  <c r="AI14" i="3" s="1"/>
  <c r="AF26" i="3"/>
  <c r="AG21" i="3"/>
  <c r="AG41" i="3"/>
  <c r="AG32" i="3"/>
  <c r="X7" i="3"/>
  <c r="AG29" i="3"/>
  <c r="AG44" i="3"/>
  <c r="AG45" i="3"/>
  <c r="AG20" i="3"/>
  <c r="AG10" i="3"/>
  <c r="AG53" i="3"/>
  <c r="AG47" i="3"/>
  <c r="AF44" i="3"/>
  <c r="AF34" i="3"/>
  <c r="AG23" i="3"/>
  <c r="AG52" i="3"/>
  <c r="AG40" i="3"/>
  <c r="AF45" i="3"/>
  <c r="AF27" i="3"/>
  <c r="AG9" i="3"/>
  <c r="AI9" i="3" s="1"/>
  <c r="AF10" i="3"/>
  <c r="AF51" i="3"/>
  <c r="AI51" i="3" s="1"/>
  <c r="AF52" i="3"/>
  <c r="AF38" i="3"/>
  <c r="AF53" i="3"/>
  <c r="AG8" i="3"/>
  <c r="AF47" i="3"/>
  <c r="AF17" i="3"/>
  <c r="AF35" i="3"/>
  <c r="AF29" i="3"/>
  <c r="AG39" i="3"/>
  <c r="AF40" i="3"/>
  <c r="AG35" i="3"/>
  <c r="AF16" i="3"/>
  <c r="AG34" i="3"/>
  <c r="AF8" i="3"/>
  <c r="AF11" i="3"/>
  <c r="AF32" i="3"/>
  <c r="AG26" i="3"/>
  <c r="AG17" i="3"/>
  <c r="AF21" i="3"/>
  <c r="AF28" i="3"/>
  <c r="AF39" i="3"/>
  <c r="AF23" i="3"/>
  <c r="AG46" i="3"/>
  <c r="AF41" i="3"/>
  <c r="AG15" i="3"/>
  <c r="AI15" i="3" s="1"/>
  <c r="AF20" i="3"/>
  <c r="AG38" i="3"/>
  <c r="AG28" i="3"/>
  <c r="AF46" i="3"/>
  <c r="AG11" i="3"/>
  <c r="AG16" i="3"/>
  <c r="T14" i="3"/>
  <c r="T38" i="3"/>
  <c r="T46" i="3"/>
  <c r="T45" i="3"/>
  <c r="T32" i="3"/>
  <c r="T18" i="3"/>
  <c r="T11" i="3"/>
  <c r="T43" i="3"/>
  <c r="T27" i="3"/>
  <c r="T12" i="3"/>
  <c r="T26" i="3"/>
  <c r="T29" i="3"/>
  <c r="T24" i="3"/>
  <c r="T30" i="3"/>
  <c r="T39" i="3"/>
  <c r="T16" i="3"/>
  <c r="T53" i="3"/>
  <c r="T54" i="3"/>
  <c r="T28" i="3"/>
  <c r="T49" i="3"/>
  <c r="T15" i="3"/>
  <c r="T37" i="3"/>
  <c r="T9" i="3"/>
  <c r="T41" i="3"/>
  <c r="AI50" i="3"/>
  <c r="T50" i="3"/>
  <c r="AI33" i="3"/>
  <c r="T17" i="3"/>
  <c r="AI29" i="3" l="1"/>
  <c r="AI39" i="3"/>
  <c r="AI27" i="3"/>
  <c r="AI22" i="3"/>
  <c r="AI16" i="3"/>
  <c r="AI11" i="3"/>
  <c r="AI46" i="3"/>
  <c r="AF12" i="3"/>
  <c r="AF36" i="3"/>
  <c r="AG36" i="3"/>
  <c r="AI47" i="3"/>
  <c r="AI38" i="3"/>
  <c r="AI35" i="3"/>
  <c r="AI53" i="3"/>
  <c r="AI10" i="3"/>
  <c r="AI20" i="3"/>
  <c r="AF24" i="3"/>
  <c r="AI40" i="3"/>
  <c r="AI28" i="3"/>
  <c r="AI17" i="3"/>
  <c r="AI34" i="3"/>
  <c r="AG12" i="3"/>
  <c r="AF48" i="3"/>
  <c r="AI21" i="3"/>
  <c r="AG18" i="3"/>
  <c r="AG30" i="3"/>
  <c r="AG42" i="3"/>
  <c r="AI52" i="3"/>
  <c r="AI23" i="3"/>
  <c r="AG48" i="3"/>
  <c r="AF18" i="3"/>
  <c r="AI41" i="3"/>
  <c r="AF54" i="3"/>
  <c r="AI32" i="3"/>
  <c r="AF42" i="3"/>
  <c r="AF30" i="3"/>
  <c r="AI45" i="3"/>
  <c r="AI26" i="3"/>
  <c r="AG54" i="3"/>
  <c r="AG24" i="3"/>
  <c r="AI8" i="3"/>
  <c r="AI44" i="3"/>
  <c r="AC23" i="3"/>
  <c r="AC50" i="3"/>
  <c r="AD33" i="3"/>
  <c r="AD46" i="3"/>
  <c r="AE34" i="3"/>
  <c r="AE44" i="3"/>
  <c r="AD8" i="3"/>
  <c r="AE8" i="3"/>
  <c r="AC38" i="3"/>
  <c r="AD47" i="3"/>
  <c r="AC52" i="3"/>
  <c r="AC53" i="3"/>
  <c r="AE32" i="3"/>
  <c r="AC10" i="3"/>
  <c r="AE9" i="3"/>
  <c r="AD14" i="3"/>
  <c r="AE46" i="3"/>
  <c r="AE21" i="3"/>
  <c r="AE16" i="3"/>
  <c r="AD41" i="3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C21" i="3"/>
  <c r="AD29" i="3"/>
  <c r="AC41" i="3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C17" i="3"/>
  <c r="AD28" i="3"/>
  <c r="AC15" i="3"/>
  <c r="AE47" i="3"/>
  <c r="AD10" i="3"/>
  <c r="AC22" i="3"/>
  <c r="AE53" i="3"/>
  <c r="AE27" i="3"/>
  <c r="AE23" i="3"/>
  <c r="AE35" i="3"/>
  <c r="AE41" i="3"/>
  <c r="AD40" i="3"/>
  <c r="AE29" i="3"/>
  <c r="AI19" i="3" l="1"/>
  <c r="AI18" i="3" s="1"/>
  <c r="AI13" i="3"/>
  <c r="AI12" i="3" s="1"/>
  <c r="AI55" i="3"/>
  <c r="AI54" i="3" s="1"/>
  <c r="AJ50" i="3" s="1"/>
  <c r="AI43" i="3"/>
  <c r="AI42" i="3" s="1"/>
  <c r="AK34" i="3"/>
  <c r="AH34" i="3" s="1"/>
  <c r="AI31" i="3"/>
  <c r="AI30" i="3" s="1"/>
  <c r="AJ29" i="3" s="1"/>
  <c r="AI25" i="3"/>
  <c r="AI24" i="3" s="1"/>
  <c r="AI49" i="3"/>
  <c r="AI48" i="3" s="1"/>
  <c r="AJ45" i="3" s="1"/>
  <c r="AI37" i="3"/>
  <c r="AI36" i="3" s="1"/>
  <c r="AK23" i="3"/>
  <c r="AH23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U40" i="3" s="1"/>
  <c r="AK27" i="3"/>
  <c r="AH27" i="3" s="1"/>
  <c r="AD36" i="3"/>
  <c r="AK35" i="3"/>
  <c r="AH35" i="3" s="1"/>
  <c r="AK33" i="3"/>
  <c r="AH33" i="3" s="1"/>
  <c r="AK41" i="3"/>
  <c r="AH41" i="3" s="1"/>
  <c r="AK17" i="3"/>
  <c r="AH17" i="3" s="1"/>
  <c r="AE42" i="3"/>
  <c r="AK16" i="3"/>
  <c r="AH16" i="3" s="1"/>
  <c r="AD30" i="3"/>
  <c r="AE48" i="3"/>
  <c r="AE12" i="3"/>
  <c r="AC18" i="3"/>
  <c r="AK14" i="3"/>
  <c r="AH14" i="3" s="1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K10" i="3"/>
  <c r="AH10" i="3" s="1"/>
  <c r="AC48" i="3"/>
  <c r="AK44" i="3"/>
  <c r="AE18" i="3"/>
  <c r="AD54" i="3"/>
  <c r="AE36" i="3"/>
  <c r="AC42" i="3"/>
  <c r="AK38" i="3"/>
  <c r="AK47" i="3"/>
  <c r="AC54" i="3"/>
  <c r="AK15" i="3"/>
  <c r="AH15" i="3" s="1"/>
  <c r="AK8" i="3"/>
  <c r="AH8" i="3" s="1"/>
  <c r="AC12" i="3"/>
  <c r="AD24" i="3"/>
  <c r="AD48" i="3"/>
  <c r="AK53" i="3"/>
  <c r="AK21" i="3"/>
  <c r="AH21" i="3" s="1"/>
  <c r="AK40" i="3"/>
  <c r="AE30" i="3"/>
  <c r="AD42" i="3"/>
  <c r="AD18" i="3"/>
  <c r="AK52" i="3"/>
  <c r="W40" i="3" l="1"/>
  <c r="V40" i="3"/>
  <c r="U39" i="3"/>
  <c r="U24" i="3"/>
  <c r="AJ17" i="3"/>
  <c r="AJ15" i="3"/>
  <c r="AJ14" i="3"/>
  <c r="AJ16" i="3"/>
  <c r="AJ53" i="3"/>
  <c r="AJ51" i="3"/>
  <c r="U8" i="3"/>
  <c r="W8" i="3" s="1"/>
  <c r="AJ52" i="3"/>
  <c r="AJ11" i="3"/>
  <c r="AJ9" i="3"/>
  <c r="AJ47" i="3"/>
  <c r="AJ10" i="3"/>
  <c r="AJ44" i="3"/>
  <c r="AJ8" i="3"/>
  <c r="AJ41" i="3"/>
  <c r="AJ38" i="3"/>
  <c r="AJ39" i="3"/>
  <c r="AJ40" i="3"/>
  <c r="AH13" i="3"/>
  <c r="AH12" i="3" s="1"/>
  <c r="AJ20" i="3"/>
  <c r="AJ23" i="3"/>
  <c r="AJ21" i="3"/>
  <c r="AJ22" i="3"/>
  <c r="U7" i="3"/>
  <c r="AJ35" i="3"/>
  <c r="AJ46" i="3"/>
  <c r="AJ33" i="3"/>
  <c r="AJ34" i="3"/>
  <c r="AJ32" i="3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AK48" i="3"/>
  <c r="AH44" i="3"/>
  <c r="AK36" i="3"/>
  <c r="AH32" i="3"/>
  <c r="U34" i="3" s="1"/>
  <c r="AH51" i="3"/>
  <c r="AK18" i="3"/>
  <c r="U49" i="3" l="1"/>
  <c r="W49" i="3" s="1"/>
  <c r="W39" i="3"/>
  <c r="V39" i="3"/>
  <c r="W24" i="3"/>
  <c r="V24" i="3"/>
  <c r="U20" i="3"/>
  <c r="W20" i="3" s="1"/>
  <c r="V8" i="3"/>
  <c r="V7" i="3"/>
  <c r="W7" i="3"/>
  <c r="U54" i="3"/>
  <c r="W54" i="3" s="1"/>
  <c r="U52" i="3"/>
  <c r="V52" i="3" s="1"/>
  <c r="U12" i="3"/>
  <c r="U18" i="3"/>
  <c r="W18" i="3" s="1"/>
  <c r="U32" i="3"/>
  <c r="V32" i="3" s="1"/>
  <c r="U48" i="3"/>
  <c r="U23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V49" i="3" l="1"/>
  <c r="V20" i="3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O15" i="3"/>
  <c r="N33" i="3"/>
  <c r="J39" i="3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J9" i="3"/>
  <c r="AO45" i="3"/>
  <c r="L9" i="3"/>
  <c r="O52" i="3"/>
  <c r="N53" i="3"/>
  <c r="J51" i="3"/>
  <c r="P15" i="3" l="1"/>
  <c r="K15" i="3"/>
  <c r="P16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<sst xmlns="http://schemas.openxmlformats.org/spreadsheetml/2006/main" count="4373" uniqueCount="2539">
  <si>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</si>
  <si>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</si>
  <si>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</si>
  <si>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</si>
  <si>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</si>
  <si>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</si>
  <si>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</si>
  <si>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</si>
  <si>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</si>
  <si>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</si>
  <si>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</si>
  <si>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</si>
  <si>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</si>
  <si>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</si>
  <si>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</si>
  <si>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</si>
  <si>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</si>
  <si>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</si>
  <si>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</si>
  <si>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</si>
  <si>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</si>
  <si>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</si>
  <si>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</si>
  <si>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</si>
  <si>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</si>
  <si>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</si>
  <si>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</si>
  <si>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</si>
  <si>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</si>
  <si>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</si>
  <si>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</si>
  <si>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</si>
  <si>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</si>
  <si>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</si>
  <si>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</si>
  <si>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</si>
  <si>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</si>
  <si>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</si>
  <si>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</si>
  <si>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</si>
  <si>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</si>
  <si>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</si>
  <si>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</si>
  <si>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</si>
  <si>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</si>
  <si>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</si>
  <si>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</si>
  <si>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</si>
  <si>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</si>
  <si>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</si>
  <si>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</si>
  <si>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</si>
  <si>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</si>
  <si>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</si>
  <si>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</si>
  <si>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</si>
  <si>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</si>
  <si>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</si>
  <si>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</si>
  <si>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</si>
  <si>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</si>
  <si>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</si>
  <si>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</si>
  <si>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</si>
  <si>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</si>
  <si>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</si>
  <si>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</si>
  <si>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</si>
  <si>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</si>
  <si>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</si>
  <si>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</si>
  <si>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</si>
  <si>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</si>
  <si>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</si>
  <si>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</si>
  <si>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</si>
  <si>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</si>
  <si>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</si>
  <si>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</si>
  <si>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</si>
  <si>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</si>
  <si>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</si>
  <si>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</si>
  <si>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</si>
  <si>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</si>
  <si>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</si>
  <si>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</si>
  <si>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</si>
  <si>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</si>
  <si>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</si>
  <si>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</si>
  <si>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</si>
  <si>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</si>
  <si>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</si>
  <si>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</si>
  <si>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</si>
  <si>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</si>
  <si>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</si>
  <si>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</si>
  <si>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</si>
  <si>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</si>
  <si>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</si>
  <si>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</si>
  <si>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</si>
  <si>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</si>
  <si>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</si>
  <si>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</si>
  <si>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</si>
  <si>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</si>
  <si>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</si>
  <si>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</si>
  <si>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</si>
  <si>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</si>
  <si>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</si>
  <si>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</si>
  <si>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</si>
  <si>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</si>
  <si>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</si>
  <si>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</si>
  <si>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</si>
  <si>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</si>
  <si>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</si>
  <si>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</si>
  <si>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</si>
  <si>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</si>
  <si>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</si>
  <si>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</si>
  <si>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</si>
  <si>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</si>
  <si>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</si>
  <si>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</si>
  <si>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</si>
  <si>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</si>
  <si>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</si>
  <si>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</si>
  <si>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</si>
  <si>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</si>
  <si>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</si>
  <si>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</si>
  <si>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</si>
  <si>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</si>
  <si>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</si>
  <si>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</si>
  <si>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</si>
  <si>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</si>
  <si>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</si>
  <si>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</si>
  <si>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</si>
  <si>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</si>
  <si>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</si>
  <si>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</si>
  <si>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</si>
  <si>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</si>
  <si>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</si>
  <si>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</si>
  <si>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</si>
  <si>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</si>
  <si>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</si>
  <si>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</si>
  <si>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</si>
  <si>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</si>
  <si>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</si>
  <si>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</si>
  <si>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</si>
  <si>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</si>
  <si>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</si>
  <si>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</si>
  <si>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</si>
  <si>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</si>
  <si>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</si>
  <si>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</si>
  <si>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</si>
  <si>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</si>
  <si>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</si>
  <si>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</si>
  <si>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</si>
  <si>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</si>
  <si>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</si>
  <si>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</si>
  <si>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</si>
  <si>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</si>
  <si>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</si>
  <si>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</si>
  <si>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</si>
  <si>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</si>
  <si>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</si>
  <si>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</si>
  <si>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</si>
  <si>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</si>
  <si>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</si>
  <si>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</si>
  <si>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</si>
  <si>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</si>
  <si>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</si>
  <si>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</si>
  <si>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</si>
  <si>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</si>
  <si>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</si>
  <si>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</si>
  <si>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</si>
  <si>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</si>
  <si>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</si>
  <si>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</si>
  <si>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</si>
  <si>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</si>
  <si>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</si>
  <si>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</si>
  <si>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</si>
  <si>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</si>
  <si>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</si>
  <si>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</si>
  <si>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</si>
  <si>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</si>
  <si>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</si>
  <si>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</si>
  <si>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</si>
  <si>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</si>
  <si>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</si>
  <si>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</si>
  <si>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</si>
  <si>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</si>
  <si>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</si>
  <si>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</si>
  <si>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</si>
  <si>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</si>
  <si>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</si>
  <si>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</si>
  <si>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</si>
  <si>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</si>
  <si>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</si>
  <si>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</si>
  <si>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</si>
  <si>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</si>
  <si>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</si>
  <si>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</si>
  <si>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</si>
  <si>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</si>
  <si>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</si>
  <si>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</si>
  <si>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</si>
  <si>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</si>
  <si>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</si>
  <si>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</si>
  <si>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</si>
  <si>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</si>
  <si>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</si>
  <si>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</si>
  <si>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</si>
  <si>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</si>
  <si>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</si>
  <si>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</si>
  <si>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</si>
  <si>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</si>
  <si>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</si>
  <si>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</si>
  <si>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</si>
  <si>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</si>
  <si>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</si>
  <si>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</si>
  <si>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</si>
  <si>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</si>
  <si>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</si>
  <si>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</si>
  <si>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</si>
  <si>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</si>
  <si>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</si>
  <si>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</si>
  <si>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</si>
  <si>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</si>
  <si>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</si>
  <si>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</si>
  <si>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</si>
  <si>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</si>
  <si>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</si>
  <si>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</si>
  <si>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</si>
  <si>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</si>
  <si>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</si>
  <si>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</si>
  <si>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</si>
  <si>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</si>
  <si>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</si>
  <si>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</si>
  <si>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</si>
  <si>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</si>
  <si>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</si>
  <si>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</si>
  <si>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</si>
  <si>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</si>
  <si>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</si>
  <si>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</si>
  <si>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</si>
  <si>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</si>
  <si>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</si>
  <si>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</si>
  <si>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</si>
  <si>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</si>
  <si>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</si>
  <si>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</si>
  <si>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</si>
  <si>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</si>
  <si>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</si>
  <si>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</si>
  <si>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</si>
  <si>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</si>
  <si>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</si>
  <si>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</si>
  <si>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</si>
  <si>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</si>
  <si>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</si>
  <si>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</si>
  <si>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</si>
  <si>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</si>
  <si>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</si>
  <si>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</si>
  <si>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</si>
  <si>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</si>
  <si>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</si>
  <si>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</si>
  <si>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</si>
  <si>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</si>
  <si>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</si>
  <si>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</si>
  <si>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</si>
  <si>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</si>
  <si>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</si>
  <si>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</si>
  <si>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</si>
  <si>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</si>
  <si>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</si>
  <si>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</si>
  <si>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</si>
  <si>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</si>
  <si>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</si>
  <si>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</si>
  <si>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</si>
  <si>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</si>
  <si>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</si>
  <si>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</si>
  <si>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</si>
  <si>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</si>
  <si>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</si>
  <si>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</si>
  <si>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</si>
  <si>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</si>
  <si>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</si>
  <si>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</si>
  <si>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</si>
  <si>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</si>
  <si>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</si>
  <si>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</si>
  <si>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</si>
  <si>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</si>
  <si>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</si>
  <si>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</si>
  <si>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</si>
  <si>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</si>
  <si>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</si>
  <si>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</si>
  <si>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</si>
  <si>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</si>
  <si>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</si>
  <si>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</si>
  <si>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</si>
  <si>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</si>
  <si>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</si>
  <si>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</si>
  <si>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</si>
  <si>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</si>
  <si>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</si>
  <si>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</si>
  <si>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</si>
  <si>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</si>
  <si>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</si>
  <si>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</si>
  <si>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</si>
  <si>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</si>
  <si>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</si>
  <si>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</si>
  <si>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</si>
  <si>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</si>
  <si>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</si>
  <si>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</si>
  <si>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</si>
  <si>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</si>
  <si>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</si>
  <si>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</si>
  <si>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</si>
  <si>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</si>
  <si>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</si>
  <si>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</si>
  <si>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</si>
  <si>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</si>
  <si>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</si>
  <si>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</si>
  <si>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</si>
  <si>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</si>
  <si>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</si>
  <si>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</si>
  <si>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</si>
  <si>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</si>
  <si>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</si>
  <si>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</si>
  <si>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</si>
  <si>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</si>
  <si>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</si>
  <si>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</si>
  <si>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</si>
  <si>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</si>
  <si>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</si>
  <si>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</si>
  <si>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</si>
  <si>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</si>
  <si>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</si>
  <si>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</si>
  <si>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</si>
  <si>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</si>
  <si>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</si>
  <si>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</si>
  <si>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</si>
  <si>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</si>
  <si>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</si>
  <si>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</si>
  <si>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</si>
  <si>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</si>
  <si>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</si>
  <si>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</si>
  <si>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</si>
  <si>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</si>
  <si>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</si>
  <si>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</si>
  <si>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</si>
  <si>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</si>
  <si>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</si>
  <si>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</si>
  <si>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</si>
  <si>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</si>
  <si>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</si>
  <si>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</si>
  <si>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</si>
  <si>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</si>
  <si>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</si>
  <si>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</si>
  <si>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</si>
  <si>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</si>
  <si>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</si>
  <si>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</si>
  <si>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</si>
  <si>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</si>
  <si>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</si>
  <si>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</si>
  <si>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</si>
  <si>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</si>
  <si>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</si>
  <si>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</si>
  <si>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</si>
  <si>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</si>
  <si>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</si>
  <si>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</si>
  <si>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</si>
  <si>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</si>
  <si>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</si>
  <si>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</si>
  <si>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</si>
  <si>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</si>
  <si>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</si>
  <si>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</si>
  <si>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</si>
  <si>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</si>
  <si>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</si>
  <si>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</si>
  <si>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</si>
  <si>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</si>
  <si>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</si>
  <si>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</si>
  <si>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</si>
  <si>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</si>
  <si>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</si>
  <si>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</si>
  <si>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</si>
  <si>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</si>
  <si>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</si>
  <si>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</si>
  <si>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</si>
  <si>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</si>
  <si>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</si>
  <si>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</si>
  <si>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</si>
  <si>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</si>
  <si>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</si>
  <si>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</si>
  <si>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</si>
  <si>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</si>
  <si>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</si>
  <si>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</si>
  <si>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</si>
  <si>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</si>
  <si>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</si>
  <si>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</si>
  <si>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</si>
  <si>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</si>
  <si>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</si>
  <si>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</si>
  <si>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</si>
  <si>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</si>
  <si>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</si>
  <si>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</si>
  <si>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</si>
  <si>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</si>
  <si>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</si>
  <si>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</si>
  <si>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</si>
  <si>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</si>
  <si>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</si>
  <si>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</si>
  <si>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</si>
  <si>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</si>
  <si>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</si>
  <si>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</si>
  <si>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</si>
  <si>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</si>
  <si>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</si>
  <si>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</si>
  <si>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</si>
  <si>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</si>
  <si>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</si>
  <si>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</si>
  <si>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</si>
  <si>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</si>
  <si>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</si>
  <si>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</si>
  <si>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</si>
  <si>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</si>
  <si>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</si>
  <si>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</si>
  <si>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</si>
  <si>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</si>
  <si>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</si>
  <si>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</si>
  <si>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</si>
  <si>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</si>
  <si>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</si>
  <si>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</si>
  <si>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</si>
  <si>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</si>
  <si>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</si>
  <si>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</si>
  <si>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</si>
  <si>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</si>
  <si>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</si>
  <si>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</si>
  <si>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</si>
  <si>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</si>
  <si>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</si>
  <si>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</si>
  <si>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</si>
  <si>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</si>
  <si>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</si>
  <si>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</si>
  <si>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</si>
  <si>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</si>
  <si>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</si>
  <si>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</si>
  <si>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</si>
  <si>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</si>
  <si>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</si>
  <si>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</si>
  <si>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</si>
  <si>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</si>
  <si>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</si>
  <si>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</si>
  <si>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</si>
  <si>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</si>
  <si>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</si>
  <si>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</si>
  <si>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</si>
  <si>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</si>
  <si>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</si>
  <si>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</si>
  <si>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</si>
  <si>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</si>
  <si>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</si>
  <si>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</si>
  <si>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</si>
  <si>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</si>
  <si>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</si>
  <si>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</si>
  <si>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</si>
  <si>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</si>
  <si>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</si>
  <si>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</si>
  <si>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</si>
  <si>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</si>
  <si>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</si>
  <si>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</si>
  <si>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</si>
  <si>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</si>
  <si>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</si>
  <si>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</si>
  <si>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</si>
  <si>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</si>
  <si>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</si>
  <si>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</si>
  <si>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</si>
  <si>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</si>
  <si>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</si>
  <si>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</si>
  <si>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</si>
  <si>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</si>
  <si>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</si>
  <si>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</si>
  <si>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</si>
  <si>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</si>
  <si>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</si>
  <si>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</si>
  <si>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</si>
  <si>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</si>
  <si>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</si>
  <si>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</si>
  <si>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</si>
  <si>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</si>
  <si>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</si>
  <si>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</si>
  <si>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</si>
  <si>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</si>
  <si>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</si>
  <si>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</si>
  <si>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</si>
  <si>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</si>
  <si>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</si>
  <si>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</si>
  <si>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</si>
  <si>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</si>
  <si>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</si>
  <si>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</si>
  <si>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</si>
  <si>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</si>
  <si>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</si>
  <si>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</si>
  <si>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</si>
  <si>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</si>
  <si>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</si>
  <si>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</si>
  <si>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</si>
  <si>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</si>
  <si>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</si>
  <si>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</si>
  <si>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</si>
  <si>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</si>
  <si>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</si>
  <si>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</si>
  <si>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</si>
  <si>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</si>
  <si>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</si>
  <si>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</si>
  <si>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</si>
  <si>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</si>
  <si>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</si>
  <si>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</si>
  <si>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</si>
  <si>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</si>
  <si>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</si>
  <si>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</si>
  <si>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</si>
  <si>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</si>
  <si>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</si>
  <si>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</si>
  <si>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</si>
  <si>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</si>
  <si>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</si>
  <si>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</si>
  <si>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</si>
  <si>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</si>
  <si>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</si>
  <si>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</si>
  <si>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</si>
  <si>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</si>
  <si>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</si>
  <si>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</si>
  <si>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</si>
  <si>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</si>
  <si>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</si>
  <si>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</si>
  <si>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</si>
  <si>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</si>
  <si>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</si>
  <si>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</si>
  <si>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</si>
  <si>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</si>
  <si>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</si>
  <si>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</si>
  <si>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</si>
  <si>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</si>
  <si>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</si>
  <si>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</si>
  <si>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</si>
  <si>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</si>
  <si>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</si>
  <si>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</si>
  <si>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</si>
  <si>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</si>
  <si>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</si>
  <si>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</si>
  <si>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</si>
  <si>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</si>
  <si>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</si>
  <si>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</si>
  <si>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</si>
  <si>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</si>
  <si>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</si>
  <si>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</si>
  <si>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</si>
  <si>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</si>
  <si>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</si>
  <si>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</si>
  <si>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</si>
  <si>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</si>
  <si>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</si>
  <si>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</si>
  <si>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</si>
  <si>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</si>
  <si>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</si>
  <si>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</si>
  <si>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</si>
  <si>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</si>
  <si>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</si>
  <si>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</si>
  <si>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</si>
  <si>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</si>
  <si>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</si>
  <si>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</si>
  <si>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</si>
  <si>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</si>
  <si>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</si>
  <si>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</si>
  <si>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</si>
  <si>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</si>
  <si>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</si>
  <si>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</si>
  <si>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</si>
  <si>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</si>
  <si>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</si>
  <si>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</si>
  <si>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</si>
  <si>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</si>
  <si>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</si>
  <si>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</si>
  <si>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</si>
  <si>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</si>
  <si>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</si>
  <si>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</si>
  <si>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</si>
  <si>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</si>
  <si>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</si>
  <si>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</si>
  <si>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</si>
  <si>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</si>
  <si>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</si>
  <si>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</si>
  <si>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</si>
  <si>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</si>
  <si>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</si>
  <si>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</si>
  <si>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</si>
  <si>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</si>
  <si>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</si>
  <si>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</si>
  <si>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</si>
  <si>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</si>
  <si>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</si>
  <si>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</si>
  <si>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</si>
  <si>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</si>
  <si>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</si>
  <si>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</si>
  <si>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</si>
  <si>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</si>
  <si>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</si>
  <si>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</si>
  <si>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</si>
  <si>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</si>
  <si>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</si>
  <si>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</si>
  <si>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</si>
  <si>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</si>
  <si>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</si>
  <si>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</si>
  <si>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</si>
  <si>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</si>
  <si>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</si>
  <si>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</si>
  <si>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</si>
  <si>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</si>
  <si>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</si>
  <si>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</si>
  <si>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</si>
  <si>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</si>
  <si>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</si>
  <si>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</si>
  <si>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</si>
  <si>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</si>
  <si>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</si>
  <si>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</si>
  <si>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</si>
  <si>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</si>
  <si>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</si>
  <si>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</si>
  <si>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</si>
  <si>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</si>
  <si>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</si>
  <si>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</si>
  <si>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</si>
  <si>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</si>
  <si>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</si>
  <si>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</si>
  <si>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</si>
  <si>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</si>
  <si>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</si>
  <si>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</si>
  <si>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</si>
  <si>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</si>
  <si>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</si>
  <si>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</si>
  <si>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</si>
  <si>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</si>
  <si>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</si>
  <si>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</si>
  <si>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</si>
  <si>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</si>
  <si>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</si>
  <si>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</si>
  <si>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</si>
  <si>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</si>
  <si>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</si>
  <si>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</si>
  <si>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</si>
  <si>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</si>
  <si>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</si>
  <si>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</si>
  <si>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</si>
  <si>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</si>
  <si>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</si>
  <si>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</si>
  <si>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</si>
  <si>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</si>
  <si>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</si>
  <si>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</si>
  <si>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</si>
  <si>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</si>
  <si>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</si>
  <si>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</si>
  <si>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</si>
  <si>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</si>
  <si>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</si>
  <si>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</si>
  <si>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</si>
  <si>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</si>
  <si>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</si>
  <si>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</si>
  <si>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</si>
  <si>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</si>
  <si>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</si>
  <si>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</si>
  <si>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</si>
  <si>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</si>
  <si>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</si>
  <si>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</si>
  <si>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</si>
  <si>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</si>
  <si>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</si>
  <si>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</si>
  <si>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</si>
  <si>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</si>
  <si>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</si>
  <si>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</si>
  <si>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</si>
  <si>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</si>
  <si>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</si>
  <si>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</si>
  <si>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</si>
  <si>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</si>
  <si>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</si>
  <si>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</si>
  <si>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</si>
  <si>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</si>
  <si>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</si>
  <si>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</si>
  <si>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</si>
  <si>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</si>
  <si>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</si>
  <si>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</si>
  <si>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</si>
  <si>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</si>
  <si>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</si>
  <si>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</si>
  <si>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</si>
  <si>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</si>
  <si>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</si>
  <si>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</si>
  <si>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</si>
  <si>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</si>
  <si>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</si>
  <si>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</si>
  <si>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</si>
  <si>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</si>
  <si>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</si>
  <si>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</si>
  <si>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</si>
  <si>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</si>
  <si>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</si>
  <si>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</si>
  <si>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</si>
  <si>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</si>
  <si>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</si>
  <si>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</si>
  <si>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</si>
  <si>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</si>
  <si>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</si>
  <si>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</si>
  <si>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</si>
  <si>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</si>
  <si>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</si>
  <si>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</si>
  <si>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</si>
  <si>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</si>
  <si>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</si>
  <si>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</si>
  <si>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</si>
  <si>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</si>
  <si>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</si>
  <si>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</si>
  <si>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</si>
  <si>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</si>
  <si>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</si>
  <si>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</si>
  <si>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</si>
  <si>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</si>
  <si>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</si>
  <si>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</si>
  <si>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</si>
  <si>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</si>
  <si>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</si>
  <si>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</si>
  <si>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</si>
  <si>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</si>
  <si>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</si>
  <si>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</si>
  <si>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</si>
  <si>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</si>
  <si>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</si>
  <si>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</si>
  <si>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</si>
  <si>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</si>
  <si>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</si>
  <si>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</si>
  <si>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</si>
  <si>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</si>
  <si>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</si>
  <si>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</si>
  <si>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</si>
  <si>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</si>
  <si>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</si>
  <si>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</si>
  <si>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</si>
  <si>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</si>
  <si>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</si>
  <si>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</si>
  <si>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</si>
  <si>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</si>
  <si>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</si>
  <si>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</si>
  <si>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</si>
  <si>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</si>
  <si>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</si>
  <si>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</si>
  <si>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</si>
  <si>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</si>
  <si>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</si>
  <si>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</si>
  <si>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</si>
  <si>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</si>
  <si>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</si>
  <si>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</si>
  <si>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</si>
  <si>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</si>
  <si>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</si>
  <si>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</si>
  <si>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</si>
  <si>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</si>
  <si>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</si>
  <si>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</si>
  <si>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</si>
  <si>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</si>
  <si>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</si>
  <si>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</si>
  <si>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</si>
  <si>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</si>
  <si>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</si>
  <si>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</si>
  <si>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</si>
  <si>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</si>
  <si>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</si>
  <si>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</si>
  <si>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</si>
  <si>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</si>
  <si>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</si>
  <si>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</si>
  <si>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</si>
  <si>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</si>
  <si>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</si>
  <si>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</si>
  <si>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</si>
  <si>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</si>
  <si>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</si>
  <si>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</si>
  <si>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</si>
  <si>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</si>
  <si>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</si>
  <si>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</si>
  <si>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</si>
  <si>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</si>
  <si>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</si>
  <si>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</si>
  <si>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</si>
  <si>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</si>
  <si>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</si>
  <si>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</si>
  <si>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</si>
  <si>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</si>
  <si>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</si>
  <si>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</si>
  <si>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</si>
  <si>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</si>
  <si>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</si>
  <si>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</si>
  <si>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</si>
  <si>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</si>
  <si>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</si>
  <si>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</si>
  <si>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</si>
  <si>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</si>
  <si>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</si>
  <si>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</si>
  <si>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</si>
  <si>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</si>
  <si>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</si>
  <si>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</si>
  <si>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</si>
  <si>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</si>
  <si>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</si>
  <si>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</si>
  <si>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</si>
  <si>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</si>
  <si>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</si>
  <si>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</si>
  <si>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</si>
  <si>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</si>
  <si>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</si>
  <si>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</si>
  <si>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</si>
  <si>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</si>
  <si>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</si>
  <si>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</si>
  <si>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</si>
  <si>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</si>
  <si>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</si>
  <si>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</si>
  <si>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</si>
  <si>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</si>
  <si>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</si>
  <si>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</si>
  <si>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</si>
  <si>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</si>
  <si>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</si>
  <si>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</si>
  <si>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</si>
  <si>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</si>
  <si>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</si>
  <si>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</si>
  <si>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</si>
  <si>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</si>
  <si>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</si>
  <si>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</si>
  <si>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</si>
  <si>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</si>
  <si>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</si>
  <si>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</si>
  <si>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</si>
  <si>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</si>
  <si>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</si>
  <si>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</si>
  <si>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</si>
  <si>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</si>
  <si>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</si>
  <si>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</si>
  <si>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</si>
  <si>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</si>
  <si>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</si>
  <si>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</si>
  <si>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</si>
  <si>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</si>
  <si>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</si>
  <si>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</si>
  <si>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</si>
  <si>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</si>
  <si>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</si>
  <si>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</si>
  <si>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</si>
  <si>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</si>
  <si>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</si>
  <si>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</si>
  <si>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</si>
  <si>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</si>
  <si>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</si>
  <si>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</si>
  <si>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</si>
  <si>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</si>
  <si>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</si>
  <si>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</si>
  <si>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</si>
  <si>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</si>
  <si>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</si>
  <si>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</si>
  <si>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</si>
  <si>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</si>
  <si>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</si>
  <si>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</si>
  <si>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</si>
  <si>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</si>
  <si>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</si>
  <si>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</si>
  <si>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</si>
  <si>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</si>
  <si>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</si>
  <si>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</si>
  <si>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</si>
  <si>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</si>
  <si>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</si>
  <si>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</si>
  <si>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</si>
  <si>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</si>
  <si>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</si>
  <si>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</si>
  <si>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</si>
  <si>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</si>
  <si>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</si>
  <si>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</si>
  <si>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</si>
  <si>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</si>
  <si>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</si>
  <si>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</si>
  <si>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</si>
  <si>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</si>
  <si>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</si>
  <si>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</si>
  <si>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</si>
  <si>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</si>
  <si>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</si>
  <si>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</si>
  <si>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</si>
  <si>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</si>
  <si>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</si>
  <si>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</si>
  <si>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</si>
  <si>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</si>
  <si>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</si>
  <si>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</si>
  <si>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</si>
  <si>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</si>
  <si>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</si>
  <si>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</si>
  <si>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</si>
  <si>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</si>
  <si>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</si>
  <si>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</si>
  <si>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</si>
  <si>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</si>
  <si>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</si>
  <si>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</si>
  <si>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</si>
  <si>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</si>
  <si>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</si>
  <si>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</si>
  <si>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</si>
  <si>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</si>
  <si>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</si>
  <si>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</si>
  <si>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</si>
  <si>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</si>
  <si>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</si>
  <si>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</si>
  <si>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</si>
  <si>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</si>
  <si>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</si>
  <si>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</si>
  <si>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</si>
  <si>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</si>
  <si>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</si>
  <si>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</si>
  <si>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</si>
  <si>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</si>
  <si>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</si>
  <si>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</si>
  <si>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</si>
  <si>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</si>
  <si>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</si>
  <si>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</si>
  <si>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</si>
  <si>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</si>
  <si>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</si>
  <si>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</si>
  <si>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</si>
  <si>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</si>
  <si>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</si>
  <si>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</si>
  <si>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</si>
  <si>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</si>
  <si>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</si>
  <si>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</si>
  <si>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</si>
  <si>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</si>
  <si>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</si>
  <si>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</si>
  <si>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</si>
  <si>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</si>
  <si>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</si>
  <si>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</si>
  <si>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</si>
  <si>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</si>
  <si>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</si>
  <si>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</si>
  <si>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</si>
  <si>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</si>
  <si>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</si>
  <si>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</si>
  <si>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</si>
  <si>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</si>
  <si>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</si>
  <si>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</si>
  <si>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</si>
  <si>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</si>
  <si>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</si>
  <si>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</si>
  <si>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</si>
  <si>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</si>
  <si>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</si>
  <si>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</si>
  <si>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</si>
  <si>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</si>
  <si>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</si>
  <si>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</si>
  <si>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</si>
  <si>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</si>
  <si>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</si>
  <si>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</si>
  <si>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</si>
  <si>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</si>
  <si>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</si>
  <si>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</si>
  <si>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</si>
  <si>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</si>
  <si>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</si>
  <si>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</si>
  <si>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</si>
  <si>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</si>
  <si>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</si>
  <si>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</si>
  <si>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</si>
  <si>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</si>
  <si>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</si>
  <si>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</si>
  <si>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</si>
  <si>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</si>
  <si>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</si>
  <si>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</si>
  <si>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</si>
  <si>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</si>
  <si>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</si>
  <si>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</si>
  <si>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</si>
  <si>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</si>
  <si>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</si>
  <si>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</si>
  <si>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</si>
  <si>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</si>
  <si>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</si>
  <si>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</si>
  <si>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</si>
  <si>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</si>
  <si>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</si>
  <si>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</si>
  <si>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</si>
  <si>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</si>
  <si>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</si>
  <si>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</si>
  <si>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</si>
  <si>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</si>
  <si>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</si>
  <si>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</si>
  <si>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</si>
  <si>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</si>
  <si>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</si>
  <si>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</si>
  <si>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</si>
  <si>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</si>
  <si>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</si>
  <si>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</si>
  <si>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</si>
  <si>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</si>
  <si>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</si>
  <si>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</si>
  <si>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</si>
  <si>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</si>
  <si>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</si>
  <si>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</si>
  <si>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</si>
  <si>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</si>
  <si>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</si>
  <si>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</si>
  <si>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</si>
  <si>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</si>
  <si>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</si>
  <si>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</si>
  <si>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</si>
  <si>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</si>
  <si>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</si>
  <si>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</si>
  <si>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</si>
  <si>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</si>
  <si>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</si>
  <si>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</si>
  <si>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</si>
  <si>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</si>
  <si>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</si>
  <si>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</si>
  <si>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</si>
  <si>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</si>
  <si>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</si>
  <si>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</si>
  <si>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</si>
  <si>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</si>
  <si>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</si>
  <si>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</si>
  <si>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</si>
  <si>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</si>
  <si>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</si>
  <si>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</si>
  <si>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</si>
  <si>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</si>
  <si>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</si>
  <si>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</si>
  <si>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</si>
  <si>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</si>
  <si>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</si>
  <si>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</si>
  <si>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</si>
  <si>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</si>
  <si>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</si>
  <si>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</si>
  <si>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</si>
  <si>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</si>
  <si>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</si>
  <si>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</si>
  <si>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</si>
  <si>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</si>
  <si>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</si>
  <si>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</si>
  <si>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</si>
  <si>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</si>
  <si>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</si>
  <si>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</si>
  <si>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</si>
  <si>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</si>
  <si>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</si>
  <si>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</si>
  <si>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</si>
  <si>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</si>
  <si>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</si>
  <si>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</si>
  <si>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</si>
  <si>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</si>
  <si>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</si>
  <si>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</si>
  <si>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</si>
  <si>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</si>
  <si>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</si>
  <si>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</si>
  <si>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</si>
  <si>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</si>
  <si>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</si>
  <si>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</si>
  <si>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</si>
  <si>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</si>
  <si>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</si>
  <si>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</si>
  <si>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</si>
  <si>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</si>
  <si>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</si>
  <si>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</si>
  <si>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</si>
  <si>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</si>
  <si>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</si>
  <si>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</si>
  <si>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</si>
  <si>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</si>
  <si>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</si>
  <si>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</si>
  <si>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</si>
  <si>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</si>
  <si>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</si>
  <si>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</si>
  <si>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</si>
  <si>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</si>
  <si>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</si>
  <si>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</si>
  <si>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</si>
  <si>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</si>
  <si>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</si>
  <si>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</si>
  <si>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</si>
  <si>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</si>
  <si>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</si>
  <si>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</si>
  <si>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</si>
  <si>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</si>
  <si>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</si>
  <si>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</si>
  <si>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</si>
  <si>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</si>
  <si>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</si>
  <si>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</si>
  <si>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</si>
  <si>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</si>
  <si>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</si>
  <si>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</si>
  <si>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</si>
  <si>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</si>
  <si>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</si>
  <si>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</si>
  <si>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</si>
  <si>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</si>
  <si>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</si>
  <si>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</si>
  <si>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</si>
  <si>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</si>
  <si>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</si>
  <si>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</si>
  <si>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</si>
  <si>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</si>
  <si>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</si>
  <si>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</si>
  <si>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</si>
  <si>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</si>
  <si>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</si>
  <si>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</si>
  <si>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</si>
  <si>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</si>
  <si>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</si>
  <si>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</si>
  <si>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</si>
  <si>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</si>
  <si>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</si>
  <si>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</si>
  <si>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</si>
  <si>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</si>
  <si>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</si>
  <si>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</si>
  <si>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</si>
  <si>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</si>
  <si>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</si>
  <si>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</si>
  <si>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</si>
  <si>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</si>
  <si>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</si>
  <si>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</si>
  <si>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</si>
  <si>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</si>
  <si>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</si>
  <si>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</si>
  <si>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</si>
  <si>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</si>
  <si>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</si>
  <si>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</si>
  <si>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</si>
  <si>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</si>
  <si>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</si>
  <si>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</si>
  <si>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</si>
  <si>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</si>
  <si>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</si>
  <si>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</si>
  <si>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</si>
  <si>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</si>
  <si>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</si>
  <si>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</si>
  <si>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</si>
  <si>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</si>
  <si>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</si>
  <si>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</si>
  <si>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</si>
  <si>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</si>
  <si>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</si>
  <si>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</si>
  <si>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</si>
  <si>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</si>
  <si>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</si>
  <si>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</si>
  <si>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</si>
  <si>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</si>
  <si>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</si>
  <si>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</si>
  <si>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</si>
  <si>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</si>
  <si>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</si>
  <si>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</si>
  <si>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</si>
  <si>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</si>
  <si>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</si>
  <si>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</si>
  <si>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</si>
  <si>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</si>
  <si>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</si>
  <si>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</si>
  <si>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</si>
  <si>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</si>
  <si>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</si>
  <si>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</si>
  <si>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</si>
  <si>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</si>
  <si>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</si>
  <si>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</si>
  <si>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</si>
  <si>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</si>
  <si>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</si>
  <si>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</si>
  <si>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</si>
  <si>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</si>
  <si>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</si>
  <si>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</si>
  <si>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</si>
  <si>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</si>
  <si>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</si>
  <si>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</si>
  <si>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</si>
  <si>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</si>
  <si>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</si>
  <si>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</si>
  <si>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</si>
  <si>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</si>
  <si>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</si>
  <si>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</si>
  <si>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</si>
  <si>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</si>
  <si>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</si>
  <si>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</si>
  <si>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</si>
  <si>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</si>
  <si>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</si>
  <si>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</si>
  <si>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</si>
  <si>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</si>
  <si>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</si>
  <si>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</si>
  <si>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</si>
  <si>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</si>
  <si>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</si>
  <si>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</si>
  <si>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</si>
  <si>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</si>
  <si>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</si>
  <si>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</si>
  <si>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</si>
  <si>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</si>
  <si>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</si>
  <si>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</si>
  <si>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</si>
  <si>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</si>
  <si>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</si>
  <si>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</si>
  <si>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</si>
  <si>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</si>
  <si>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</si>
  <si>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</si>
  <si>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</si>
  <si>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</si>
  <si>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</si>
  <si>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</si>
  <si>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</si>
  <si>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</si>
  <si>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</si>
  <si>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</si>
  <si>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</si>
  <si>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</si>
  <si>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</si>
  <si>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</si>
  <si>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</si>
  <si>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</si>
  <si>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</si>
  <si>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</si>
  <si>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</si>
  <si>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</si>
  <si>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</si>
  <si>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</si>
  <si>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</si>
  <si>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</si>
  <si>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</si>
  <si>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</si>
  <si>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</si>
  <si>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</si>
  <si>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</si>
  <si>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</si>
  <si>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</si>
  <si>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</si>
  <si>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</si>
  <si>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</si>
  <si>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</si>
  <si>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</si>
  <si>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</si>
  <si>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</si>
  <si>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</si>
  <si>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</si>
  <si>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</si>
  <si>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</si>
  <si>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</si>
  <si>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</si>
  <si>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</si>
  <si>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</si>
  <si>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</si>
  <si>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</si>
  <si>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</si>
  <si>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</si>
  <si>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</si>
  <si>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</si>
  <si>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</si>
  <si>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</si>
  <si>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</si>
  <si>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</si>
  <si>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</si>
  <si>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</si>
  <si>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</si>
  <si>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</si>
  <si>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</si>
  <si>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</si>
  <si>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</si>
  <si>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</si>
  <si>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</si>
  <si>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</si>
  <si>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</si>
  <si>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</si>
  <si>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</si>
  <si>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</si>
  <si>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</si>
  <si>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</si>
  <si>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</si>
  <si>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</si>
  <si>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</si>
  <si>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</si>
  <si>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</si>
  <si>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</si>
  <si>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</si>
  <si>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</si>
  <si>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</si>
  <si>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</si>
  <si>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</si>
  <si>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</si>
  <si>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</si>
  <si>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</si>
  <si>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</si>
  <si>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</si>
  <si>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</si>
  <si>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</si>
  <si>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</si>
  <si>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</si>
  <si>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</si>
  <si>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</si>
  <si>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</si>
  <si>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</si>
  <si>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</si>
  <si>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</si>
  <si>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</si>
  <si>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</si>
  <si>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</si>
  <si>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</si>
  <si>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</si>
  <si>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</si>
  <si>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</si>
  <si>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</si>
  <si>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</si>
  <si>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</si>
  <si>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</si>
  <si>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</si>
  <si>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</si>
  <si>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</si>
  <si>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</si>
  <si>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</si>
  <si>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</si>
  <si>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</si>
  <si>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</si>
  <si>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</si>
  <si>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</si>
  <si>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</si>
  <si>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</si>
  <si>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</si>
  <si>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</si>
  <si>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</si>
  <si>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</si>
  <si>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</si>
  <si>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</si>
  <si>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</si>
  <si>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</si>
  <si>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</si>
  <si>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</si>
  <si>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</si>
  <si>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</si>
  <si>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</si>
  <si>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</si>
  <si>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</si>
  <si>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</si>
  <si>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</si>
  <si>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</si>
  <si>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</si>
  <si>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</si>
  <si>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</si>
  <si>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</si>
  <si>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</si>
  <si>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</si>
  <si>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</si>
  <si>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</si>
  <si>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</si>
  <si>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</si>
  <si>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</si>
  <si>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</si>
  <si>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</si>
  <si>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</si>
  <si>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</si>
  <si>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</si>
  <si>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</si>
  <si>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</si>
  <si>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</si>
  <si>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</si>
  <si>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</si>
  <si>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</si>
  <si>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</si>
  <si>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</si>
  <si>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</si>
  <si>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</si>
  <si>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</si>
  <si>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</si>
  <si>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</si>
  <si>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</si>
  <si>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</si>
  <si>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</si>
  <si>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</si>
  <si>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</si>
  <si>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</si>
  <si>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</si>
  <si>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</si>
  <si>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</si>
  <si>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</si>
  <si>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</si>
  <si>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</si>
  <si>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</si>
  <si>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</si>
  <si>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</si>
  <si>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</si>
  <si>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</si>
  <si>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</si>
  <si>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</si>
  <si>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</si>
  <si>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</si>
  <si>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</si>
  <si>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</si>
  <si>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</si>
  <si>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</si>
  <si>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</si>
  <si>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</si>
  <si>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</si>
  <si>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</si>
  <si>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</si>
  <si>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</si>
  <si>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</si>
  <si>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</si>
  <si>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</si>
  <si>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</si>
  <si>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</si>
  <si>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</si>
  <si>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</si>
  <si>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</si>
  <si>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</si>
  <si>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</si>
  <si>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</si>
  <si>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</si>
  <si>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</si>
  <si>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</si>
  <si>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</si>
  <si>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</si>
  <si>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</si>
  <si>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</si>
  <si>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</si>
  <si>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</si>
  <si>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</si>
  <si>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</si>
  <si>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</si>
  <si>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</si>
  <si>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</si>
  <si>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</si>
  <si>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</si>
  <si>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</si>
  <si>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</si>
  <si>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</si>
  <si>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</si>
  <si>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</si>
  <si>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</si>
  <si>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</si>
  <si>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</si>
  <si>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</si>
  <si>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</si>
  <si>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</si>
  <si>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</si>
  <si>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</si>
  <si>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</si>
  <si>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</si>
  <si>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</si>
  <si>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</si>
  <si>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</si>
  <si>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</si>
  <si>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</si>
  <si>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</si>
  <si>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</si>
  <si>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</si>
  <si>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</si>
  <si>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</si>
  <si>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</si>
  <si>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</si>
  <si>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</si>
  <si>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</si>
  <si>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</si>
  <si>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</si>
  <si>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</si>
  <si>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</si>
  <si>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</si>
  <si>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</si>
  <si>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</si>
  <si>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</si>
  <si>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</si>
  <si>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</si>
  <si>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</si>
  <si>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</si>
  <si>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</si>
  <si>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</si>
  <si>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</si>
  <si>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</si>
  <si>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</si>
  <si>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</si>
  <si>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</si>
  <si>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</si>
  <si>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</si>
  <si>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</si>
  <si>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</si>
  <si>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</si>
  <si>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</si>
  <si>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</si>
  <si>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</si>
  <si>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</si>
  <si>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</si>
  <si>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</si>
  <si>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</si>
  <si>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</si>
  <si>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</si>
  <si>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</si>
  <si>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</si>
  <si>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</si>
  <si>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</si>
  <si>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</si>
  <si>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</si>
  <si>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</si>
  <si>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</si>
  <si>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</si>
  <si>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</si>
  <si>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</si>
  <si>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</si>
  <si>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</si>
  <si>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</si>
  <si>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</si>
  <si>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</si>
  <si>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</si>
  <si>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</si>
  <si>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</si>
  <si>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</si>
  <si>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</si>
  <si>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</si>
  <si>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</si>
  <si>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</si>
  <si>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</si>
  <si>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</si>
  <si>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</si>
  <si>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</si>
  <si>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</si>
  <si>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</si>
  <si>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</si>
  <si>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</si>
  <si>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</si>
  <si>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</si>
  <si>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</si>
  <si>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</si>
  <si>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</si>
  <si>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</si>
  <si>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</si>
  <si>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</si>
  <si>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</si>
  <si>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</si>
  <si>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</si>
  <si>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</si>
  <si>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</si>
  <si>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</si>
  <si>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</si>
  <si>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</si>
  <si>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</si>
  <si>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</si>
  <si>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</si>
  <si>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</si>
  <si>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</si>
  <si>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</si>
  <si>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</si>
  <si>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</si>
  <si>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</si>
  <si>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</si>
  <si>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</si>
  <si>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</si>
  <si>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</si>
  <si>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</si>
  <si>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</si>
  <si>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</si>
  <si>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</si>
  <si>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</si>
  <si>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</si>
  <si>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</si>
  <si>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</si>
  <si>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</si>
  <si>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</si>
  <si>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</si>
  <si>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</si>
  <si>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</si>
  <si>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</si>
  <si>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</si>
  <si>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</si>
  <si>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</si>
  <si>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</si>
  <si>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</si>
  <si>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</si>
  <si>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</si>
  <si>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</si>
  <si>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</si>
  <si>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</si>
  <si>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</si>
  <si>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</si>
  <si>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</si>
  <si>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</si>
  <si>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</si>
  <si>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</si>
  <si>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</si>
  <si>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</si>
  <si>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</si>
  <si>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</si>
  <si>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</si>
  <si>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</si>
  <si>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</si>
  <si>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</si>
  <si>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</si>
  <si>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</si>
  <si>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</si>
  <si>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</si>
  <si>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</si>
  <si>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</si>
  <si>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</si>
  <si>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</si>
  <si>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</si>
  <si>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</si>
  <si>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</si>
  <si>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</si>
  <si>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</si>
  <si>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</si>
  <si>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</si>
  <si>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</si>
  <si>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</si>
  <si>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</si>
  <si>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</si>
  <si>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</si>
  <si>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</si>
  <si>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</si>
  <si>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</si>
  <si>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</si>
  <si>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</si>
  <si>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</si>
  <si>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</si>
  <si>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</si>
  <si>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</si>
  <si>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</si>
  <si>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</si>
  <si>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</si>
  <si>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</si>
  <si>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</si>
  <si>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</si>
  <si>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</si>
  <si>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</si>
  <si>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</si>
  <si>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</si>
  <si>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</si>
  <si>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</si>
  <si>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</si>
  <si>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</si>
  <si>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</si>
  <si>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</si>
  <si>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</si>
  <si>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</si>
  <si>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</si>
  <si>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</si>
  <si>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</si>
  <si>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</si>
  <si>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</si>
  <si>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</si>
  <si>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</si>
  <si>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</si>
  <si>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</si>
  <si>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</si>
  <si>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</si>
  <si>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</si>
  <si>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</si>
  <si>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</si>
  <si>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</si>
  <si>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</si>
  <si>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</si>
  <si>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</si>
  <si>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</si>
  <si>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</si>
  <si>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</si>
  <si>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</si>
  <si>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</si>
  <si>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</si>
  <si>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</si>
  <si>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</si>
  <si>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</si>
  <si>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</si>
  <si>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</si>
  <si>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</si>
  <si>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</si>
  <si>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</si>
  <si>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</si>
  <si>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</si>
  <si>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</si>
  <si>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</si>
  <si>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</si>
  <si>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</si>
  <si>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</si>
  <si>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</si>
  <si>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</si>
  <si>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</si>
  <si>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</si>
  <si>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</si>
  <si>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</si>
  <si>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</si>
  <si>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</si>
  <si>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</si>
  <si>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</si>
  <si>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</si>
  <si>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</si>
  <si>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</si>
  <si>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</si>
  <si>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</si>
  <si>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</si>
  <si>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</si>
  <si>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</si>
  <si>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</si>
  <si>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</si>
  <si>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</si>
  <si>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</si>
  <si>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</si>
  <si>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</si>
  <si>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</si>
  <si>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</si>
  <si>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</si>
  <si>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</si>
  <si>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</si>
  <si>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</si>
  <si>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</si>
  <si>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</si>
  <si>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</si>
  <si>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</si>
  <si>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</si>
  <si>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</si>
  <si>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</si>
  <si>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</si>
  <si>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</si>
  <si>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</si>
  <si>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</si>
  <si>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</si>
  <si>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</si>
  <si>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</si>
  <si>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</si>
  <si>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</si>
  <si>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</si>
  <si>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</si>
  <si>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</si>
  <si>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</si>
  <si>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</si>
  <si>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</si>
  <si>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</si>
  <si>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</si>
  <si>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</si>
  <si>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</si>
  <si>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</si>
  <si>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</si>
  <si>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</si>
  <si>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</si>
  <si>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</si>
  <si>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</si>
  <si>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</si>
  <si>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</si>
  <si>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</si>
  <si>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</si>
  <si>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</si>
  <si>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</si>
  <si>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</si>
  <si>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</si>
  <si>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</si>
  <si>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</si>
  <si>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</si>
  <si>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</si>
  <si>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</si>
  <si>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</si>
  <si>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</si>
  <si>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</si>
  <si>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</si>
  <si>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</si>
  <si>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</si>
  <si>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</si>
  <si>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</si>
  <si>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</si>
  <si>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</si>
  <si>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</si>
  <si>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</si>
  <si>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</si>
  <si>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</si>
  <si>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</si>
  <si>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</si>
  <si>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</si>
  <si>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</si>
  <si>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</si>
  <si>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</si>
  <si>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</si>
  <si>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</si>
  <si>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</si>
  <si>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</si>
  <si>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</si>
  <si>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</si>
  <si>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</si>
  <si>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</si>
  <si>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</si>
  <si>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</si>
  <si>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</si>
  <si>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</si>
  <si>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</si>
  <si>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</si>
  <si>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</si>
  <si>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</si>
  <si>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</si>
  <si>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</si>
  <si>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</si>
  <si>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</si>
  <si>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</si>
  <si>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</si>
  <si>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</si>
  <si>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</si>
  <si>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</si>
  <si>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</si>
  <si>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</si>
  <si>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</si>
  <si>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</si>
  <si>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</si>
  <si>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</si>
  <si>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</si>
  <si>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</si>
  <si>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</si>
  <si>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</si>
  <si>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</si>
  <si>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</si>
  <si>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</si>
  <si>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</si>
  <si>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</si>
  <si>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</si>
  <si>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</si>
  <si>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</si>
  <si>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</si>
  <si>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</si>
  <si>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</si>
  <si>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</si>
  <si>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</si>
  <si>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</si>
  <si>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</si>
  <si>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</si>
  <si>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</si>
  <si>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</si>
  <si>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</si>
  <si>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</si>
  <si>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</si>
  <si>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</si>
  <si>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</si>
  <si>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</si>
  <si>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</si>
  <si>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</si>
  <si>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</si>
  <si>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</si>
  <si>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</si>
  <si>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</si>
  <si>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</si>
  <si>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</si>
  <si>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</si>
  <si>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</si>
  <si>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</si>
  <si>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</si>
  <si>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</si>
  <si>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</si>
  <si>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</si>
  <si>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</si>
  <si>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</si>
  <si>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</si>
  <si>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</si>
  <si>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</si>
  <si>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</si>
  <si>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</si>
  <si>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</si>
  <si>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</si>
  <si>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</si>
  <si>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</si>
  <si>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</si>
  <si>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</si>
  <si>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</si>
  <si>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</si>
  <si>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</si>
  <si>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</si>
  <si>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</si>
  <si>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</si>
  <si>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</si>
  <si>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</si>
  <si>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</si>
  <si>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</si>
  <si>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</si>
  <si>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</si>
  <si>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</si>
  <si>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</si>
  <si>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</si>
  <si>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</si>
  <si>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</si>
  <si>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</si>
  <si>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</si>
  <si>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</si>
  <si>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</si>
  <si>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</si>
  <si>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</si>
  <si>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</si>
  <si>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</si>
  <si>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</si>
  <si>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</si>
  <si>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</si>
  <si>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</si>
  <si>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</si>
  <si>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</si>
  <si>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</si>
  <si>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</si>
  <si>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</si>
  <si>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</si>
  <si>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</si>
  <si>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</si>
  <si>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</si>
  <si>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</si>
  <si>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</si>
  <si>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</si>
  <si>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</si>
  <si>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</si>
  <si>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</si>
  <si>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</si>
  <si>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</si>
  <si>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</si>
  <si>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</si>
  <si>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</si>
  <si>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</si>
  <si>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</si>
  <si>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</si>
  <si>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</si>
  <si>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</si>
  <si>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</si>
  <si>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</si>
  <si>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</si>
  <si>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</si>
  <si>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</si>
  <si>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</si>
  <si>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</si>
  <si>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</si>
  <si>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</si>
  <si>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</si>
  <si>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</si>
  <si>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</si>
  <si>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</si>
  <si>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</si>
  <si>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</si>
  <si>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</si>
  <si>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</si>
  <si>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</si>
  <si>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</si>
  <si>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</si>
  <si>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</si>
  <si>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</si>
  <si>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</si>
  <si>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</si>
  <si>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</si>
  <si>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</si>
  <si>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</si>
  <si>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</si>
  <si>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</si>
  <si>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</si>
  <si>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</si>
  <si>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</si>
  <si>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</si>
  <si>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</si>
  <si>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</si>
  <si>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</si>
  <si>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</si>
  <si>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</si>
  <si>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</si>
  <si>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</si>
  <si>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</si>
  <si>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</si>
  <si>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</si>
  <si>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</si>
  <si>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</si>
  <si>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</si>
  <si>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</si>
  <si>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</si>
  <si>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</si>
  <si>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</si>
  <si>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</si>
  <si>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</si>
  <si>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</si>
  <si>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</si>
  <si>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</si>
  <si>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</si>
  <si>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</si>
  <si>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</si>
  <si>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</si>
  <si>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</si>
  <si>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</si>
  <si>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</si>
  <si>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</si>
  <si>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</si>
  <si>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</si>
  <si>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</si>
  <si>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</si>
  <si>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</si>
  <si>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</si>
  <si>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</si>
  <si>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</si>
  <si>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</si>
  <si>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</si>
  <si>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</si>
  <si>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</si>
  <si>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</si>
  <si>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</si>
  <si>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</si>
  <si>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</si>
  <si>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</si>
  <si>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</si>
  <si>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</si>
  <si>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</si>
  <si>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</si>
  <si>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</si>
  <si>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</si>
  <si>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</si>
  <si>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</si>
  <si>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</si>
  <si>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</si>
  <si>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</si>
  <si>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</si>
  <si>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</si>
  <si>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</si>
  <si>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</si>
  <si>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</si>
  <si>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</si>
  <si>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</si>
  <si>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</si>
  <si>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</si>
  <si>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</si>
  <si>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</si>
  <si>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</si>
  <si>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</si>
  <si>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</si>
  <si>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</si>
  <si>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</si>
  <si>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</si>
  <si>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</si>
  <si>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</si>
  <si>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</si>
  <si>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</si>
  <si>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</si>
  <si>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</si>
  <si>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</si>
  <si>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</si>
  <si>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</si>
  <si>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</si>
  <si>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</si>
  <si>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</si>
  <si>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</si>
  <si>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</si>
  <si>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</si>
  <si>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</si>
  <si>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</si>
  <si>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</si>
  <si>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</si>
  <si>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</si>
  <si>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</si>
  <si>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</si>
  <si>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</si>
  <si>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</si>
  <si>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</si>
  <si>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</si>
  <si>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</si>
  <si>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</si>
  <si>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</si>
  <si>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</si>
  <si>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</si>
  <si>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</si>
  <si>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</si>
  <si>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</si>
  <si>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</si>
  <si>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</si>
  <si>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</si>
  <si>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</si>
  <si>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</si>
  <si>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</si>
  <si>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</si>
  <si>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</si>
  <si>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</si>
  <si>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</si>
  <si>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</si>
  <si>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</si>
  <si>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</si>
  <si>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</si>
  <si>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</si>
  <si>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</si>
  <si>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</si>
  <si>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</si>
  <si>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</si>
  <si>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</si>
  <si>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</si>
  <si>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</si>
  <si>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</si>
  <si>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</si>
  <si>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</si>
  <si>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</si>
  <si>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</si>
  <si>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</si>
  <si>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</si>
  <si>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</si>
  <si>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</si>
  <si>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</si>
  <si>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</si>
  <si>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</si>
  <si>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</si>
  <si>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</si>
  <si>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</si>
  <si>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</si>
  <si>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</si>
  <si>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</si>
  <si>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</si>
  <si>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</si>
  <si>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</si>
  <si>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</si>
  <si>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</si>
  <si>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</si>
  <si>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</si>
  <si>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</si>
  <si>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</si>
  <si>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</si>
  <si>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</si>
  <si>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</si>
  <si>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</si>
  <si>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</si>
  <si>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</si>
  <si>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</si>
  <si>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</si>
  <si>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</si>
  <si>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</si>
  <si>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</si>
  <si>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</si>
  <si>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</si>
  <si>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</si>
  <si>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</si>
  <si>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</si>
  <si>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</si>
  <si>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</si>
  <si>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</si>
  <si>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</si>
  <si>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</si>
  <si>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</si>
  <si>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</si>
  <si>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</si>
  <si>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</si>
  <si>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</si>
  <si>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</si>
  <si>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</si>
  <si>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</si>
  <si>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</si>
  <si>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</si>
  <si>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</si>
  <si>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</si>
  <si>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</si>
  <si>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</si>
  <si>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</si>
  <si>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</si>
  <si>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</si>
  <si>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</si>
  <si>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</si>
  <si>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</si>
  <si>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</si>
  <si>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</si>
  <si>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</si>
  <si>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</si>
  <si>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</si>
  <si>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</si>
  <si>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</si>
  <si>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</si>
  <si>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1.Harry Kane</t>
  </si>
  <si>
    <t>2. Brasil</t>
  </si>
  <si>
    <t>3. German</t>
  </si>
  <si>
    <t>5. Messi</t>
  </si>
  <si>
    <t>6. France</t>
  </si>
  <si>
    <t>7. Tunaise</t>
  </si>
  <si>
    <t>8. German</t>
  </si>
  <si>
    <t>9. Mason mount</t>
  </si>
  <si>
    <t>10. 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</si>
</sst>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üperlink" xfId="1" builtinId="8"/>
    <cellStyle name="Märkus" xfId="2" builtinId="10"/>
    <cellStyle name="Normaallaad" xfId="0" builtinId="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7.sv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66" Type="http://schemas.openxmlformats.org/officeDocument/2006/relationships/image" Target="../media/image67.pn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65" Type="http://schemas.openxmlformats.org/officeDocument/2006/relationships/image" Target="../media/image66.pn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39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3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3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3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3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3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3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3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3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3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3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3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3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3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3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3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3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3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3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3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3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3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3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3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3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3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3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3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3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3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3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3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3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3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3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3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3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3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3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3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3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3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3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3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3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3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3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3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3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3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3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3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3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3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3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3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3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3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3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3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3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3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3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3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3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3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3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3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3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3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3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3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3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3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3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3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3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3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3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3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3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3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3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3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3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3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3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3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3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3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3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3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3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3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3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3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3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3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3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3">
      <c r="A103" s="1"/>
    </row>
    <row r="104" spans="1:42" x14ac:dyDescent="0.3">
      <c r="A104" s="1"/>
    </row>
    <row r="105" spans="1:42" x14ac:dyDescent="0.3">
      <c r="A105" s="1"/>
    </row>
    <row r="106" spans="1:42" x14ac:dyDescent="0.3">
      <c r="A106" s="1"/>
    </row>
    <row r="107" spans="1:42" x14ac:dyDescent="0.3">
      <c r="A107" s="1"/>
    </row>
    <row r="108" spans="1:42" x14ac:dyDescent="0.3">
      <c r="A108" s="1"/>
    </row>
    <row r="109" spans="1:42" x14ac:dyDescent="0.3">
      <c r="A109" s="1"/>
    </row>
    <row r="110" spans="1:42" x14ac:dyDescent="0.3">
      <c r="A110" s="1"/>
    </row>
    <row r="111" spans="1:42" x14ac:dyDescent="0.3">
      <c r="A111" s="1"/>
    </row>
    <row r="112" spans="1:42" x14ac:dyDescent="0.3">
      <c r="A112" s="1"/>
    </row>
    <row r="113" spans="1:42" x14ac:dyDescent="0.3">
      <c r="A113" s="1"/>
    </row>
    <row r="114" spans="1:42" x14ac:dyDescent="0.3">
      <c r="A114" s="1"/>
    </row>
    <row r="115" spans="1:42" x14ac:dyDescent="0.3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21875" defaultRowHeight="14.4" x14ac:dyDescent="0.3"/>
  <cols>
    <col min="1" max="1" width="1.21875" style="10" customWidth="1"/>
    <col min="2" max="2" width="18.77734375" style="10" bestFit="1" customWidth="1"/>
    <col min="3" max="3" width="20.21875" style="10" customWidth="1"/>
    <col min="4" max="4" width="9.21875" style="10"/>
    <col min="5" max="5" width="1.21875" style="10" customWidth="1"/>
    <col min="6" max="6" width="9.21875" style="10"/>
    <col min="7" max="7" width="27.5546875" style="10" bestFit="1" customWidth="1"/>
    <col min="8" max="8" width="2.77734375" style="10" customWidth="1"/>
    <col min="9" max="9" width="1.21875" style="10" customWidth="1"/>
    <col min="10" max="16384" width="9.21875" style="10"/>
  </cols>
  <sheetData>
    <row r="1" spans="2:12" ht="7.5" customHeight="1" x14ac:dyDescent="0.3"/>
    <row r="2" spans="2:12" ht="16.2" thickBot="1" x14ac:dyDescent="0.35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3">
      <c r="B3" s="64"/>
      <c r="C3" s="65"/>
      <c r="D3" s="66"/>
      <c r="F3" s="64"/>
      <c r="G3" s="65"/>
      <c r="H3" s="66"/>
    </row>
    <row r="4" spans="2:12" x14ac:dyDescent="0.3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3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3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3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3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3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3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3">
      <c r="B11" s="64"/>
      <c r="C11" s="65"/>
      <c r="D11" s="66"/>
      <c r="F11" s="73"/>
      <c r="G11" s="74"/>
      <c r="H11" s="75"/>
    </row>
    <row r="12" spans="2:12" x14ac:dyDescent="0.3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3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3">
      <c r="F14" s="83"/>
      <c r="G14" s="83"/>
      <c r="H14" s="83"/>
      <c r="I14" s="83"/>
      <c r="J14" s="83"/>
      <c r="K14" s="99"/>
      <c r="L14" s="99"/>
    </row>
    <row r="15" spans="2:12" ht="9" customHeight="1" x14ac:dyDescent="0.3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2" thickBot="1" x14ac:dyDescent="0.35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3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3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3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3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3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3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3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3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3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3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3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3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3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3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3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3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3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3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3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3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3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3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3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3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3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3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3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3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3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3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3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3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3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opLeftCell="L16" zoomScaleNormal="100" workbookViewId="0">
      <selection activeCell="BX36" sqref="BX36"/>
    </sheetView>
  </sheetViews>
  <sheetFormatPr defaultColWidth="9.21875" defaultRowHeight="14.4" x14ac:dyDescent="0.3"/>
  <cols>
    <col min="1" max="1" width="4.77734375" style="3" customWidth="1"/>
    <col min="2" max="2" width="6.21875" style="3" customWidth="1"/>
    <col min="3" max="3" width="11.77734375" style="3" bestFit="1" customWidth="1"/>
    <col min="4" max="4" width="7.21875" style="4" customWidth="1"/>
    <col min="5" max="5" width="22.5546875" style="5" customWidth="1"/>
    <col min="6" max="7" width="4.21875" style="6" customWidth="1"/>
    <col min="8" max="8" width="22.5546875" style="7" customWidth="1"/>
    <col min="9" max="9" width="3.44140625" style="2" customWidth="1"/>
    <col min="10" max="10" width="14" style="8" customWidth="1"/>
    <col min="11" max="14" width="5.44140625" style="9" customWidth="1"/>
    <col min="15" max="15" width="7.77734375" style="9" customWidth="1"/>
    <col min="16" max="16" width="6.77734375" style="9" customWidth="1"/>
    <col min="17" max="17" width="3.44140625" style="98" customWidth="1"/>
    <col min="18" max="18" width="15.44140625" style="47" hidden="1" customWidth="1"/>
    <col min="19" max="20" width="16" style="88" hidden="1" customWidth="1"/>
    <col min="21" max="21" width="5" style="48" hidden="1" customWidth="1"/>
    <col min="22" max="25" width="6.21875" style="47" hidden="1" customWidth="1"/>
    <col min="26" max="26" width="4.21875" style="48" hidden="1" customWidth="1"/>
    <col min="27" max="27" width="5.44140625" style="47" hidden="1" customWidth="1"/>
    <col min="28" max="28" width="13.44140625" style="48" hidden="1" customWidth="1"/>
    <col min="29" max="33" width="5.44140625" style="47" hidden="1" customWidth="1"/>
    <col min="34" max="36" width="6" style="47" hidden="1" customWidth="1"/>
    <col min="37" max="37" width="5.44140625" style="47" hidden="1" customWidth="1"/>
    <col min="38" max="38" width="6" style="47" hidden="1" customWidth="1"/>
    <col min="39" max="39" width="7.21875" style="48" hidden="1" customWidth="1"/>
    <col min="40" max="40" width="10" style="48" hidden="1" customWidth="1"/>
    <col min="41" max="41" width="15.21875" style="48" hidden="1" customWidth="1"/>
    <col min="42" max="46" width="4.77734375" style="47" hidden="1" customWidth="1"/>
    <col min="47" max="49" width="9.21875" style="48" hidden="1" customWidth="1"/>
    <col min="50" max="50" width="9.21875" style="49" hidden="1" customWidth="1"/>
    <col min="51" max="51" width="3.21875" style="2" customWidth="1"/>
    <col min="52" max="52" width="19.77734375" style="2" customWidth="1"/>
    <col min="53" max="55" width="3" style="2" customWidth="1"/>
    <col min="56" max="57" width="2" style="2" customWidth="1"/>
    <col min="58" max="58" width="3.21875" style="2" customWidth="1"/>
    <col min="59" max="59" width="19.77734375" style="2" customWidth="1"/>
    <col min="60" max="62" width="3" style="2" customWidth="1"/>
    <col min="63" max="64" width="2" style="2" customWidth="1"/>
    <col min="65" max="65" width="3.21875" style="2" customWidth="1"/>
    <col min="66" max="66" width="19.77734375" style="2" customWidth="1"/>
    <col min="67" max="69" width="3" style="2" customWidth="1"/>
    <col min="70" max="71" width="2" style="2" customWidth="1"/>
    <col min="72" max="72" width="3.21875" style="2" customWidth="1"/>
    <col min="73" max="73" width="19.77734375" style="2" customWidth="1"/>
    <col min="74" max="76" width="3" style="2" customWidth="1"/>
    <col min="77" max="16384" width="9.21875" style="2"/>
  </cols>
  <sheetData>
    <row r="1" spans="1:76" ht="46.2" x14ac:dyDescent="0.3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3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3"/>
    <row r="5" spans="1:76" ht="15" customHeight="1" x14ac:dyDescent="0.3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3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3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0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Qatar_win</v>
      </c>
      <c r="T7" s="88" t="str">
        <f t="shared" ref="T7:T54" si="4">IF(S7="","",IF(F7&lt;G7,H7&amp;"_win",IF(F7&gt;G7,H7&amp;"_lose",H7&amp;"_draw")))</f>
        <v>Ecuador_lose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3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0</v>
      </c>
      <c r="G8" s="22">
        <v>5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4</v>
      </c>
      <c r="AB8" s="48" t="str">
        <f>VLOOKUP("Senegal",T,lang,FALSE)</f>
        <v>Senegal</v>
      </c>
      <c r="AC8" s="47">
        <f>COUNTIF($S$7:$T$54,"=" &amp; AB8 &amp; "_win")</f>
        <v>0</v>
      </c>
      <c r="AD8" s="47">
        <f>COUNTIF($S$7:$T$54,"=" &amp; AB8 &amp; "_draw")</f>
        <v>1</v>
      </c>
      <c r="AE8" s="47">
        <f>COUNTIF($S$7:$T$54,"=" &amp; AB8 &amp; "_lose")</f>
        <v>2</v>
      </c>
      <c r="AF8" s="47">
        <f>SUMIF($E$7:$E$54,$AB8,$F$7:$F$54) + SUMIF($H$7:$H$54,$AB8,$G$7:$G$54)</f>
        <v>1</v>
      </c>
      <c r="AG8" s="47">
        <f>SUMIF($E$7:$E$54,$AB8,$G$7:$G$54) + SUMIF($H$7:$H$54,$AB8,$F$7:$F$54)</f>
        <v>8</v>
      </c>
      <c r="AH8" s="47">
        <f>(AF8-AG8)*100+AK8*10000+AF8</f>
        <v>9301</v>
      </c>
      <c r="AI8" s="47">
        <f>AF8-AG8</f>
        <v>-7</v>
      </c>
      <c r="AJ8" s="47">
        <f>(AI8-AI13)/AI12</f>
        <v>0</v>
      </c>
      <c r="AK8" s="47">
        <f>AC8*3+AD8</f>
        <v>1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112.22301430222223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3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6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9 - 0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2</v>
      </c>
      <c r="AB9" s="48" t="str">
        <f>VLOOKUP("Qatar",T,lang,FALSE)</f>
        <v>Qatar</v>
      </c>
      <c r="AC9" s="47">
        <f>COUNTIF($S$7:$T$54,"=" &amp; AB9 &amp; "_win")</f>
        <v>2</v>
      </c>
      <c r="AD9" s="47">
        <f>COUNTIF($S$7:$T$54,"=" &amp; AB9 &amp; "_draw")</f>
        <v>0</v>
      </c>
      <c r="AE9" s="47">
        <f>COUNTIF($S$7:$T$54,"=" &amp; AB9 &amp; "_lose")</f>
        <v>1</v>
      </c>
      <c r="AF9" s="47">
        <f>SUMIF($E$7:$E$54,$AB9,$F$7:$F$54) + SUMIF($H$7:$H$54,$AB9,$G$7:$G$54)</f>
        <v>3</v>
      </c>
      <c r="AG9" s="47">
        <f>SUMIF($E$7:$E$54,$AB9,$G$7:$G$54) + SUMIF($H$7:$H$54,$AB9,$F$7:$F$54)</f>
        <v>2</v>
      </c>
      <c r="AH9" s="47">
        <f>(AF9-AG9)*100+AK9*10000+AF9</f>
        <v>60103</v>
      </c>
      <c r="AI9" s="47">
        <f>AF9-AG9</f>
        <v>1</v>
      </c>
      <c r="AJ9" s="47">
        <f>(AI9-AI13)/AI12</f>
        <v>0.47058823529411764</v>
      </c>
      <c r="AK9" s="47">
        <f>AC9*3+AD9</f>
        <v>6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717.05954402941177</v>
      </c>
      <c r="AO9" s="48" t="str">
        <f>IF(SUM(AC8:AE11)=12,J10,INDEX(T,71,lang))</f>
        <v>Qatar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3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0</v>
      </c>
      <c r="G10" s="22">
        <v>1</v>
      </c>
      <c r="H10" s="90" t="str">
        <f>AB17</f>
        <v>Wales</v>
      </c>
      <c r="J10" s="53" t="str">
        <f>VLOOKUP(2,AA8:AK11,2,FALSE)</f>
        <v>Qatar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3 - 2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States_lose</v>
      </c>
      <c r="T10" s="88" t="str">
        <f t="shared" si="4"/>
        <v>Wales_win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-1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0</v>
      </c>
      <c r="AD10" s="47">
        <f>COUNTIF($S$7:$T$54,"=" &amp; AB10 &amp; "_draw")</f>
        <v>1</v>
      </c>
      <c r="AE10" s="47">
        <f>COUNTIF($S$7:$T$54,"=" &amp; AB10 &amp; "_lose")</f>
        <v>2</v>
      </c>
      <c r="AF10" s="47">
        <f>SUMIF($E$7:$E$54,$AB10,$F$7:$F$54) + SUMIF($H$7:$H$54,$AB10,$G$7:$G$54)</f>
        <v>1</v>
      </c>
      <c r="AG10" s="47">
        <f>SUMIF($E$7:$E$54,$AB10,$G$7:$G$54) + SUMIF($H$7:$H$54,$AB10,$F$7:$F$54)</f>
        <v>4</v>
      </c>
      <c r="AH10" s="47">
        <f>(AF10-AG10)*100+AK10*10000+AF10</f>
        <v>9701</v>
      </c>
      <c r="AI10" s="47">
        <f>AF10-AG10</f>
        <v>-3</v>
      </c>
      <c r="AJ10" s="47">
        <f>(AI10-AI13)/AI12</f>
        <v>0.23529411764705882</v>
      </c>
      <c r="AK10" s="47">
        <f>AC10*3+AD10</f>
        <v>1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135.75236048692813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3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7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0</v>
      </c>
      <c r="M11" s="25">
        <f>VLOOKUP(3,AA8:AK11,4,FALSE)</f>
        <v>1</v>
      </c>
      <c r="N11" s="25">
        <f>VLOOKUP(3,AA8:AK11,5,FALSE)</f>
        <v>2</v>
      </c>
      <c r="O11" s="25" t="str">
        <f>VLOOKUP(3,AA8:AK11,6,FALSE) &amp; " - " &amp; VLOOKUP(3,AA8:AK11,7,FALSE)</f>
        <v>1 - 4</v>
      </c>
      <c r="P11" s="54">
        <f>L11*3+M11</f>
        <v>1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9</v>
      </c>
      <c r="AG11" s="47">
        <f>SUMIF($E$7:$E$54,$AB11,$G$7:$G$54) + SUMIF($H$7:$H$54,$AB11,$F$7:$F$54)</f>
        <v>0</v>
      </c>
      <c r="AH11" s="47">
        <f>(AF11-AG11)*100+AK11*10000+AF11</f>
        <v>90909</v>
      </c>
      <c r="AI11" s="47">
        <f>AF11-AG11</f>
        <v>9</v>
      </c>
      <c r="AJ11" s="47">
        <f>(AI11-AI13)/AI12</f>
        <v>0.94117647058823528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1104.1184763888234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Wales</v>
      </c>
      <c r="BA11" s="85">
        <v>1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3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4</v>
      </c>
      <c r="G12" s="22">
        <v>0</v>
      </c>
      <c r="H12" s="90" t="str">
        <f>AB29</f>
        <v>Tunisia</v>
      </c>
      <c r="J12" s="55" t="str">
        <f>VLOOKUP(4,AA8:AK11,2,FALSE)</f>
        <v>Senegal</v>
      </c>
      <c r="K12" s="56">
        <f>L12+M12+N12</f>
        <v>3</v>
      </c>
      <c r="L12" s="56">
        <f>VLOOKUP(4,AA8:AK11,3,FALSE)</f>
        <v>0</v>
      </c>
      <c r="M12" s="56">
        <f>VLOOKUP(4,AA8:AK11,4,FALSE)</f>
        <v>1</v>
      </c>
      <c r="N12" s="56">
        <f>VLOOKUP(4,AA8:AK11,5,FALSE)</f>
        <v>2</v>
      </c>
      <c r="O12" s="56" t="str">
        <f>VLOOKUP(4,AA8:AK11,6,FALSE) &amp; " - " &amp; VLOOKUP(4,AA8:AK11,7,FALSE)</f>
        <v>1 - 8</v>
      </c>
      <c r="P12" s="57">
        <f>L12*3+M12</f>
        <v>1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2</v>
      </c>
      <c r="AE12" s="47">
        <f t="shared" si="10"/>
        <v>3</v>
      </c>
      <c r="AF12" s="47">
        <f t="shared" si="10"/>
        <v>9</v>
      </c>
      <c r="AG12" s="47">
        <f t="shared" si="10"/>
        <v>9</v>
      </c>
      <c r="AH12" s="47">
        <f>MAX(AH8:AH11)-AH13+1</f>
        <v>81609</v>
      </c>
      <c r="AI12" s="47">
        <f>MAX(AI8:AI11)-AI13+1</f>
        <v>17</v>
      </c>
      <c r="AK12" s="47">
        <f t="shared" si="10"/>
        <v>9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1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3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1</v>
      </c>
      <c r="G13" s="22">
        <v>2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Mexico_lose</v>
      </c>
      <c r="T13" s="88" t="str">
        <f t="shared" si="4"/>
        <v>Poland_win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-1</v>
      </c>
      <c r="AH13" s="47">
        <f>MIN(AH8:AH11)</f>
        <v>9301</v>
      </c>
      <c r="AI13" s="47">
        <f>MIN(AI8:AI11)</f>
        <v>-7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2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3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9</v>
      </c>
      <c r="AG14" s="47">
        <f>SUMIF($E$7:$E$54,$AB14,$G$7:$G$54) + SUMIF($H$7:$H$54,$AB14,$F$7:$F$54)</f>
        <v>1</v>
      </c>
      <c r="AH14" s="47">
        <f>(AF14-AG14)*100+AK14*10000+AF14</f>
        <v>90809</v>
      </c>
      <c r="AI14" s="47">
        <f>AF14-AG14</f>
        <v>8</v>
      </c>
      <c r="AJ14" s="47">
        <f>(AI14-AI19)/AI18</f>
        <v>0.94444444444444442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1003.4453254444445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2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3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4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9 - 1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0</v>
      </c>
      <c r="AG15" s="47">
        <f>SUMIF($E$7:$E$54,$AB15,$G$7:$G$54) + SUMIF($H$7:$H$54,$AB15,$F$7:$F$54)</f>
        <v>9</v>
      </c>
      <c r="AH15" s="47">
        <f>(AF15-AG15)*100+AK15*10000+AF15</f>
        <v>-900</v>
      </c>
      <c r="AI15" s="47">
        <f>AF15-AG15</f>
        <v>-9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7.8200000000000003E-4</v>
      </c>
      <c r="AO15" s="48" t="str">
        <f>IF(SUM(AC14:AE17)=12,J16,INDEX(T,73,lang))</f>
        <v>Wales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1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3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3</v>
      </c>
      <c r="G16" s="22">
        <v>0</v>
      </c>
      <c r="H16" s="90" t="str">
        <f>AB35</f>
        <v>Japan</v>
      </c>
      <c r="J16" s="53" t="str">
        <f>VLOOKUP(2,AA14:AK17,2,FALSE)</f>
        <v>Wales</v>
      </c>
      <c r="K16" s="25">
        <f>L16+M16+N16</f>
        <v>3</v>
      </c>
      <c r="L16" s="25">
        <f>VLOOKUP(2,AA14:AK17,3,FALSE)</f>
        <v>2</v>
      </c>
      <c r="M16" s="25">
        <f>VLOOKUP(2,AA14:AK17,4,FALSE)</f>
        <v>0</v>
      </c>
      <c r="N16" s="25">
        <f>VLOOKUP(2,AA14:AK17,5,FALSE)</f>
        <v>1</v>
      </c>
      <c r="O16" s="25" t="str">
        <f>VLOOKUP(2,AA14:AK17,6,FALSE) &amp; " - " &amp; VLOOKUP(2,AA14:AK17,7,FALSE)</f>
        <v>3 - 1</v>
      </c>
      <c r="P16" s="54">
        <f>L16*3+M16</f>
        <v>6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3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0</v>
      </c>
      <c r="AE16" s="47">
        <f>COUNTIF($S$7:$T$54,"=" &amp; AB16 &amp; "_lose")</f>
        <v>2</v>
      </c>
      <c r="AF16" s="47">
        <f>SUMIF($E$7:$E$54,$AB16,$F$7:$F$54) + SUMIF($H$7:$H$54,$AB16,$G$7:$G$54)</f>
        <v>2</v>
      </c>
      <c r="AG16" s="47">
        <f>SUMIF($E$7:$E$54,$AB16,$G$7:$G$54) + SUMIF($H$7:$H$54,$AB16,$F$7:$F$54)</f>
        <v>3</v>
      </c>
      <c r="AH16" s="47">
        <f>(AF16-AG16)*100+AK16*10000+AF16</f>
        <v>29902</v>
      </c>
      <c r="AI16" s="47">
        <f>AF16-AG16</f>
        <v>-1</v>
      </c>
      <c r="AJ16" s="47">
        <f>(AI16-AI19)/AI18</f>
        <v>0.44444444444444442</v>
      </c>
      <c r="AK16" s="47">
        <f>AC16*3+AD16</f>
        <v>3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346.44526130444444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1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3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2</v>
      </c>
      <c r="G17" s="22">
        <v>0</v>
      </c>
      <c r="H17" s="90" t="str">
        <f>AB33</f>
        <v>Costa Rica</v>
      </c>
      <c r="J17" s="53" t="str">
        <f>VLOOKUP(3,AA14:AK17,2,FALSE)</f>
        <v>United States</v>
      </c>
      <c r="K17" s="25">
        <f>L17+M17+N17</f>
        <v>3</v>
      </c>
      <c r="L17" s="25">
        <f>VLOOKUP(3,AA14:AK17,3,FALSE)</f>
        <v>1</v>
      </c>
      <c r="M17" s="25">
        <f>VLOOKUP(3,AA14:AK17,4,FALSE)</f>
        <v>0</v>
      </c>
      <c r="N17" s="25">
        <f>VLOOKUP(3,AA14:AK17,5,FALSE)</f>
        <v>2</v>
      </c>
      <c r="O17" s="25" t="str">
        <f>VLOOKUP(3,AA14:AK17,6,FALSE) &amp; " - " &amp; VLOOKUP(3,AA14:AK17,7,FALSE)</f>
        <v>2 - 3</v>
      </c>
      <c r="P17" s="54">
        <f>L17*3+M17</f>
        <v>3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2</v>
      </c>
      <c r="AB17" s="48" t="str">
        <f>VLOOKUP("Wales",T,lang,FALSE)</f>
        <v>Wales</v>
      </c>
      <c r="AC17" s="47">
        <f>COUNTIF($S$7:$T$54,"=" &amp; AB17 &amp; "_win")</f>
        <v>2</v>
      </c>
      <c r="AD17" s="47">
        <f>COUNTIF($S$7:$T$54,"=" &amp; AB17 &amp; "_draw")</f>
        <v>0</v>
      </c>
      <c r="AE17" s="47">
        <f>COUNTIF($S$7:$T$54,"=" &amp; AB17 &amp; "_lose")</f>
        <v>1</v>
      </c>
      <c r="AF17" s="47">
        <f>SUMIF($E$7:$E$54,$AB17,$F$7:$F$54) + SUMIF($H$7:$H$54,$AB17,$G$7:$G$54)</f>
        <v>3</v>
      </c>
      <c r="AG17" s="47">
        <f>SUMIF($E$7:$E$54,$AB17,$G$7:$G$54) + SUMIF($H$7:$H$54,$AB17,$F$7:$F$54)</f>
        <v>1</v>
      </c>
      <c r="AH17" s="47">
        <f>(AF17-AG17)*100+AK17*10000+AF17</f>
        <v>60203</v>
      </c>
      <c r="AI17" s="47">
        <f>AF17-AG17</f>
        <v>2</v>
      </c>
      <c r="AJ17" s="47">
        <f>(AI17-AI19)/AI18</f>
        <v>0.61111111111111116</v>
      </c>
      <c r="AK17" s="47">
        <f>AC17*3+AD17</f>
        <v>6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664.11190217611113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Spain</v>
      </c>
      <c r="BO17" s="85">
        <v>0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3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3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0 - 9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1</v>
      </c>
      <c r="AE18" s="47">
        <f t="shared" si="11"/>
        <v>4</v>
      </c>
      <c r="AF18" s="47">
        <f t="shared" si="11"/>
        <v>10</v>
      </c>
      <c r="AG18" s="47">
        <f t="shared" si="11"/>
        <v>9</v>
      </c>
      <c r="AH18" s="47">
        <f>MAX(AH14:AH17)-AH19+1</f>
        <v>91710</v>
      </c>
      <c r="AI18" s="47">
        <f>MAX(AI14:AI17)-AI19+1</f>
        <v>18</v>
      </c>
      <c r="AK18" s="47">
        <f t="shared" si="11"/>
        <v>10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Spain</v>
      </c>
      <c r="BA18" s="84">
        <v>1</v>
      </c>
      <c r="BB18" s="86">
        <v>2</v>
      </c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3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0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Switzerland_win</v>
      </c>
      <c r="T19" s="88" t="str">
        <f t="shared" si="4"/>
        <v>Cameroon_lose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1</v>
      </c>
      <c r="AH19" s="47">
        <f>MIN(AH14:AH17)</f>
        <v>-900</v>
      </c>
      <c r="AI19" s="47">
        <f>MIN(AI14:AI17)</f>
        <v>-9</v>
      </c>
      <c r="AY19" s="125"/>
      <c r="AZ19" s="28" t="str">
        <f>AO39</f>
        <v>Croatia</v>
      </c>
      <c r="BA19" s="85">
        <v>1</v>
      </c>
      <c r="BB19" s="87">
        <v>1</v>
      </c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3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1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Uruguay_draw</v>
      </c>
      <c r="T20" s="88" t="str">
        <f t="shared" si="4"/>
        <v>Korea Republic_draw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0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11</v>
      </c>
      <c r="AG20" s="47">
        <f>SUMIF($E$7:$E$54,$AB20,$G$7:$G$54) + SUMIF($H$7:$H$54,$AB20,$F$7:$F$54)</f>
        <v>0</v>
      </c>
      <c r="AH20" s="47">
        <f>(AF20-AG20)*100+AK20*10000+AF20</f>
        <v>91111</v>
      </c>
      <c r="AI20" s="47">
        <f>AF20-AG20</f>
        <v>11</v>
      </c>
      <c r="AJ20" s="47">
        <f>(AI20-AI25)/AI24</f>
        <v>0.95454545454545459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1105.4554279545455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Spain</v>
      </c>
      <c r="BH20" s="84">
        <v>2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3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3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11 - 0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1</v>
      </c>
      <c r="AE21" s="47">
        <f>COUNTIF($S$7:$T$54,"=" &amp; AB21 &amp; "_lose")</f>
        <v>2</v>
      </c>
      <c r="AF21" s="47">
        <f>SUMIF($E$7:$E$54,$AB21,$F$7:$F$54) + SUMIF($H$7:$H$54,$AB21,$G$7:$G$54)</f>
        <v>1</v>
      </c>
      <c r="AG21" s="47">
        <f>SUMIF($E$7:$E$54,$AB21,$G$7:$G$54) + SUMIF($H$7:$H$54,$AB21,$F$7:$F$54)</f>
        <v>11</v>
      </c>
      <c r="AH21" s="47">
        <f>(AF21-AG21)*100+AK21*10000+AF21</f>
        <v>9001</v>
      </c>
      <c r="AI21" s="47">
        <f>AF21-AG21</f>
        <v>-10</v>
      </c>
      <c r="AJ21" s="47">
        <f>(AI21-AI25)/AI24</f>
        <v>0</v>
      </c>
      <c r="AK21" s="47">
        <f>AC21*3+AD21</f>
        <v>1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112.02092452020202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1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3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1</v>
      </c>
      <c r="G22" s="22">
        <v>1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5 - 2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Brazil_draw</v>
      </c>
      <c r="T22" s="88" t="str">
        <f t="shared" si="4"/>
        <v>Serbia_draw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0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0</v>
      </c>
      <c r="AD22" s="47">
        <f>COUNTIF($S$7:$T$54,"=" &amp; AB22 &amp; "_draw")</f>
        <v>1</v>
      </c>
      <c r="AE22" s="47">
        <f>COUNTIF($S$7:$T$54,"=" &amp; AB22 &amp; "_lose")</f>
        <v>2</v>
      </c>
      <c r="AF22" s="47">
        <f>SUMIF($E$7:$E$54,$AB22,$F$7:$F$54) + SUMIF($H$7:$H$54,$AB22,$G$7:$G$54)</f>
        <v>2</v>
      </c>
      <c r="AG22" s="47">
        <f>SUMIF($E$7:$E$54,$AB22,$G$7:$G$54) + SUMIF($H$7:$H$54,$AB22,$F$7:$F$54)</f>
        <v>6</v>
      </c>
      <c r="AH22" s="47">
        <f>(AF22-AG22)*100+AK22*10000+AF22</f>
        <v>9602</v>
      </c>
      <c r="AI22" s="47">
        <f>AF22-AG22</f>
        <v>-4</v>
      </c>
      <c r="AJ22" s="47">
        <f>(AI22-AI25)/AI24</f>
        <v>0.27272727272727271</v>
      </c>
      <c r="AK22" s="47">
        <f>AC22*3+AD22</f>
        <v>1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140.2028496120202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2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3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2</v>
      </c>
      <c r="G23" s="22">
        <v>0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0</v>
      </c>
      <c r="M23" s="25">
        <f>VLOOKUP(3,AA20:AK23,4,FALSE)</f>
        <v>1</v>
      </c>
      <c r="N23" s="25">
        <f>VLOOKUP(3,AA20:AK23,5,FALSE)</f>
        <v>2</v>
      </c>
      <c r="O23" s="25" t="str">
        <f>VLOOKUP(3,AA20:AK23,6,FALSE) &amp; " - " &amp; VLOOKUP(3,AA20:AK23,7,FALSE)</f>
        <v>2 - 6</v>
      </c>
      <c r="P23" s="54">
        <f>L23*3+M23</f>
        <v>1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2</v>
      </c>
      <c r="AD23" s="47">
        <f>COUNTIF($S$7:$T$54,"=" &amp; AB23 &amp; "_draw")</f>
        <v>0</v>
      </c>
      <c r="AE23" s="47">
        <f>COUNTIF($S$7:$T$54,"=" &amp; AB23 &amp; "_lose")</f>
        <v>1</v>
      </c>
      <c r="AF23" s="47">
        <f>SUMIF($E$7:$E$54,$AB23,$F$7:$F$54) + SUMIF($H$7:$H$54,$AB23,$G$7:$G$54)</f>
        <v>5</v>
      </c>
      <c r="AG23" s="47">
        <f>SUMIF($E$7:$E$54,$AB23,$G$7:$G$54) + SUMIF($H$7:$H$54,$AB23,$F$7:$F$54)</f>
        <v>2</v>
      </c>
      <c r="AH23" s="47">
        <f>(AF23-AG23)*100+AK23*10000+AF23</f>
        <v>60305</v>
      </c>
      <c r="AI23" s="47">
        <f>AF23-AG23</f>
        <v>3</v>
      </c>
      <c r="AJ23" s="47">
        <f>(AI23-AI25)/AI24</f>
        <v>0.59090909090909094</v>
      </c>
      <c r="AK23" s="47">
        <f>AC23*3+AD23</f>
        <v>6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730.30380230303024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Uruguay</v>
      </c>
      <c r="BA23" s="85">
        <v>0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Argentina</v>
      </c>
      <c r="BV23" s="84">
        <v>1</v>
      </c>
      <c r="BW23" s="86"/>
      <c r="BX23" s="27"/>
    </row>
    <row r="24" spans="1:76" ht="15" customHeight="1" x14ac:dyDescent="0.3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2</v>
      </c>
      <c r="G24" s="22">
        <v>0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1</v>
      </c>
      <c r="N24" s="56">
        <f>VLOOKUP(4,AA20:AK23,5,FALSE)</f>
        <v>2</v>
      </c>
      <c r="O24" s="56" t="str">
        <f>VLOOKUP(4,AA20:AK23,6,FALSE) &amp; " - " &amp; VLOOKUP(4,AA20:AK23,7,FALSE)</f>
        <v>1 - 11</v>
      </c>
      <c r="P24" s="57">
        <f>L24*3+M24</f>
        <v>1</v>
      </c>
      <c r="R24" s="47">
        <f>DATE(2022,11,25)+TIME(2,0,0)+gmt_delta</f>
        <v>44890.666666666672</v>
      </c>
      <c r="S24" s="88" t="str">
        <f t="shared" si="3"/>
        <v>Qatar_win</v>
      </c>
      <c r="T24" s="88" t="str">
        <f t="shared" si="4"/>
        <v>Senegal_lose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1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3</v>
      </c>
      <c r="AF24" s="47">
        <f t="shared" si="12"/>
        <v>11</v>
      </c>
      <c r="AG24" s="47">
        <f t="shared" si="12"/>
        <v>12</v>
      </c>
      <c r="AH24" s="47">
        <f>MAX(AH20:AH23)-AH25+1</f>
        <v>82111</v>
      </c>
      <c r="AI24" s="47">
        <f>MAX(AI20:AI23)-AI25+1</f>
        <v>22</v>
      </c>
      <c r="AK24" s="47">
        <f t="shared" si="12"/>
        <v>9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England</v>
      </c>
      <c r="BV24" s="85">
        <v>2</v>
      </c>
      <c r="BW24" s="87"/>
      <c r="BX24" s="30"/>
    </row>
    <row r="25" spans="1:76" ht="15" customHeight="1" x14ac:dyDescent="0.3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9001</v>
      </c>
      <c r="AI25" s="47">
        <f>MIN(AI20:AI23)</f>
        <v>-10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3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2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6</v>
      </c>
      <c r="AG26" s="47">
        <f>SUMIF($E$7:$E$54,$AB26,$G$7:$G$54) + SUMIF($H$7:$H$54,$AB26,$F$7:$F$54)</f>
        <v>1</v>
      </c>
      <c r="AH26" s="47">
        <f>(AF26-AG26)*100+AK26*10000+AF26</f>
        <v>90506</v>
      </c>
      <c r="AI26" s="47">
        <f>AF26-AG26</f>
        <v>5</v>
      </c>
      <c r="AJ26" s="47">
        <f>(AI26-AI31)/AI30</f>
        <v>0.90909090909090906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1099.4814144805196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2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3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6 - 1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1</v>
      </c>
      <c r="V27" s="47">
        <f t="shared" si="6"/>
        <v>1</v>
      </c>
      <c r="W27" s="47">
        <f t="shared" si="7"/>
        <v>1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1</v>
      </c>
      <c r="AG27" s="47">
        <f>SUMIF($E$7:$E$54,$AB27,$G$7:$G$54) + SUMIF($H$7:$H$54,$AB27,$F$7:$F$54)</f>
        <v>6</v>
      </c>
      <c r="AH27" s="47">
        <f>(AF27-AG27)*100+AK27*10000+AF27</f>
        <v>9501</v>
      </c>
      <c r="AI27" s="47">
        <f>AF27-AG27</f>
        <v>-5</v>
      </c>
      <c r="AJ27" s="47">
        <f>(AI27-AI31)/AI30</f>
        <v>0</v>
      </c>
      <c r="AK27" s="47">
        <f>AC27*3+AD27</f>
        <v>1</v>
      </c>
      <c r="AL27" s="47">
        <f>AP27/AP30*1000+AQ27/AQ30*100+AT27/AT30*10+AR27/AR30</f>
        <v>50.5</v>
      </c>
      <c r="AM27" s="47">
        <f>VLOOKUP(AB27,db_fifarank,2,FALSE)/2000000</f>
        <v>7.4186499999999997E-4</v>
      </c>
      <c r="AN27" s="48">
        <f>1000*AK27/AK30+100*AJ27+10*AF27/AF30+1*AL27/AL30+AM27</f>
        <v>113.52100692895438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1</v>
      </c>
      <c r="AR27" s="47">
        <f>SUMPRODUCT(($E$7:$E$54=AB27)*($U$7:$U$54)*($F$7:$F$54))+SUMPRODUCT(($H$7:$H$54=AB27)*($U$7:$U$54)*($G$7:$G$54))</f>
        <v>1</v>
      </c>
      <c r="AS27" s="47">
        <f>SUMPRODUCT(($E$7:$E$54=AB27)*($U$7:$U$54)*($G$7:$G$54))+SUMPRODUCT(($H$7:$H$54=AB27)*($U$7:$U$54)*($F$7:$F$54))</f>
        <v>1</v>
      </c>
      <c r="AT27" s="47">
        <f>AR27-AS27</f>
        <v>0</v>
      </c>
      <c r="AY27" s="125"/>
      <c r="AZ27" s="28" t="str">
        <f>AO9</f>
        <v>Qatar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3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3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7 - 2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0</v>
      </c>
      <c r="AE28" s="47">
        <f>COUNTIF($S$7:$T$54,"=" &amp; AB28 &amp; "_lose")</f>
        <v>1</v>
      </c>
      <c r="AF28" s="47">
        <f>SUMIF($E$7:$E$54,$AB28,$F$7:$F$54) + SUMIF($H$7:$H$54,$AB28,$G$7:$G$54)</f>
        <v>7</v>
      </c>
      <c r="AG28" s="47">
        <f>SUMIF($E$7:$E$54,$AB28,$G$7:$G$54) + SUMIF($H$7:$H$54,$AB28,$F$7:$F$54)</f>
        <v>2</v>
      </c>
      <c r="AH28" s="47">
        <f>(AF28-AG28)*100+AK28*10000+AF28</f>
        <v>60507</v>
      </c>
      <c r="AI28" s="47">
        <f>AF28-AG28</f>
        <v>5</v>
      </c>
      <c r="AJ28" s="47">
        <f>(AI28-AI31)/AI30</f>
        <v>0.90909090909090906</v>
      </c>
      <c r="AK28" s="47">
        <f>AC28*3+AD28</f>
        <v>6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767.57658437575753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2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3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2</v>
      </c>
      <c r="G29" s="22">
        <v>1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1 - 6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1</v>
      </c>
      <c r="AG29" s="47">
        <f>SUMIF($E$7:$E$54,$AB29,$G$7:$G$54) + SUMIF($H$7:$H$54,$AB29,$F$7:$F$54)</f>
        <v>6</v>
      </c>
      <c r="AH29" s="47">
        <f>(AF29-AG29)*100+AK29*10000+AF29</f>
        <v>9501</v>
      </c>
      <c r="AI29" s="47">
        <f>AF29-AG29</f>
        <v>-5</v>
      </c>
      <c r="AJ29" s="47">
        <f>(AI29-AI31)/AI30</f>
        <v>0</v>
      </c>
      <c r="AK29" s="47">
        <f>AC29*3+AD29</f>
        <v>1</v>
      </c>
      <c r="AL29" s="47">
        <f>AP29/AP30*1000+AQ29/AQ30*100+AT29/AT30*10+AR29/AR30</f>
        <v>50.5</v>
      </c>
      <c r="AM29" s="47">
        <f>VLOOKUP(AB29,db_fifarank,2,FALSE)/2000000</f>
        <v>7.4989999999999996E-4</v>
      </c>
      <c r="AN29" s="48">
        <f>1000*AK29/AK30+100*AJ29+10*AF29/AF30+1*AL29/AL30+AM29</f>
        <v>113.52101496395439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1</v>
      </c>
      <c r="AR29" s="47">
        <f>SUMPRODUCT(($E$7:$E$54=AB29)*($U$7:$U$54)*($F$7:$F$54))+SUMPRODUCT(($H$7:$H$54=AB29)*($U$7:$U$54)*($G$7:$G$54))</f>
        <v>1</v>
      </c>
      <c r="AS29" s="47">
        <f>SUMPRODUCT(($E$7:$E$54=AB29)*($U$7:$U$54)*($G$7:$G$54))+SUMPRODUCT(($H$7:$H$54=AB29)*($U$7:$U$54)*($F$7:$F$54))</f>
        <v>1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1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3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3</v>
      </c>
      <c r="G30" s="22">
        <v>0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1 - 6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2</v>
      </c>
      <c r="AE30" s="47">
        <f t="shared" si="13"/>
        <v>3</v>
      </c>
      <c r="AF30" s="47">
        <f t="shared" si="13"/>
        <v>7</v>
      </c>
      <c r="AG30" s="47">
        <f t="shared" si="13"/>
        <v>6</v>
      </c>
      <c r="AH30" s="47">
        <f>MAX(AH26:AH29)-AH31+1</f>
        <v>81006</v>
      </c>
      <c r="AI30" s="47">
        <f>MAX(AI26:AI29)-AI31+1</f>
        <v>11</v>
      </c>
      <c r="AK30" s="47">
        <f t="shared" si="13"/>
        <v>9</v>
      </c>
      <c r="AL30" s="47">
        <f t="shared" si="13"/>
        <v>51.5</v>
      </c>
      <c r="AP30" s="47">
        <f>MAX(AP26:AP29)-MIN(AP26:AP29)+1</f>
        <v>1</v>
      </c>
      <c r="AQ30" s="47">
        <f>MAX(AQ26:AQ29)-MIN(AQ26:AQ29)+1</f>
        <v>2</v>
      </c>
      <c r="AR30" s="47">
        <f>MAX(AR26:AR29)-MIN(AR26:AR29)+1</f>
        <v>2</v>
      </c>
      <c r="AS30" s="47">
        <f>MAX(AS26:AS29)-MIN(AS26:AS29)+1</f>
        <v>2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1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3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0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Japan_draw</v>
      </c>
      <c r="T31" s="88" t="str">
        <f t="shared" si="4"/>
        <v>Costa Rica_draw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0</v>
      </c>
      <c r="AH31" s="47">
        <f>MIN(AH26:AH29)</f>
        <v>9501</v>
      </c>
      <c r="AI31" s="47">
        <f>MIN(AI26:AI29)</f>
        <v>-5</v>
      </c>
      <c r="AY31" s="125"/>
      <c r="AZ31" s="28" t="str">
        <f>AO21</f>
        <v>Poland</v>
      </c>
      <c r="BA31" s="85">
        <v>0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3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2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1</v>
      </c>
      <c r="AE32" s="47">
        <f>COUNTIF($S$7:$T$54,"=" &amp; AB32 &amp; "_lose")</f>
        <v>0</v>
      </c>
      <c r="AF32" s="47">
        <f>SUMIF($E$7:$E$54,$AB32,$F$7:$F$54) + SUMIF($H$7:$H$54,$AB32,$G$7:$G$54)</f>
        <v>6</v>
      </c>
      <c r="AG32" s="47">
        <f>SUMIF($E$7:$E$54,$AB32,$G$7:$G$54) + SUMIF($H$7:$H$54,$AB32,$F$7:$F$54)</f>
        <v>1</v>
      </c>
      <c r="AH32" s="47">
        <f>(AF32-AG32)*100+AK32*10000+AF32</f>
        <v>70506</v>
      </c>
      <c r="AI32" s="47">
        <f>AF32-AG32</f>
        <v>5</v>
      </c>
      <c r="AJ32" s="47">
        <f>(AI32-AI37)/AI36</f>
        <v>0.91666666666666663</v>
      </c>
      <c r="AK32" s="47">
        <f>AC32*3+AD32</f>
        <v>7</v>
      </c>
      <c r="AL32" s="47">
        <f>AP32/AP36*1000+AQ32/AQ36*100+AT32/AT36*10+AR32/AR36</f>
        <v>50.5</v>
      </c>
      <c r="AM32" s="47">
        <f>VLOOKUP(AB32,db_fifarank,2,FALSE)/2000000</f>
        <v>8.5450000000000001E-4</v>
      </c>
      <c r="AN32" s="48">
        <f>1000*AK32/AK36+100*AJ32+10*AF32/AF36+1*AL32/AL36+AM32</f>
        <v>1101.2195322623672</v>
      </c>
      <c r="AO32" s="48" t="str">
        <f>IF(SUM(AC32:AE35)=12,J33,INDEX(T,78,lang))</f>
        <v>Spain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1</v>
      </c>
      <c r="AR32" s="47">
        <f>SUMPRODUCT(($E$7:$E$54=AB32)*($U$7:$U$54)*($F$7:$F$54))+SUMPRODUCT(($H$7:$H$54=AB32)*($U$7:$U$54)*($G$7:$G$54))</f>
        <v>1</v>
      </c>
      <c r="AS32" s="47">
        <f>SUMPRODUCT(($E$7:$E$54=AB32)*($U$7:$U$54)*($G$7:$G$54))+SUMPRODUCT(($H$7:$H$54=AB32)*($U$7:$U$54)*($F$7:$F$54))</f>
        <v>1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England</v>
      </c>
      <c r="BO32" s="84">
        <v>2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3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0</v>
      </c>
      <c r="H33" s="90" t="str">
        <f>AB39</f>
        <v>Canada</v>
      </c>
      <c r="J33" s="50" t="str">
        <f>VLOOKUP(1,AA32:AK35,2,FALSE)</f>
        <v>Spain</v>
      </c>
      <c r="K33" s="51">
        <f>L33+M33+N33</f>
        <v>3</v>
      </c>
      <c r="L33" s="51">
        <f>VLOOKUP(1,AA32:AK35,3,FALSE)</f>
        <v>2</v>
      </c>
      <c r="M33" s="51">
        <f>VLOOKUP(1,AA32:AK35,4,FALSE)</f>
        <v>1</v>
      </c>
      <c r="N33" s="51">
        <f>VLOOKUP(1,AA32:AK35,5,FALSE)</f>
        <v>0</v>
      </c>
      <c r="O33" s="51" t="str">
        <f>VLOOKUP(1,AA32:AK35,6,FALSE) &amp; " - " &amp; VLOOKUP(1,AA32:AK35,7,FALSE)</f>
        <v>6 - 1</v>
      </c>
      <c r="P33" s="52">
        <f>L33*3+M33</f>
        <v>7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3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1</v>
      </c>
      <c r="AE33" s="47">
        <f>COUNTIF($S$7:$T$54,"=" &amp; AB33 &amp; "_lose")</f>
        <v>2</v>
      </c>
      <c r="AF33" s="47">
        <f>SUMIF($E$7:$E$54,$AB33,$F$7:$F$54) + SUMIF($H$7:$H$54,$AB33,$G$7:$G$54)</f>
        <v>0</v>
      </c>
      <c r="AG33" s="47">
        <f>SUMIF($E$7:$E$54,$AB33,$G$7:$G$54) + SUMIF($H$7:$H$54,$AB33,$F$7:$F$54)</f>
        <v>4</v>
      </c>
      <c r="AH33" s="47">
        <f>(AF33-AG33)*100+AK33*10000+AF33</f>
        <v>9600</v>
      </c>
      <c r="AI33" s="47">
        <f>AF33-AG33</f>
        <v>-4</v>
      </c>
      <c r="AJ33" s="47">
        <f>(AI33-AI37)/AI36</f>
        <v>0.16666666666666666</v>
      </c>
      <c r="AK33" s="47">
        <f>AC33*3+AD33</f>
        <v>1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159.52455955380952</v>
      </c>
      <c r="AO33" s="48" t="str">
        <f>IF(SUM(AC32:AE35)=12,J34,INDEX(T,79,lang))</f>
        <v>Germany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Portugal</v>
      </c>
      <c r="BO33" s="85">
        <v>1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3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1</v>
      </c>
      <c r="H34" s="90" t="str">
        <f>AB34</f>
        <v>Germany</v>
      </c>
      <c r="J34" s="53" t="str">
        <f>VLOOKUP(2,AA32:AK35,2,FALSE)</f>
        <v>Germany</v>
      </c>
      <c r="K34" s="25">
        <f>L34+M34+N34</f>
        <v>3</v>
      </c>
      <c r="L34" s="25">
        <f>VLOOKUP(2,AA32:AK35,3,FALSE)</f>
        <v>2</v>
      </c>
      <c r="M34" s="25">
        <f>VLOOKUP(2,AA32:AK35,4,FALSE)</f>
        <v>1</v>
      </c>
      <c r="N34" s="25">
        <f>VLOOKUP(2,AA32:AK35,5,FALSE)</f>
        <v>0</v>
      </c>
      <c r="O34" s="25" t="str">
        <f>VLOOKUP(2,AA32:AK35,6,FALSE) &amp; " - " &amp; VLOOKUP(2,AA32:AK35,7,FALSE)</f>
        <v>6 - 1</v>
      </c>
      <c r="P34" s="54">
        <f>L34*3+M34</f>
        <v>7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1</v>
      </c>
      <c r="V34" s="47">
        <f t="shared" si="6"/>
        <v>1</v>
      </c>
      <c r="W34" s="47">
        <f t="shared" si="7"/>
        <v>1</v>
      </c>
      <c r="X34" s="47">
        <f t="shared" si="8"/>
        <v>0</v>
      </c>
      <c r="Y34" s="47">
        <f t="shared" si="9"/>
        <v>0</v>
      </c>
      <c r="AA34" s="47">
        <f>COUNTIF(AN32:AN35,CONCATENATE("&gt;=",AN34))</f>
        <v>2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1</v>
      </c>
      <c r="AE34" s="47">
        <f>COUNTIF($S$7:$T$54,"=" &amp; AB34 &amp; "_lose")</f>
        <v>0</v>
      </c>
      <c r="AF34" s="47">
        <f>SUMIF($E$7:$E$54,$AB34,$F$7:$F$54) + SUMIF($H$7:$H$54,$AB34,$G$7:$G$54)</f>
        <v>6</v>
      </c>
      <c r="AG34" s="47">
        <f>SUMIF($E$7:$E$54,$AB34,$G$7:$G$54) + SUMIF($H$7:$H$54,$AB34,$F$7:$F$54)</f>
        <v>1</v>
      </c>
      <c r="AH34" s="47">
        <f>(AF34-AG34)*100+AK34*10000+AF34</f>
        <v>70506</v>
      </c>
      <c r="AI34" s="47">
        <f>AF34-AG34</f>
        <v>5</v>
      </c>
      <c r="AJ34" s="47">
        <f>(AI34-AI37)/AI36</f>
        <v>0.91666666666666663</v>
      </c>
      <c r="AK34" s="47">
        <f>AC34*3+AD34</f>
        <v>7</v>
      </c>
      <c r="AL34" s="47">
        <f>AP34/AP36*1000+AQ34/AQ36*100+AT34/AT36*10+AR34/AR36</f>
        <v>50.5</v>
      </c>
      <c r="AM34" s="47">
        <f>VLOOKUP(AB34,db_fifarank,2,FALSE)/2000000</f>
        <v>8.2526499999999994E-4</v>
      </c>
      <c r="AN34" s="48">
        <f>1000*AK34/AK36+100*AJ34+10*AF34/AF36+1*AL34/AL36+AM34</f>
        <v>1101.2195030273672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1</v>
      </c>
      <c r="AR34" s="47">
        <f>SUMPRODUCT(($E$7:$E$54=AB34)*($U$7:$U$54)*($F$7:$F$54))+SUMPRODUCT(($H$7:$H$54=AB34)*($U$7:$U$54)*($G$7:$G$54))</f>
        <v>1</v>
      </c>
      <c r="AS34" s="47">
        <f>SUMPRODUCT(($E$7:$E$54=AB34)*($U$7:$U$54)*($G$7:$G$54))+SUMPRODUCT(($H$7:$H$54=AB34)*($U$7:$U$54)*($F$7:$F$54))</f>
        <v>1</v>
      </c>
      <c r="AT34" s="47">
        <f>AR34-AS34</f>
        <v>0</v>
      </c>
      <c r="AY34" s="124">
        <v>55</v>
      </c>
      <c r="AZ34" s="26" t="str">
        <f>AO38</f>
        <v>Belgium</v>
      </c>
      <c r="BA34" s="84">
        <v>1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3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0</v>
      </c>
      <c r="G35" s="22">
        <v>3</v>
      </c>
      <c r="H35" s="90" t="str">
        <f>AB45</f>
        <v>Serbia</v>
      </c>
      <c r="J35" s="53" t="str">
        <f>VLOOKUP(3,AA32:AK35,2,FALSE)</f>
        <v>Costa Rica</v>
      </c>
      <c r="K35" s="25">
        <f>L35+M35+N35</f>
        <v>3</v>
      </c>
      <c r="L35" s="25">
        <f>VLOOKUP(3,AA32:AK35,3,FALSE)</f>
        <v>0</v>
      </c>
      <c r="M35" s="25">
        <f>VLOOKUP(3,AA32:AK35,4,FALSE)</f>
        <v>1</v>
      </c>
      <c r="N35" s="25">
        <f>VLOOKUP(3,AA32:AK35,5,FALSE)</f>
        <v>2</v>
      </c>
      <c r="O35" s="25" t="str">
        <f>VLOOKUP(3,AA32:AK35,6,FALSE) &amp; " - " &amp; VLOOKUP(3,AA32:AK35,7,FALSE)</f>
        <v>0 - 4</v>
      </c>
      <c r="P35" s="54">
        <f>L35*3+M35</f>
        <v>1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4</v>
      </c>
      <c r="AB35" s="48" t="str">
        <f>VLOOKUP("Japan",T,lang,FALSE)</f>
        <v>Japan</v>
      </c>
      <c r="AC35" s="47">
        <f>COUNTIF($S$7:$T$54,"=" &amp; AB35 &amp; "_win")</f>
        <v>0</v>
      </c>
      <c r="AD35" s="47">
        <f>COUNTIF($S$7:$T$54,"=" &amp; AB35 &amp; "_draw")</f>
        <v>1</v>
      </c>
      <c r="AE35" s="47">
        <f>COUNTIF($S$7:$T$54,"=" &amp; AB35 &amp; "_lose")</f>
        <v>2</v>
      </c>
      <c r="AF35" s="47">
        <f>SUMIF($E$7:$E$54,$AB35,$F$7:$F$54) + SUMIF($H$7:$H$54,$AB35,$G$7:$G$54)</f>
        <v>0</v>
      </c>
      <c r="AG35" s="47">
        <f>SUMIF($E$7:$E$54,$AB35,$G$7:$G$54) + SUMIF($H$7:$H$54,$AB35,$F$7:$F$54)</f>
        <v>6</v>
      </c>
      <c r="AH35" s="47">
        <f>(AF35-AG35)*100+AK35*10000+AF35</f>
        <v>9400</v>
      </c>
      <c r="AI35" s="47">
        <f>AF35-AG35</f>
        <v>-6</v>
      </c>
      <c r="AJ35" s="47">
        <f>(AI35-AI37)/AI36</f>
        <v>0</v>
      </c>
      <c r="AK35" s="47">
        <f>AC35*3+AD35</f>
        <v>1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142.85791957714287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Germany</v>
      </c>
      <c r="BA35" s="85">
        <v>2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Spain</v>
      </c>
      <c r="BV35" s="84">
        <v>1</v>
      </c>
      <c r="BW35" s="86">
        <v>1</v>
      </c>
      <c r="BX35" s="27">
        <v>5</v>
      </c>
    </row>
    <row r="36" spans="1:76" ht="15" customHeight="1" x14ac:dyDescent="0.3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0</v>
      </c>
      <c r="G36" s="22">
        <v>0</v>
      </c>
      <c r="H36" s="90" t="str">
        <f>AB51</f>
        <v>Ghana</v>
      </c>
      <c r="J36" s="55" t="str">
        <f>VLOOKUP(4,AA32:AK35,2,FALSE)</f>
        <v>Japan</v>
      </c>
      <c r="K36" s="56">
        <f>L36+M36+N36</f>
        <v>3</v>
      </c>
      <c r="L36" s="56">
        <f>VLOOKUP(4,AA32:AK35,3,FALSE)</f>
        <v>0</v>
      </c>
      <c r="M36" s="56">
        <f>VLOOKUP(4,AA32:AK35,4,FALSE)</f>
        <v>1</v>
      </c>
      <c r="N36" s="56">
        <f>VLOOKUP(4,AA32:AK35,5,FALSE)</f>
        <v>2</v>
      </c>
      <c r="O36" s="56" t="str">
        <f>VLOOKUP(4,AA32:AK35,6,FALSE) &amp; " - " &amp; VLOOKUP(4,AA32:AK35,7,FALSE)</f>
        <v>0 - 6</v>
      </c>
      <c r="P36" s="57">
        <f>L36*3+M36</f>
        <v>1</v>
      </c>
      <c r="R36" s="47">
        <f>DATE(2022,11,28)+TIME(2,0,0)+gmt_delta</f>
        <v>44893.666666666672</v>
      </c>
      <c r="S36" s="88" t="str">
        <f t="shared" si="3"/>
        <v>Korea Republic_draw</v>
      </c>
      <c r="T36" s="88" t="str">
        <f t="shared" si="4"/>
        <v>Ghana_draw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0</v>
      </c>
      <c r="AC36" s="47">
        <f t="shared" ref="AC36:AL36" si="14">MAX(AC32:AC35)-MIN(AC32:AC35)+1</f>
        <v>3</v>
      </c>
      <c r="AD36" s="47">
        <f t="shared" si="14"/>
        <v>1</v>
      </c>
      <c r="AE36" s="47">
        <f t="shared" si="14"/>
        <v>3</v>
      </c>
      <c r="AF36" s="47">
        <f t="shared" si="14"/>
        <v>7</v>
      </c>
      <c r="AG36" s="47">
        <f t="shared" si="14"/>
        <v>6</v>
      </c>
      <c r="AH36" s="47">
        <f>MAX(AH32:AH35)-AH37+1</f>
        <v>61107</v>
      </c>
      <c r="AI36" s="47">
        <f>MAX(AI32:AI35)-AI37+1</f>
        <v>12</v>
      </c>
      <c r="AK36" s="47">
        <f t="shared" si="14"/>
        <v>7</v>
      </c>
      <c r="AL36" s="47">
        <f t="shared" si="14"/>
        <v>51.5</v>
      </c>
      <c r="AP36" s="47">
        <f>MAX(AP32:AP35)-MIN(AP32:AP35)+1</f>
        <v>1</v>
      </c>
      <c r="AQ36" s="47">
        <f>MAX(AQ32:AQ35)-MIN(AQ32:AQ35)+1</f>
        <v>2</v>
      </c>
      <c r="AR36" s="47">
        <f>MAX(AR32:AR35)-MIN(AR32:AR35)+1</f>
        <v>2</v>
      </c>
      <c r="AS36" s="47">
        <f>MAX(AS32:AS35)-MIN(AS32:AS35)+1</f>
        <v>2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Germany</v>
      </c>
      <c r="BH36" s="84">
        <v>1</v>
      </c>
      <c r="BI36" s="86">
        <v>1</v>
      </c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Portugal</v>
      </c>
      <c r="BV36" s="85">
        <v>1</v>
      </c>
      <c r="BW36" s="87">
        <v>1</v>
      </c>
      <c r="BX36" s="30">
        <v>6</v>
      </c>
    </row>
    <row r="37" spans="1:76" ht="15" customHeight="1" x14ac:dyDescent="0.3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1</v>
      </c>
      <c r="G37" s="22">
        <v>0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9400</v>
      </c>
      <c r="AI37" s="47">
        <f>MIN(AI32:AI35)</f>
        <v>-6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1</v>
      </c>
      <c r="BI37" s="87">
        <v>2</v>
      </c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3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2</v>
      </c>
      <c r="G38" s="22">
        <v>1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3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7</v>
      </c>
      <c r="AG38" s="47">
        <f>SUMIF($E$7:$E$54,$AB38,$G$7:$G$54) + SUMIF($H$7:$H$54,$AB38,$F$7:$F$54)</f>
        <v>2</v>
      </c>
      <c r="AH38" s="47">
        <f>(AF38-AG38)*100+AK38*10000+AF38</f>
        <v>90507</v>
      </c>
      <c r="AI38" s="47">
        <f>AF38-AG38</f>
        <v>5</v>
      </c>
      <c r="AJ38" s="47">
        <f>(AI38-AI43)/AI42</f>
        <v>0.92307692307692313</v>
      </c>
      <c r="AK38" s="47">
        <f>AC38*3+AD38</f>
        <v>9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1001.0586058076923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1</v>
      </c>
      <c r="BB38" s="86">
        <v>1</v>
      </c>
      <c r="BC38" s="27">
        <v>6</v>
      </c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3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1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7 - 2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Ecuador_draw</v>
      </c>
      <c r="T39" s="88" t="str">
        <f t="shared" si="4"/>
        <v>Senegal_draw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0</v>
      </c>
      <c r="AA39" s="47">
        <f>COUNTIF(AN38:AN41,CONCATENATE("&gt;=",AN39))</f>
        <v>3</v>
      </c>
      <c r="AB39" s="48" t="str">
        <f>VLOOKUP("Canada",T,lang,FALSE)</f>
        <v>Canada</v>
      </c>
      <c r="AC39" s="47">
        <f>COUNTIF($S$7:$T$54,"=" &amp; AB39 &amp; "_win")</f>
        <v>1</v>
      </c>
      <c r="AD39" s="47">
        <f>COUNTIF($S$7:$T$54,"=" &amp; AB39 &amp; "_draw")</f>
        <v>0</v>
      </c>
      <c r="AE39" s="47">
        <f>COUNTIF($S$7:$T$54,"=" &amp; AB39 &amp; "_lose")</f>
        <v>2</v>
      </c>
      <c r="AF39" s="47">
        <f>SUMIF($E$7:$E$54,$AB39,$F$7:$F$54) + SUMIF($H$7:$H$54,$AB39,$G$7:$G$54)</f>
        <v>2</v>
      </c>
      <c r="AG39" s="47">
        <f>SUMIF($E$7:$E$54,$AB39,$G$7:$G$54) + SUMIF($H$7:$H$54,$AB39,$F$7:$F$54)</f>
        <v>5</v>
      </c>
      <c r="AH39" s="47">
        <f>(AF39-AG39)*100+AK39*10000+AF39</f>
        <v>29702</v>
      </c>
      <c r="AI39" s="47">
        <f>AF39-AG39</f>
        <v>-3</v>
      </c>
      <c r="AJ39" s="47">
        <f>(AI39-AI43)/AI42</f>
        <v>0.30769230769230771</v>
      </c>
      <c r="AK39" s="47">
        <f>AC39*3+AD39</f>
        <v>3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333.26997026923078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Serbia</v>
      </c>
      <c r="BA39" s="85">
        <v>1</v>
      </c>
      <c r="BB39" s="87">
        <v>1</v>
      </c>
      <c r="BC39" s="30">
        <v>5</v>
      </c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5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2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7 - 2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0</v>
      </c>
      <c r="AE40" s="47">
        <f>COUNTIF($S$7:$T$54,"=" &amp; AB40 &amp; "_lose")</f>
        <v>3</v>
      </c>
      <c r="AF40" s="47">
        <f>SUMIF($E$7:$E$54,$AB40,$F$7:$F$54) + SUMIF($H$7:$H$54,$AB40,$G$7:$G$54)</f>
        <v>0</v>
      </c>
      <c r="AG40" s="47">
        <f>SUMIF($E$7:$E$54,$AB40,$G$7:$G$54) + SUMIF($H$7:$H$54,$AB40,$F$7:$F$54)</f>
        <v>7</v>
      </c>
      <c r="AH40" s="47">
        <f>(AF40-AG40)*100+AK40*10000+AF40</f>
        <v>-700</v>
      </c>
      <c r="AI40" s="47">
        <f>AF40-AG40</f>
        <v>-7</v>
      </c>
      <c r="AJ40" s="47">
        <f>(AI40-AI43)/AI42</f>
        <v>0</v>
      </c>
      <c r="AK40" s="47">
        <f>AC40*3+AD40</f>
        <v>0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7.7594000000000003E-4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3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0</v>
      </c>
      <c r="G41" s="22">
        <v>1</v>
      </c>
      <c r="H41" s="90" t="str">
        <f>AB14</f>
        <v>England</v>
      </c>
      <c r="J41" s="53" t="str">
        <f>VLOOKUP(3,AA38:AK41,2,FALSE)</f>
        <v>Canada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2 - 5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0</v>
      </c>
      <c r="AE41" s="47">
        <f>COUNTIF($S$7:$T$54,"=" &amp; AB41 &amp; "_lose")</f>
        <v>1</v>
      </c>
      <c r="AF41" s="47">
        <f>SUMIF($E$7:$E$54,$AB41,$F$7:$F$54) + SUMIF($H$7:$H$54,$AB41,$G$7:$G$54)</f>
        <v>7</v>
      </c>
      <c r="AG41" s="47">
        <f>SUMIF($E$7:$E$54,$AB41,$G$7:$G$54) + SUMIF($H$7:$H$54,$AB41,$F$7:$F$54)</f>
        <v>2</v>
      </c>
      <c r="AH41" s="47">
        <f>(AF41-AG41)*100+AK41*10000+AF41</f>
        <v>60507</v>
      </c>
      <c r="AI41" s="47">
        <f>AF41-AG41</f>
        <v>5</v>
      </c>
      <c r="AJ41" s="47">
        <f>(AI41-AI43)/AI42</f>
        <v>0.92307692307692313</v>
      </c>
      <c r="AK41" s="47">
        <f>AC41*3+AD41</f>
        <v>6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701.05850286269231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England</v>
      </c>
      <c r="BS41" s="143"/>
      <c r="BT41" s="143"/>
      <c r="BU41" s="143"/>
      <c r="BV41" s="143"/>
      <c r="BW41" s="143"/>
      <c r="BX41" s="143"/>
    </row>
    <row r="42" spans="1:76" ht="15" customHeight="1" x14ac:dyDescent="0.3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1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0 - 7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4</v>
      </c>
      <c r="AD42" s="47">
        <f t="shared" si="15"/>
        <v>1</v>
      </c>
      <c r="AE42" s="47">
        <f t="shared" si="15"/>
        <v>4</v>
      </c>
      <c r="AF42" s="47">
        <f t="shared" si="15"/>
        <v>8</v>
      </c>
      <c r="AG42" s="47">
        <f t="shared" si="15"/>
        <v>6</v>
      </c>
      <c r="AH42" s="47">
        <f>MAX(AH38:AH41)-AH43+1</f>
        <v>91208</v>
      </c>
      <c r="AI42" s="47">
        <f>MAX(AI38:AI41)-AI43+1</f>
        <v>13</v>
      </c>
      <c r="AK42" s="47">
        <f t="shared" si="15"/>
        <v>10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3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-700</v>
      </c>
      <c r="AI43" s="47">
        <f>MIN(AI38:AI41)</f>
        <v>-7</v>
      </c>
      <c r="AY43" s="135"/>
      <c r="AZ43" s="136"/>
      <c r="BA43" s="136"/>
      <c r="BB43" s="136"/>
      <c r="BC43" s="137"/>
    </row>
    <row r="44" spans="1:76" ht="15" customHeight="1" x14ac:dyDescent="0.3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1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2</v>
      </c>
      <c r="AD44" s="47">
        <f>COUNTIF($S$7:$T$54,"=" &amp; AB44 &amp; "_draw")</f>
        <v>1</v>
      </c>
      <c r="AE44" s="47">
        <f>COUNTIF($S$7:$T$54,"=" &amp; AB44 &amp; "_lose")</f>
        <v>0</v>
      </c>
      <c r="AF44" s="47">
        <f>SUMIF($E$7:$E$54,$AB44,$F$7:$F$54) + SUMIF($H$7:$H$54,$AB44,$G$7:$G$54)</f>
        <v>4</v>
      </c>
      <c r="AG44" s="47">
        <f>SUMIF($E$7:$E$54,$AB44,$G$7:$G$54) + SUMIF($H$7:$H$54,$AB44,$F$7:$F$54)</f>
        <v>1</v>
      </c>
      <c r="AH44" s="47">
        <f>(AF44-AG44)*100+AK44*10000+AF44</f>
        <v>70304</v>
      </c>
      <c r="AI44" s="47">
        <f>AF44-AG44</f>
        <v>3</v>
      </c>
      <c r="AJ44" s="47">
        <f>(AI44-AI49)/AI48</f>
        <v>0.9</v>
      </c>
      <c r="AK44" s="47">
        <f>AC44*3+AD44</f>
        <v>7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971.66758301166658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3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0</v>
      </c>
      <c r="G45" s="22">
        <v>1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2</v>
      </c>
      <c r="M45" s="51">
        <f>VLOOKUP(1,AA44:AK47,4,FALSE)</f>
        <v>1</v>
      </c>
      <c r="N45" s="51">
        <f>VLOOKUP(1,AA44:AK47,5,FALSE)</f>
        <v>0</v>
      </c>
      <c r="O45" s="51" t="str">
        <f>VLOOKUP(1,AA44:AK47,6,FALSE) &amp; " - " &amp; VLOOKUP(1,AA44:AK47,7,FALSE)</f>
        <v>4 - 1</v>
      </c>
      <c r="P45" s="52">
        <f>L45*3+M45</f>
        <v>7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1</v>
      </c>
      <c r="AD45" s="47">
        <f>COUNTIF($S$7:$T$54,"=" &amp; AB45 &amp; "_draw")</f>
        <v>2</v>
      </c>
      <c r="AE45" s="47">
        <f>COUNTIF($S$7:$T$54,"=" &amp; AB45 &amp; "_lose")</f>
        <v>0</v>
      </c>
      <c r="AF45" s="47">
        <f>SUMIF($E$7:$E$54,$AB45,$F$7:$F$54) + SUMIF($H$7:$H$54,$AB45,$G$7:$G$54)</f>
        <v>5</v>
      </c>
      <c r="AG45" s="47">
        <f>SUMIF($E$7:$E$54,$AB45,$G$7:$G$54) + SUMIF($H$7:$H$54,$AB45,$F$7:$F$54)</f>
        <v>2</v>
      </c>
      <c r="AH45" s="47">
        <f>(AF45-AG45)*100+AK45*10000+AF45</f>
        <v>50305</v>
      </c>
      <c r="AI45" s="47">
        <f>AF45-AG45</f>
        <v>3</v>
      </c>
      <c r="AJ45" s="47">
        <f>(AI45-AI49)/AI48</f>
        <v>0.9</v>
      </c>
      <c r="AK45" s="47">
        <f>AC45*3+AD45</f>
        <v>5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723.33410709833333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3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1</v>
      </c>
      <c r="G46" s="22">
        <v>1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1</v>
      </c>
      <c r="M46" s="25">
        <f>VLOOKUP(2,AA44:AK47,4,FALSE)</f>
        <v>2</v>
      </c>
      <c r="N46" s="25">
        <f>VLOOKUP(2,AA44:AK47,5,FALSE)</f>
        <v>0</v>
      </c>
      <c r="O46" s="25" t="str">
        <f>VLOOKUP(2,AA44:AK47,6,FALSE) &amp; " - " &amp; VLOOKUP(2,AA44:AK47,7,FALSE)</f>
        <v>5 - 2</v>
      </c>
      <c r="P46" s="54">
        <f>L46*3+M46</f>
        <v>5</v>
      </c>
      <c r="R46" s="47">
        <f>DATE(2022,11,30)+TIME(8,0,0)+gmt_delta</f>
        <v>44895.916666666672</v>
      </c>
      <c r="S46" s="88" t="str">
        <f t="shared" si="3"/>
        <v>Saudi Arabia_draw</v>
      </c>
      <c r="T46" s="88" t="str">
        <f t="shared" si="4"/>
        <v>Mexico_draw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0</v>
      </c>
      <c r="AA46" s="47">
        <f>COUNTIF(AN44:AN47,CONCATENATE("&gt;=",AN46))</f>
        <v>3</v>
      </c>
      <c r="AB46" s="48" t="str">
        <f>VLOOKUP("Switzerland",T,lang,FALSE)</f>
        <v>Switzerland</v>
      </c>
      <c r="AC46" s="47">
        <f>COUNTIF($S$7:$T$54,"=" &amp; AB46 &amp; "_win")</f>
        <v>1</v>
      </c>
      <c r="AD46" s="47">
        <f>COUNTIF($S$7:$T$54,"=" &amp; AB46 &amp; "_draw")</f>
        <v>1</v>
      </c>
      <c r="AE46" s="47">
        <f>COUNTIF($S$7:$T$54,"=" &amp; AB46 &amp; "_lose")</f>
        <v>1</v>
      </c>
      <c r="AF46" s="47">
        <f>SUMIF($E$7:$E$54,$AB46,$F$7:$F$54) + SUMIF($H$7:$H$54,$AB46,$G$7:$G$54)</f>
        <v>2</v>
      </c>
      <c r="AG46" s="47">
        <f>SUMIF($E$7:$E$54,$AB46,$G$7:$G$54) + SUMIF($H$7:$H$54,$AB46,$F$7:$F$54)</f>
        <v>2</v>
      </c>
      <c r="AH46" s="47">
        <f>(AF46-AG46)*100+AK46*10000+AF46</f>
        <v>40002</v>
      </c>
      <c r="AI46" s="47">
        <f>AF46-AG46</f>
        <v>0</v>
      </c>
      <c r="AJ46" s="47">
        <f>(AI46-AI49)/AI48</f>
        <v>0.6</v>
      </c>
      <c r="AK46" s="47">
        <f>AC46*3+AD46</f>
        <v>4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563.33415099333342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3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2</v>
      </c>
      <c r="H47" s="90" t="str">
        <f>AB38</f>
        <v>Belgium</v>
      </c>
      <c r="J47" s="53" t="str">
        <f>VLOOKUP(3,AA44:AK47,2,FALSE)</f>
        <v>Switzerland</v>
      </c>
      <c r="K47" s="25">
        <f>L47+M47+N47</f>
        <v>3</v>
      </c>
      <c r="L47" s="25">
        <f>VLOOKUP(3,AA44:AK47,3,FALSE)</f>
        <v>1</v>
      </c>
      <c r="M47" s="25">
        <f>VLOOKUP(3,AA44:AK47,4,FALSE)</f>
        <v>1</v>
      </c>
      <c r="N47" s="25">
        <f>VLOOKUP(3,AA44:AK47,5,FALSE)</f>
        <v>1</v>
      </c>
      <c r="O47" s="25" t="str">
        <f>VLOOKUP(3,AA44:AK47,6,FALSE) &amp; " - " &amp; VLOOKUP(3,AA44:AK47,7,FALSE)</f>
        <v>2 - 2</v>
      </c>
      <c r="P47" s="54">
        <f>L47*3+M47</f>
        <v>4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0</v>
      </c>
      <c r="AE47" s="47">
        <f>COUNTIF($S$7:$T$54,"=" &amp; AB47 &amp; "_lose")</f>
        <v>3</v>
      </c>
      <c r="AF47" s="47">
        <f>SUMIF($E$7:$E$54,$AB47,$F$7:$F$54) + SUMIF($H$7:$H$54,$AB47,$G$7:$G$54)</f>
        <v>0</v>
      </c>
      <c r="AG47" s="47">
        <f>SUMIF($E$7:$E$54,$AB47,$G$7:$G$54) + SUMIF($H$7:$H$54,$AB47,$F$7:$F$54)</f>
        <v>6</v>
      </c>
      <c r="AH47" s="47">
        <f>(AF47-AG47)*100+AK47*10000+AF47</f>
        <v>-600</v>
      </c>
      <c r="AI47" s="47">
        <f>AF47-AG47</f>
        <v>-6</v>
      </c>
      <c r="AJ47" s="47">
        <f>(AI47-AI49)/AI48</f>
        <v>0</v>
      </c>
      <c r="AK47" s="47">
        <f>AC47*3+AD47</f>
        <v>0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7.4023999999999997E-4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3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0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3</v>
      </c>
      <c r="O48" s="56" t="str">
        <f>VLOOKUP(4,AA44:AK47,6,FALSE) &amp; " - " &amp; VLOOKUP(4,AA44:AK47,7,FALSE)</f>
        <v>0 - 6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>Canada_win</v>
      </c>
      <c r="T48" s="88" t="str">
        <f t="shared" si="4"/>
        <v>Morocco_lose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1</v>
      </c>
      <c r="AC48" s="47">
        <f t="shared" ref="AC48:AL48" si="16">MAX(AC44:AC47)-MIN(AC44:AC47)+1</f>
        <v>3</v>
      </c>
      <c r="AD48" s="47">
        <f t="shared" si="16"/>
        <v>3</v>
      </c>
      <c r="AE48" s="47">
        <f t="shared" si="16"/>
        <v>4</v>
      </c>
      <c r="AF48" s="47">
        <f t="shared" si="16"/>
        <v>6</v>
      </c>
      <c r="AG48" s="47">
        <f t="shared" si="16"/>
        <v>6</v>
      </c>
      <c r="AH48" s="47">
        <f>MAX(AH44:AH47)-AH49+1</f>
        <v>70905</v>
      </c>
      <c r="AI48" s="47">
        <f>MAX(AI44:AI47)-AI49+1</f>
        <v>10</v>
      </c>
      <c r="AK48" s="47">
        <f t="shared" si="16"/>
        <v>8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3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0</v>
      </c>
      <c r="G49" s="22">
        <v>3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-600</v>
      </c>
      <c r="AI49" s="47">
        <f>MIN(AI44:AI47)</f>
        <v>-6</v>
      </c>
      <c r="AY49" s="135"/>
      <c r="AZ49" s="136"/>
      <c r="BA49" s="136"/>
      <c r="BB49" s="136"/>
      <c r="BC49" s="137"/>
    </row>
    <row r="50" spans="1:55" ht="15" customHeight="1" x14ac:dyDescent="0.3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2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7</v>
      </c>
      <c r="AG50" s="47">
        <f>SUMIF($E$7:$E$54,$AB50,$G$7:$G$54) + SUMIF($H$7:$H$54,$AB50,$F$7:$F$54)</f>
        <v>1</v>
      </c>
      <c r="AH50" s="47">
        <f>(AF50-AG50)*100+AK50*10000+AF50</f>
        <v>90607</v>
      </c>
      <c r="AI50" s="47">
        <f>AF50-AG50</f>
        <v>6</v>
      </c>
      <c r="AJ50" s="47">
        <f>(AI50-AI55)/AI54</f>
        <v>0.9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1225.00083739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3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1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7 - 1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Ghana_draw</v>
      </c>
      <c r="T51" s="88" t="str">
        <f t="shared" si="4"/>
        <v>Uruguay_draw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0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2</v>
      </c>
      <c r="AE51" s="47">
        <f>COUNTIF($S$7:$T$54,"=" &amp; AB51 &amp; "_lose")</f>
        <v>1</v>
      </c>
      <c r="AF51" s="47">
        <f>SUMIF($E$7:$E$54,$AB51,$F$7:$F$54) + SUMIF($H$7:$H$54,$AB51,$G$7:$G$54)</f>
        <v>1</v>
      </c>
      <c r="AG51" s="47">
        <f>SUMIF($E$7:$E$54,$AB51,$G$7:$G$54) + SUMIF($H$7:$H$54,$AB51,$F$7:$F$54)</f>
        <v>4</v>
      </c>
      <c r="AH51" s="47">
        <f>(AF51-AG51)*100+AK51*10000+AF51</f>
        <v>19701</v>
      </c>
      <c r="AI51" s="47">
        <f>AF51-AG51</f>
        <v>-3</v>
      </c>
      <c r="AJ51" s="47">
        <f>(AI51-AI55)/AI54</f>
        <v>0</v>
      </c>
      <c r="AK51" s="47">
        <f>AC51*3+AD51</f>
        <v>2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251.42926510857143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3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2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0</v>
      </c>
      <c r="M52" s="25">
        <f>VLOOKUP(2,AA50:AK53,4,FALSE)</f>
        <v>2</v>
      </c>
      <c r="N52" s="25">
        <f>VLOOKUP(2,AA50:AK53,5,FALSE)</f>
        <v>1</v>
      </c>
      <c r="O52" s="25" t="str">
        <f>VLOOKUP(2,AA50:AK53,6,FALSE) &amp; " - " &amp; VLOOKUP(2,AA50:AK53,7,FALSE)</f>
        <v>3 - 4</v>
      </c>
      <c r="P52" s="54">
        <f>L52*3+M52</f>
        <v>2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0</v>
      </c>
      <c r="AD52" s="47">
        <f>COUNTIF($S$7:$T$54,"=" &amp; AB52 &amp; "_draw")</f>
        <v>2</v>
      </c>
      <c r="AE52" s="47">
        <f>COUNTIF($S$7:$T$54,"=" &amp; AB52 &amp; "_lose")</f>
        <v>1</v>
      </c>
      <c r="AF52" s="47">
        <f>SUMIF($E$7:$E$54,$AB52,$F$7:$F$54) + SUMIF($H$7:$H$54,$AB52,$G$7:$G$54)</f>
        <v>3</v>
      </c>
      <c r="AG52" s="47">
        <f>SUMIF($E$7:$E$54,$AB52,$G$7:$G$54) + SUMIF($H$7:$H$54,$AB52,$F$7:$F$54)</f>
        <v>4</v>
      </c>
      <c r="AH52" s="47">
        <f>(AF52-AG52)*100+AK52*10000+AF52</f>
        <v>19903</v>
      </c>
      <c r="AI52" s="47">
        <f>AF52-AG52</f>
        <v>-1</v>
      </c>
      <c r="AJ52" s="47">
        <f>(AI52-AI55)/AI54</f>
        <v>0.2</v>
      </c>
      <c r="AK52" s="47">
        <f>AC52*3+AD52</f>
        <v>2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274.28653215071427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3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1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0</v>
      </c>
      <c r="M53" s="25">
        <f>VLOOKUP(3,AA50:AK53,4,FALSE)</f>
        <v>2</v>
      </c>
      <c r="N53" s="25">
        <f>VLOOKUP(3,AA50:AK53,5,FALSE)</f>
        <v>1</v>
      </c>
      <c r="O53" s="25" t="str">
        <f>VLOOKUP(3,AA50:AK53,6,FALSE) &amp; " - " &amp; VLOOKUP(3,AA50:AK53,7,FALSE)</f>
        <v>1 - 3</v>
      </c>
      <c r="P53" s="54">
        <f>L53*3+M53</f>
        <v>2</v>
      </c>
      <c r="R53" s="47">
        <f>DATE(2022,12,2)+TIME(8,0,0)+gmt_delta</f>
        <v>44897.916666666672</v>
      </c>
      <c r="S53" s="88" t="str">
        <f t="shared" si="3"/>
        <v>Serbia_draw</v>
      </c>
      <c r="T53" s="88" t="str">
        <f t="shared" si="4"/>
        <v>Switzerland_draw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0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0</v>
      </c>
      <c r="AD53" s="47">
        <f>COUNTIF($S$7:$T$54,"=" &amp; AB53 &amp; "_draw")</f>
        <v>2</v>
      </c>
      <c r="AE53" s="47">
        <f>COUNTIF($S$7:$T$54,"=" &amp; AB53 &amp; "_lose")</f>
        <v>1</v>
      </c>
      <c r="AF53" s="47">
        <f>SUMIF($E$7:$E$54,$AB53,$F$7:$F$54) + SUMIF($H$7:$H$54,$AB53,$G$7:$G$54)</f>
        <v>1</v>
      </c>
      <c r="AG53" s="47">
        <f>SUMIF($E$7:$E$54,$AB53,$G$7:$G$54) + SUMIF($H$7:$H$54,$AB53,$F$7:$F$54)</f>
        <v>3</v>
      </c>
      <c r="AH53" s="47">
        <f>(AF53-AG53)*100+AK53*10000+AF53</f>
        <v>19801</v>
      </c>
      <c r="AI53" s="47">
        <f>AF53-AG53</f>
        <v>-2</v>
      </c>
      <c r="AJ53" s="47">
        <f>(AI53-AI55)/AI54</f>
        <v>0.1</v>
      </c>
      <c r="AK53" s="47">
        <f>AC53*3+AD53</f>
        <v>2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261.42933119857145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3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2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2</v>
      </c>
      <c r="N54" s="56">
        <f>VLOOKUP(4,AA50:AK53,5,FALSE)</f>
        <v>1</v>
      </c>
      <c r="O54" s="56" t="str">
        <f>VLOOKUP(4,AA50:AK53,6,FALSE) &amp; " - " &amp; VLOOKUP(4,AA50:AK53,7,FALSE)</f>
        <v>1 - 4</v>
      </c>
      <c r="P54" s="57">
        <f>L54*3+M54</f>
        <v>2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3</v>
      </c>
      <c r="AE54" s="47">
        <f t="shared" si="17"/>
        <v>2</v>
      </c>
      <c r="AF54" s="47">
        <f t="shared" si="17"/>
        <v>7</v>
      </c>
      <c r="AG54" s="47">
        <f t="shared" si="17"/>
        <v>4</v>
      </c>
      <c r="AH54" s="47">
        <f>MAX(AH50:AH53)-AH55+1</f>
        <v>70907</v>
      </c>
      <c r="AI54" s="47">
        <f>MAX(AI50:AI53)-AI55+1</f>
        <v>10</v>
      </c>
      <c r="AK54" s="47">
        <f t="shared" si="17"/>
        <v>8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3">
      <c r="A55" s="9"/>
      <c r="B55" s="42"/>
      <c r="C55" s="9"/>
      <c r="D55" s="43"/>
      <c r="E55" s="44"/>
      <c r="F55" s="45"/>
      <c r="G55" s="45"/>
      <c r="H55" s="46"/>
      <c r="AH55" s="47">
        <f>MIN(AH50:AH53)</f>
        <v>19701</v>
      </c>
      <c r="AI55" s="47">
        <f>MIN(AI50:AI53)</f>
        <v>-3</v>
      </c>
    </row>
    <row r="56" spans="1:55" ht="12.75" customHeight="1" x14ac:dyDescent="0.3"/>
    <row r="57" spans="1:55" ht="12.75" customHeight="1" x14ac:dyDescent="0.3"/>
    <row r="58" spans="1:55" x14ac:dyDescent="0.3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3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3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3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3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Spain</v>
      </c>
      <c r="T62" s="88" t="str">
        <f>IF(OR(S62="",S62="draw"),INDEX(T,90,lang),S62)</f>
        <v>Spain</v>
      </c>
    </row>
    <row r="63" spans="1:55" ht="12.75" customHeight="1" x14ac:dyDescent="0.3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3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Germany</v>
      </c>
      <c r="T64" s="88" t="str">
        <f>IF(OR(S64="",S64="draw"),INDEX(T,92,lang),S64)</f>
        <v>Germany</v>
      </c>
    </row>
    <row r="65" spans="18:26" ht="12.75" customHeight="1" x14ac:dyDescent="0.3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3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Spain</v>
      </c>
      <c r="T70" s="88" t="str">
        <f>IF(OR(S70="",S70="draw"),INDEX(T,95,lang),S70)</f>
        <v>Spain</v>
      </c>
    </row>
    <row r="71" spans="18:26" ht="12.75" customHeight="1" x14ac:dyDescent="0.3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England</v>
      </c>
      <c r="T71" s="88" t="str">
        <f>IF(OR(S71="",S71="draw"),INDEX(T,96,lang),S71)</f>
        <v>England</v>
      </c>
    </row>
    <row r="72" spans="18:26" ht="12.75" customHeight="1" x14ac:dyDescent="0.3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88" t="str">
        <f>IF(OR(S72="",S72="draw"),INDEX(T,97,lang),S72)</f>
        <v>Portugal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Spain</v>
      </c>
      <c r="Z76" s="88" t="str">
        <f>IF(OR(U76="",U76="draw"),INDEX(T,100,lang),U76)</f>
        <v>Spain</v>
      </c>
    </row>
    <row r="77" spans="18:26" ht="12.75" customHeight="1" x14ac:dyDescent="0.3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England</v>
      </c>
      <c r="T77" s="88" t="str">
        <f>IF(OR(S77="",S77="draw"),INDEX(T,99,lang),S77)</f>
        <v>England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Portugal</v>
      </c>
      <c r="Z77" s="88" t="str">
        <f>IF(OR(U77="",U77="draw"),INDEX(T,101,lang),U77)</f>
        <v>Portugal</v>
      </c>
    </row>
    <row r="79" spans="18:26" ht="12.75" customHeight="1" x14ac:dyDescent="0.3"/>
    <row r="80" spans="18:26" ht="12.75" customHeight="1" x14ac:dyDescent="0.3"/>
    <row r="81" spans="18:20" x14ac:dyDescent="0.3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Portugal</v>
      </c>
    </row>
    <row r="83" spans="18:20" ht="12.75" customHeight="1" x14ac:dyDescent="0.3"/>
    <row r="84" spans="18:20" ht="12.75" customHeight="1" x14ac:dyDescent="0.3"/>
    <row r="85" spans="18:20" x14ac:dyDescent="0.3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England</v>
      </c>
      <c r="T85" s="88" t="str">
        <f>S85</f>
        <v>England</v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workbookViewId="0">
      <selection activeCell="B11" sqref="B11"/>
    </sheetView>
  </sheetViews>
  <sheetFormatPr defaultRowHeight="14.4" x14ac:dyDescent="0.3"/>
  <cols>
    <col min="1" max="1" width="80.33203125" customWidth="1"/>
    <col min="2" max="2" width="63.88671875" customWidth="1"/>
  </cols>
  <sheetData>
    <row r="1" spans="1:2" x14ac:dyDescent="0.3">
      <c r="A1" s="101" t="s">
        <v>2526</v>
      </c>
      <c r="B1" s="102" t="s">
        <v>2527</v>
      </c>
    </row>
    <row r="2" spans="1:2" x14ac:dyDescent="0.3">
      <c r="A2" s="103" t="s">
        <v>2518</v>
      </c>
      <c r="B2" s="100" t="s">
        <v>2530</v>
      </c>
    </row>
    <row r="3" spans="1:2" x14ac:dyDescent="0.3">
      <c r="A3" s="100" t="s">
        <v>2519</v>
      </c>
      <c r="B3" s="103" t="s">
        <v>2531</v>
      </c>
    </row>
    <row r="4" spans="1:2" x14ac:dyDescent="0.3">
      <c r="A4" s="103" t="s">
        <v>2520</v>
      </c>
      <c r="B4" s="100" t="s">
        <v>2532</v>
      </c>
    </row>
    <row r="5" spans="1:2" x14ac:dyDescent="0.3">
      <c r="A5" s="100" t="s">
        <v>2529</v>
      </c>
      <c r="B5" s="103">
        <v>4.0999999999999996</v>
      </c>
    </row>
    <row r="6" spans="1:2" x14ac:dyDescent="0.3">
      <c r="A6" s="103" t="s">
        <v>2521</v>
      </c>
      <c r="B6" s="100" t="s">
        <v>2533</v>
      </c>
    </row>
    <row r="7" spans="1:2" x14ac:dyDescent="0.3">
      <c r="A7" s="100" t="s">
        <v>2522</v>
      </c>
      <c r="B7" s="103" t="s">
        <v>2534</v>
      </c>
    </row>
    <row r="8" spans="1:2" x14ac:dyDescent="0.3">
      <c r="A8" s="103" t="s">
        <v>2523</v>
      </c>
      <c r="B8" s="100" t="s">
        <v>2535</v>
      </c>
    </row>
    <row r="9" spans="1:2" x14ac:dyDescent="0.3">
      <c r="A9" s="100" t="s">
        <v>2524</v>
      </c>
      <c r="B9" s="103" t="s">
        <v>2536</v>
      </c>
    </row>
    <row r="10" spans="1:2" x14ac:dyDescent="0.3">
      <c r="A10" s="103" t="s">
        <v>2525</v>
      </c>
      <c r="B10" s="100" t="s">
        <v>2537</v>
      </c>
    </row>
    <row r="11" spans="1:2" x14ac:dyDescent="0.3">
      <c r="A11" s="100" t="s">
        <v>2528</v>
      </c>
      <c r="B11" s="103" t="s">
        <v>2538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4</vt:i4>
      </vt:variant>
      <vt:variant>
        <vt:lpstr>Nimega vahemikud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Arvi Vaaderpass</cp:lastModifiedBy>
  <cp:lastPrinted>2018-01-03T15:36:04Z</cp:lastPrinted>
  <dcterms:created xsi:type="dcterms:W3CDTF">2017-12-27T19:32:51Z</dcterms:created>
  <dcterms:modified xsi:type="dcterms:W3CDTF">2022-11-20T12:45:01Z</dcterms:modified>
</cp:coreProperties>
</file>