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kasutaja\Desktop\"/>
    </mc:Choice>
  </mc:AlternateContent>
  <xr:revisionPtr revIDLastSave="0" documentId="8_{1FCADFDB-1C4A-4D45-8D21-4E0E20F7C7F0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" l="1"/>
  <c r="R37" i="3"/>
  <c r="R36" i="3"/>
  <c r="R33" i="3"/>
  <c r="R32" i="3"/>
  <c r="R29" i="3"/>
  <c r="R28" i="3"/>
  <c r="R21" i="3"/>
  <c r="R20" i="3"/>
  <c r="R17" i="3"/>
  <c r="R16" i="3"/>
  <c r="R13" i="3"/>
  <c r="R12" i="3"/>
  <c r="Y54" i="3"/>
  <c r="G15" i="2"/>
  <c r="AB53" i="3"/>
  <c r="Y53" i="3"/>
  <c r="AB52" i="3"/>
  <c r="H38" i="3"/>
  <c r="Y52" i="3"/>
  <c r="AB51" i="3"/>
  <c r="H21" i="3"/>
  <c r="Y51" i="3"/>
  <c r="AB50" i="3"/>
  <c r="E38" i="3"/>
  <c r="Y50" i="3"/>
  <c r="Y49" i="3"/>
  <c r="Y48" i="3"/>
  <c r="AB47" i="3"/>
  <c r="E54" i="3"/>
  <c r="Y47" i="3"/>
  <c r="AB46" i="3"/>
  <c r="H53" i="3"/>
  <c r="Y46" i="3"/>
  <c r="AB45" i="3"/>
  <c r="Y45" i="3"/>
  <c r="AB44" i="3"/>
  <c r="H54" i="3"/>
  <c r="Y44" i="3"/>
  <c r="Y43" i="3"/>
  <c r="Y42" i="3"/>
  <c r="AB41" i="3"/>
  <c r="E33" i="3"/>
  <c r="Y41" i="3"/>
  <c r="AB40" i="3"/>
  <c r="H48" i="3"/>
  <c r="Y40" i="3"/>
  <c r="AB39" i="3"/>
  <c r="H18" i="3"/>
  <c r="Y39" i="3"/>
  <c r="AB38" i="3"/>
  <c r="E18" i="3"/>
  <c r="Y38" i="3"/>
  <c r="Y37" i="3"/>
  <c r="Y36" i="3"/>
  <c r="AB35" i="3"/>
  <c r="E49" i="3"/>
  <c r="Y35" i="3"/>
  <c r="AB34" i="3"/>
  <c r="E16" i="3"/>
  <c r="Y34" i="3"/>
  <c r="AB33" i="3"/>
  <c r="E50" i="3"/>
  <c r="Y33" i="3"/>
  <c r="AB32" i="3"/>
  <c r="E34" i="3"/>
  <c r="Y32" i="3"/>
  <c r="Y31" i="3"/>
  <c r="Y30" i="3"/>
  <c r="AB29" i="3"/>
  <c r="H12" i="3"/>
  <c r="Y29" i="3"/>
  <c r="AB28" i="3"/>
  <c r="H29" i="3"/>
  <c r="Y28" i="3"/>
  <c r="AB27" i="3"/>
  <c r="H14" i="3"/>
  <c r="Y27" i="3"/>
  <c r="AB26" i="3"/>
  <c r="E14" i="3"/>
  <c r="Y26" i="3"/>
  <c r="Y25" i="3"/>
  <c r="Y24" i="3"/>
  <c r="AB23" i="3"/>
  <c r="Y23" i="3"/>
  <c r="AB22" i="3"/>
  <c r="H46" i="3"/>
  <c r="Y22" i="3"/>
  <c r="AB21" i="3"/>
  <c r="E46" i="3"/>
  <c r="Y21" i="3"/>
  <c r="AB20" i="3"/>
  <c r="E30" i="3"/>
  <c r="Y20" i="3"/>
  <c r="Y19" i="3"/>
  <c r="Y18" i="3"/>
  <c r="AB17" i="3"/>
  <c r="H10" i="3"/>
  <c r="Y17" i="3"/>
  <c r="AB16" i="3"/>
  <c r="Y16" i="3"/>
  <c r="AB15" i="3"/>
  <c r="E42" i="3"/>
  <c r="Y15" i="3"/>
  <c r="AB14" i="3"/>
  <c r="E26" i="3"/>
  <c r="Y14" i="3"/>
  <c r="Y13" i="3"/>
  <c r="Y12" i="3"/>
  <c r="AB11" i="3"/>
  <c r="E25" i="3"/>
  <c r="Y11" i="3"/>
  <c r="AB10" i="3"/>
  <c r="H25" i="3"/>
  <c r="Y10" i="3"/>
  <c r="AB9" i="3"/>
  <c r="H40" i="3"/>
  <c r="Y9" i="3"/>
  <c r="AB8" i="3"/>
  <c r="E8" i="3"/>
  <c r="Y8" i="3"/>
  <c r="Y7" i="3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7" i="2"/>
  <c r="B18" i="2"/>
  <c r="AM11" i="3"/>
  <c r="AM33" i="3"/>
  <c r="AM16" i="3"/>
  <c r="AM20" i="3"/>
  <c r="AM28" i="3"/>
  <c r="AM40" i="3"/>
  <c r="AM45" i="3"/>
  <c r="AM52" i="3"/>
  <c r="E11" i="3"/>
  <c r="E15" i="3"/>
  <c r="E19" i="3"/>
  <c r="E23" i="3"/>
  <c r="E27" i="3"/>
  <c r="E31" i="3"/>
  <c r="E35" i="3"/>
  <c r="E39" i="3"/>
  <c r="E43" i="3"/>
  <c r="E47" i="3"/>
  <c r="E51" i="3"/>
  <c r="AM8" i="3"/>
  <c r="AM23" i="3"/>
  <c r="AM35" i="3"/>
  <c r="H11" i="3"/>
  <c r="H15" i="3"/>
  <c r="H19" i="3"/>
  <c r="H23" i="3"/>
  <c r="H27" i="3"/>
  <c r="H31" i="3"/>
  <c r="H35" i="3"/>
  <c r="H39" i="3"/>
  <c r="H43" i="3"/>
  <c r="H47" i="3"/>
  <c r="H51" i="3"/>
  <c r="E7" i="3"/>
  <c r="AM9" i="3"/>
  <c r="AM53" i="3"/>
  <c r="E12" i="3"/>
  <c r="E20" i="3"/>
  <c r="E24" i="3"/>
  <c r="E28" i="3"/>
  <c r="E32" i="3"/>
  <c r="E36" i="3"/>
  <c r="E40" i="3"/>
  <c r="E44" i="3"/>
  <c r="E48" i="3"/>
  <c r="E52" i="3"/>
  <c r="H8" i="3"/>
  <c r="AM17" i="3"/>
  <c r="AM29" i="3"/>
  <c r="AM46" i="3"/>
  <c r="H16" i="3"/>
  <c r="H20" i="3"/>
  <c r="H24" i="3"/>
  <c r="H28" i="3"/>
  <c r="H32" i="3"/>
  <c r="H36" i="3"/>
  <c r="H44" i="3"/>
  <c r="H52" i="3"/>
  <c r="H7" i="3"/>
  <c r="AM34" i="3"/>
  <c r="E9" i="3"/>
  <c r="E13" i="3"/>
  <c r="E17" i="3"/>
  <c r="E21" i="3"/>
  <c r="E29" i="3"/>
  <c r="E37" i="3"/>
  <c r="E41" i="3"/>
  <c r="E45" i="3"/>
  <c r="E53" i="3"/>
  <c r="AM22" i="3"/>
  <c r="AM51" i="3"/>
  <c r="H9" i="3"/>
  <c r="H13" i="3"/>
  <c r="H17" i="3"/>
  <c r="H33" i="3"/>
  <c r="H37" i="3"/>
  <c r="H41" i="3"/>
  <c r="H45" i="3"/>
  <c r="H49" i="3"/>
  <c r="AM15" i="3"/>
  <c r="AM47" i="3"/>
  <c r="E10" i="3"/>
  <c r="E22" i="3"/>
  <c r="H22" i="3"/>
  <c r="H26" i="3"/>
  <c r="H30" i="3"/>
  <c r="H34" i="3"/>
  <c r="H42" i="3"/>
  <c r="H50" i="3"/>
  <c r="AM32" i="3"/>
  <c r="AM14" i="3"/>
  <c r="AM10" i="3"/>
  <c r="AM21" i="3"/>
  <c r="AM41" i="3"/>
  <c r="AM39" i="3"/>
  <c r="AM26" i="3"/>
  <c r="AM27" i="3"/>
  <c r="AM38" i="3"/>
  <c r="AM50" i="3"/>
  <c r="AM44" i="3"/>
  <c r="O3" i="3"/>
  <c r="G48" i="2"/>
  <c r="P44" i="3"/>
  <c r="BT6" i="3"/>
  <c r="J26" i="3"/>
  <c r="L32" i="3"/>
  <c r="BL41" i="3"/>
  <c r="L14" i="3"/>
  <c r="K26" i="3"/>
  <c r="M32" i="3"/>
  <c r="J44" i="3"/>
  <c r="K8" i="3"/>
  <c r="O20" i="3"/>
  <c r="L26" i="3"/>
  <c r="N32" i="3"/>
  <c r="K38" i="3"/>
  <c r="K44" i="3"/>
  <c r="L50" i="3"/>
  <c r="N20" i="3"/>
  <c r="K50" i="3"/>
  <c r="A5" i="3"/>
  <c r="L8" i="3"/>
  <c r="N14" i="3"/>
  <c r="P20" i="3"/>
  <c r="M26" i="3"/>
  <c r="O32" i="3"/>
  <c r="L38" i="3"/>
  <c r="L44" i="3"/>
  <c r="M50" i="3"/>
  <c r="AY6" i="3"/>
  <c r="M8" i="3"/>
  <c r="O14" i="3"/>
  <c r="N26" i="3"/>
  <c r="P32" i="3"/>
  <c r="M38" i="3"/>
  <c r="M44" i="3"/>
  <c r="N50" i="3"/>
  <c r="BF6" i="3"/>
  <c r="N8" i="3"/>
  <c r="P14" i="3"/>
  <c r="J20" i="3"/>
  <c r="O26" i="3"/>
  <c r="BT31" i="3"/>
  <c r="N38" i="3"/>
  <c r="N44" i="3"/>
  <c r="O50" i="3"/>
  <c r="A1" i="3"/>
  <c r="BM6" i="3"/>
  <c r="O8" i="3"/>
  <c r="K20" i="3"/>
  <c r="P26" i="3"/>
  <c r="J32" i="3"/>
  <c r="O38" i="3"/>
  <c r="O44" i="3"/>
  <c r="P50" i="3"/>
  <c r="R25" i="3"/>
  <c r="R24" i="3"/>
  <c r="R7" i="3"/>
  <c r="R60" i="3"/>
  <c r="AY25" i="3"/>
  <c r="R42" i="3"/>
  <c r="R34" i="3"/>
  <c r="R23" i="3"/>
  <c r="R10" i="3"/>
  <c r="R22" i="3"/>
  <c r="R71" i="3"/>
  <c r="R53" i="3"/>
  <c r="R18" i="3"/>
  <c r="R65" i="3"/>
  <c r="AY37" i="3"/>
  <c r="R59" i="3"/>
  <c r="AY13" i="3"/>
  <c r="R45" i="3"/>
  <c r="R31" i="3"/>
  <c r="R26" i="3"/>
  <c r="R14" i="3"/>
  <c r="R85" i="3"/>
  <c r="BT22" i="3"/>
  <c r="R64" i="3"/>
  <c r="AY33" i="3"/>
  <c r="R58" i="3"/>
  <c r="AY9" i="3"/>
  <c r="R50" i="3"/>
  <c r="R47" i="3"/>
  <c r="R39" i="3"/>
  <c r="R15" i="3"/>
  <c r="R38" i="3"/>
  <c r="R40" i="3"/>
  <c r="R76" i="3"/>
  <c r="BM15" i="3"/>
  <c r="R63" i="3"/>
  <c r="AY21" i="3"/>
  <c r="R52" i="3"/>
  <c r="R41" i="3"/>
  <c r="R30" i="3"/>
  <c r="R9" i="3"/>
  <c r="R35" i="3"/>
  <c r="R11" i="3"/>
  <c r="R8" i="3"/>
  <c r="R81" i="3"/>
  <c r="BT34" i="3"/>
  <c r="R72" i="3"/>
  <c r="BF35" i="3"/>
  <c r="R62" i="3"/>
  <c r="AY17" i="3"/>
  <c r="R54" i="3"/>
  <c r="R49" i="3"/>
  <c r="R44" i="3"/>
  <c r="R19" i="3"/>
  <c r="R70" i="3"/>
  <c r="BF19" i="3"/>
  <c r="R61" i="3"/>
  <c r="AY29" i="3"/>
  <c r="R48" i="3"/>
  <c r="R46" i="3"/>
  <c r="R43" i="3"/>
  <c r="R27" i="3"/>
  <c r="R77" i="3"/>
  <c r="BM31" i="3"/>
  <c r="R69" i="3"/>
  <c r="BF11" i="3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AF39" i="3"/>
  <c r="J8" i="3"/>
  <c r="J50" i="3"/>
  <c r="J14" i="3"/>
  <c r="P8" i="3"/>
  <c r="I15" i="2"/>
  <c r="X7" i="3"/>
  <c r="BF27" i="3"/>
  <c r="L20" i="3"/>
  <c r="AF28" i="3"/>
  <c r="M14" i="3"/>
  <c r="J38" i="3"/>
  <c r="M20" i="3"/>
  <c r="K14" i="3"/>
  <c r="P38" i="3"/>
  <c r="X25" i="3"/>
  <c r="X20" i="3"/>
  <c r="X31" i="3"/>
  <c r="X40" i="3"/>
  <c r="X33" i="3"/>
  <c r="X35" i="3"/>
  <c r="X51" i="3"/>
  <c r="X23" i="3"/>
  <c r="X48" i="3"/>
  <c r="X52" i="3"/>
  <c r="X34" i="3"/>
  <c r="X19" i="3"/>
  <c r="X10" i="3"/>
  <c r="X42" i="3"/>
  <c r="X21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I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G12" i="3"/>
  <c r="AI51" i="3"/>
  <c r="T14" i="3"/>
  <c r="AI40" i="3"/>
  <c r="T38" i="3"/>
  <c r="AI34" i="3"/>
  <c r="T46" i="3"/>
  <c r="T45" i="3"/>
  <c r="AI23" i="3"/>
  <c r="AG54" i="3"/>
  <c r="AI45" i="3"/>
  <c r="T32" i="3"/>
  <c r="AF42" i="3"/>
  <c r="AI38" i="3"/>
  <c r="T18" i="3"/>
  <c r="T11" i="3"/>
  <c r="AG48" i="3"/>
  <c r="AI26" i="3"/>
  <c r="AF30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41" i="3"/>
  <c r="T49" i="3"/>
  <c r="T50" i="3"/>
  <c r="T53" i="3"/>
  <c r="T54" i="3"/>
  <c r="AC11" i="3"/>
  <c r="AD11" i="3"/>
  <c r="AK11" i="3"/>
  <c r="AH11" i="3"/>
  <c r="AC9" i="3"/>
  <c r="AD9" i="3"/>
  <c r="AK9" i="3"/>
  <c r="AH9" i="3"/>
  <c r="U40" i="3"/>
  <c r="T30" i="3"/>
  <c r="T39" i="3"/>
  <c r="AG18" i="3"/>
  <c r="T16" i="3"/>
  <c r="T28" i="3"/>
  <c r="T37" i="3"/>
  <c r="AC8" i="3"/>
  <c r="AD8" i="3"/>
  <c r="AK8" i="3"/>
  <c r="AH8" i="3"/>
  <c r="U24" i="3"/>
  <c r="AI11" i="3"/>
  <c r="AI47" i="3"/>
  <c r="AI21" i="3"/>
  <c r="T15" i="3"/>
  <c r="AI27" i="3"/>
  <c r="AI20" i="3"/>
  <c r="AF24" i="3"/>
  <c r="AF36" i="3"/>
  <c r="AI32" i="3"/>
  <c r="AI17" i="3"/>
  <c r="AG36" i="3"/>
  <c r="T9" i="3"/>
  <c r="AI39" i="3"/>
  <c r="AI15" i="3"/>
  <c r="AF54" i="3"/>
  <c r="AI50" i="3"/>
  <c r="AG42" i="3"/>
  <c r="AG30" i="3"/>
  <c r="AG24" i="3"/>
  <c r="AI33" i="3"/>
  <c r="T17" i="3"/>
  <c r="AC23" i="3"/>
  <c r="AC50" i="3"/>
  <c r="AD33" i="3"/>
  <c r="AD46" i="3"/>
  <c r="AE34" i="3"/>
  <c r="AE44" i="3"/>
  <c r="AE8" i="3"/>
  <c r="W24" i="3"/>
  <c r="V24" i="3"/>
  <c r="AC38" i="3"/>
  <c r="AI43" i="3"/>
  <c r="AI42" i="3"/>
  <c r="AD47" i="3"/>
  <c r="AC52" i="3"/>
  <c r="AC53" i="3"/>
  <c r="AE32" i="3"/>
  <c r="AC10" i="3"/>
  <c r="AI49" i="3"/>
  <c r="AI48" i="3"/>
  <c r="AE9" i="3"/>
  <c r="AD14" i="3"/>
  <c r="AE46" i="3"/>
  <c r="AE21" i="3"/>
  <c r="AE16" i="3"/>
  <c r="AD41" i="3"/>
  <c r="AI37" i="3"/>
  <c r="AI36" i="3"/>
  <c r="AE51" i="3"/>
  <c r="AD27" i="3"/>
  <c r="AD34" i="3"/>
  <c r="AC28" i="3"/>
  <c r="W40" i="3"/>
  <c r="V40" i="3"/>
  <c r="AE38" i="3"/>
  <c r="AE52" i="3"/>
  <c r="AE39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/>
  <c r="AE26" i="3"/>
  <c r="AD44" i="3"/>
  <c r="AC27" i="3"/>
  <c r="AE33" i="3"/>
  <c r="AE11" i="3"/>
  <c r="AC40" i="3"/>
  <c r="AD20" i="3"/>
  <c r="AD35" i="3"/>
  <c r="AD16" i="3"/>
  <c r="AC51" i="3"/>
  <c r="AC16" i="3"/>
  <c r="AD32" i="3"/>
  <c r="AE10" i="3"/>
  <c r="AC47" i="3"/>
  <c r="AE17" i="3"/>
  <c r="AE20" i="3"/>
  <c r="AD52" i="3"/>
  <c r="AD21" i="3"/>
  <c r="AC32" i="3"/>
  <c r="U8" i="3"/>
  <c r="AI31" i="3"/>
  <c r="AC21" i="3"/>
  <c r="AD29" i="3"/>
  <c r="AC41" i="3"/>
  <c r="AI55" i="3"/>
  <c r="AI54" i="3"/>
  <c r="AD51" i="3"/>
  <c r="AE45" i="3"/>
  <c r="AD26" i="3"/>
  <c r="AE14" i="3"/>
  <c r="AC20" i="3"/>
  <c r="AC26" i="3"/>
  <c r="AE22" i="3"/>
  <c r="AC34" i="3"/>
  <c r="AK34" i="3"/>
  <c r="AD39" i="3"/>
  <c r="AC46" i="3"/>
  <c r="AE15" i="3"/>
  <c r="AC44" i="3"/>
  <c r="AD23" i="3"/>
  <c r="AK23" i="3"/>
  <c r="AH23" i="3"/>
  <c r="AC45" i="3"/>
  <c r="AC14" i="3"/>
  <c r="AD15" i="3"/>
  <c r="AC39" i="3"/>
  <c r="AD10" i="3"/>
  <c r="AK10" i="3"/>
  <c r="AH10" i="3"/>
  <c r="U39" i="3"/>
  <c r="AE28" i="3"/>
  <c r="AI13" i="3"/>
  <c r="AI12" i="3"/>
  <c r="AC17" i="3"/>
  <c r="AD28" i="3"/>
  <c r="AC15" i="3"/>
  <c r="AE47" i="3"/>
  <c r="AI25" i="3"/>
  <c r="AI24" i="3"/>
  <c r="AC22" i="3"/>
  <c r="AK22" i="3"/>
  <c r="AH22" i="3"/>
  <c r="AE53" i="3"/>
  <c r="AE27" i="3"/>
  <c r="U7" i="3"/>
  <c r="AE23" i="3"/>
  <c r="AE35" i="3"/>
  <c r="AE41" i="3"/>
  <c r="AD40" i="3"/>
  <c r="AE29" i="3"/>
  <c r="AK39" i="3"/>
  <c r="AH39" i="3"/>
  <c r="AD12" i="3"/>
  <c r="AK46" i="3"/>
  <c r="AH46" i="3"/>
  <c r="AK27" i="3"/>
  <c r="AH27" i="3"/>
  <c r="AJ40" i="3"/>
  <c r="AJ39" i="3"/>
  <c r="AJ16" i="3"/>
  <c r="AJ50" i="3"/>
  <c r="AD36" i="3"/>
  <c r="AK35" i="3"/>
  <c r="AK33" i="3"/>
  <c r="AH33" i="3"/>
  <c r="AJ53" i="3"/>
  <c r="AK41" i="3"/>
  <c r="AH41" i="3"/>
  <c r="AK17" i="3"/>
  <c r="AH17" i="3"/>
  <c r="AJ41" i="3"/>
  <c r="AE42" i="3"/>
  <c r="AJ8" i="3"/>
  <c r="AK16" i="3"/>
  <c r="AH16" i="3"/>
  <c r="AJ45" i="3"/>
  <c r="AD30" i="3"/>
  <c r="AJ47" i="3"/>
  <c r="AE48" i="3"/>
  <c r="AE12" i="3"/>
  <c r="AJ10" i="3"/>
  <c r="AJ46" i="3"/>
  <c r="AJ14" i="3"/>
  <c r="AJ44" i="3"/>
  <c r="AH34" i="3"/>
  <c r="AI30" i="3"/>
  <c r="AJ29" i="3"/>
  <c r="AC18" i="3"/>
  <c r="AK14" i="3"/>
  <c r="AH14" i="3"/>
  <c r="AJ15" i="3"/>
  <c r="AJ22" i="3"/>
  <c r="AJ23" i="3"/>
  <c r="AK45" i="3"/>
  <c r="AK26" i="3"/>
  <c r="AH26" i="3"/>
  <c r="AC30" i="3"/>
  <c r="W8" i="3"/>
  <c r="V8" i="3"/>
  <c r="AK51" i="3"/>
  <c r="AK50" i="3"/>
  <c r="AE54" i="3"/>
  <c r="AC24" i="3"/>
  <c r="AK20" i="3"/>
  <c r="AH20" i="3"/>
  <c r="AC36" i="3"/>
  <c r="AK32" i="3"/>
  <c r="AE24" i="3"/>
  <c r="AK29" i="3"/>
  <c r="AH29" i="3"/>
  <c r="AK28" i="3"/>
  <c r="AH28" i="3"/>
  <c r="AJ17" i="3"/>
  <c r="AJ38" i="3"/>
  <c r="AH35" i="3"/>
  <c r="W39" i="3"/>
  <c r="V39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/>
  <c r="AJ11" i="3"/>
  <c r="AH13" i="3"/>
  <c r="AH12" i="3"/>
  <c r="AC12" i="3"/>
  <c r="AJ33" i="3"/>
  <c r="AD24" i="3"/>
  <c r="AD48" i="3"/>
  <c r="AJ51" i="3"/>
  <c r="AJ9" i="3"/>
  <c r="AK53" i="3"/>
  <c r="W7" i="3"/>
  <c r="V7" i="3"/>
  <c r="AJ20" i="3"/>
  <c r="AJ21" i="3"/>
  <c r="AK21" i="3"/>
  <c r="AH21" i="3"/>
  <c r="AJ52" i="3"/>
  <c r="AK40" i="3"/>
  <c r="AE30" i="3"/>
  <c r="AD42" i="3"/>
  <c r="AJ32" i="3"/>
  <c r="AD18" i="3"/>
  <c r="AK52" i="3"/>
  <c r="AJ26" i="3"/>
  <c r="AJ28" i="3"/>
  <c r="AJ27" i="3"/>
  <c r="AH52" i="3"/>
  <c r="AH53" i="3"/>
  <c r="U20" i="3"/>
  <c r="U46" i="3"/>
  <c r="U43" i="3"/>
  <c r="AH47" i="3"/>
  <c r="AH32" i="3"/>
  <c r="U34" i="3"/>
  <c r="U41" i="3"/>
  <c r="U26" i="3"/>
  <c r="U10" i="3"/>
  <c r="AH40" i="3"/>
  <c r="AK30" i="3"/>
  <c r="AK12" i="3"/>
  <c r="U42" i="3"/>
  <c r="U50" i="3"/>
  <c r="AK24" i="3"/>
  <c r="U16" i="3"/>
  <c r="U44" i="3"/>
  <c r="AK54" i="3"/>
  <c r="AH50" i="3"/>
  <c r="AH45" i="3"/>
  <c r="AK42" i="3"/>
  <c r="AH38" i="3"/>
  <c r="U49" i="3"/>
  <c r="AK48" i="3"/>
  <c r="AH44" i="3"/>
  <c r="AK36" i="3"/>
  <c r="AH51" i="3"/>
  <c r="AK18" i="3"/>
  <c r="U54" i="3"/>
  <c r="W54" i="3"/>
  <c r="U52" i="3"/>
  <c r="V52" i="3"/>
  <c r="U12" i="3"/>
  <c r="U18" i="3"/>
  <c r="W18" i="3"/>
  <c r="U32" i="3"/>
  <c r="V32" i="3"/>
  <c r="U48" i="3"/>
  <c r="U23" i="3"/>
  <c r="W49" i="3"/>
  <c r="V49" i="3"/>
  <c r="AH37" i="3"/>
  <c r="AH36" i="3"/>
  <c r="U31" i="3"/>
  <c r="U15" i="3"/>
  <c r="U38" i="3"/>
  <c r="U53" i="3"/>
  <c r="U45" i="3"/>
  <c r="U30" i="3"/>
  <c r="V41" i="3"/>
  <c r="W41" i="3"/>
  <c r="U22" i="3"/>
  <c r="AH31" i="3"/>
  <c r="AH30" i="3"/>
  <c r="U13" i="3"/>
  <c r="U29" i="3"/>
  <c r="U14" i="3"/>
  <c r="V34" i="3"/>
  <c r="W34" i="3"/>
  <c r="AH49" i="3"/>
  <c r="AH48" i="3"/>
  <c r="U19" i="3"/>
  <c r="U35" i="3"/>
  <c r="W43" i="3"/>
  <c r="V43" i="3"/>
  <c r="V16" i="3"/>
  <c r="W16" i="3"/>
  <c r="U28" i="3"/>
  <c r="W44" i="3"/>
  <c r="V44" i="3"/>
  <c r="AH19" i="3"/>
  <c r="AH18" i="3"/>
  <c r="U25" i="3"/>
  <c r="U9" i="3"/>
  <c r="U47" i="3"/>
  <c r="W50" i="3"/>
  <c r="V50" i="3"/>
  <c r="AH55" i="3"/>
  <c r="AH54" i="3"/>
  <c r="U21" i="3"/>
  <c r="U37" i="3"/>
  <c r="AH25" i="3"/>
  <c r="AH24" i="3"/>
  <c r="U27" i="3"/>
  <c r="U11" i="3"/>
  <c r="W42" i="3"/>
  <c r="V42" i="3"/>
  <c r="U51" i="3"/>
  <c r="U36" i="3"/>
  <c r="AH43" i="3"/>
  <c r="AH42" i="3"/>
  <c r="U33" i="3"/>
  <c r="U17" i="3"/>
  <c r="V10" i="3"/>
  <c r="W10" i="3"/>
  <c r="W46" i="3"/>
  <c r="V46" i="3"/>
  <c r="W26" i="3"/>
  <c r="V26" i="3"/>
  <c r="W20" i="3"/>
  <c r="V20" i="3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Q18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/>
  <c r="AL14" i="3"/>
  <c r="AT36" i="3"/>
  <c r="AL33" i="3"/>
  <c r="AT42" i="3"/>
  <c r="AL39" i="3"/>
  <c r="AT48" i="3"/>
  <c r="AL45" i="3"/>
  <c r="AT24" i="3"/>
  <c r="AT54" i="3"/>
  <c r="AL52" i="3"/>
  <c r="AT30" i="3"/>
  <c r="AL27" i="3"/>
  <c r="AT12" i="3"/>
  <c r="AL11" i="3"/>
  <c r="AL16" i="3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/>
  <c r="AN15" i="3"/>
  <c r="AL36" i="3"/>
  <c r="AN35" i="3"/>
  <c r="AL42" i="3"/>
  <c r="AN40" i="3"/>
  <c r="AL48" i="3"/>
  <c r="AN45" i="3"/>
  <c r="AL12" i="3"/>
  <c r="AN11" i="3"/>
  <c r="AL24" i="3"/>
  <c r="AN23" i="3"/>
  <c r="AL54" i="3"/>
  <c r="AN52" i="3"/>
  <c r="AL30" i="3"/>
  <c r="AN27" i="3"/>
  <c r="AN34" i="3"/>
  <c r="AN32" i="3"/>
  <c r="AN16" i="3"/>
  <c r="AN17" i="3"/>
  <c r="AN14" i="3"/>
  <c r="AA17" i="3"/>
  <c r="AN41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40" i="3"/>
  <c r="AA8" i="3"/>
  <c r="AA32" i="3"/>
  <c r="AA33" i="3"/>
  <c r="AA34" i="3"/>
  <c r="N33" i="3"/>
  <c r="AA16" i="3"/>
  <c r="AA9" i="3"/>
  <c r="AA41" i="3"/>
  <c r="AA15" i="3"/>
  <c r="AA14" i="3"/>
  <c r="O15" i="3"/>
  <c r="AA35" i="3"/>
  <c r="AA46" i="3"/>
  <c r="AA53" i="3"/>
  <c r="AA28" i="3"/>
  <c r="AA39" i="3"/>
  <c r="AA21" i="3"/>
  <c r="AA38" i="3"/>
  <c r="J39" i="3"/>
  <c r="AA45" i="3"/>
  <c r="AA20" i="3"/>
  <c r="L21" i="3"/>
  <c r="AA47" i="3"/>
  <c r="AA44" i="3"/>
  <c r="AA11" i="3"/>
  <c r="AA29" i="3"/>
  <c r="AA23" i="3"/>
  <c r="AA22" i="3"/>
  <c r="AA50" i="3"/>
  <c r="AA10" i="3"/>
  <c r="J33" i="3"/>
  <c r="AO32" i="3"/>
  <c r="AZ18" i="3"/>
  <c r="S62" i="3"/>
  <c r="T62" i="3"/>
  <c r="AA27" i="3"/>
  <c r="AA52" i="3"/>
  <c r="J34" i="3"/>
  <c r="AO33" i="3"/>
  <c r="AZ35" i="3"/>
  <c r="AA26" i="3"/>
  <c r="AA51" i="3"/>
  <c r="L15" i="3"/>
  <c r="M15" i="3"/>
  <c r="P15" i="3"/>
  <c r="J17" i="3"/>
  <c r="N15" i="3"/>
  <c r="M16" i="3"/>
  <c r="O17" i="3"/>
  <c r="J15" i="3"/>
  <c r="AO14" i="3"/>
  <c r="AZ26" i="3"/>
  <c r="L17" i="3"/>
  <c r="L11" i="3"/>
  <c r="N17" i="3"/>
  <c r="J16" i="3"/>
  <c r="AO15" i="3"/>
  <c r="AZ11" i="3"/>
  <c r="L33" i="3"/>
  <c r="M11" i="3"/>
  <c r="M18" i="3"/>
  <c r="O33" i="3"/>
  <c r="M33" i="3"/>
  <c r="J36" i="3"/>
  <c r="O10" i="3"/>
  <c r="L10" i="3"/>
  <c r="J12" i="3"/>
  <c r="N12" i="3"/>
  <c r="N10" i="3"/>
  <c r="M10" i="3"/>
  <c r="J10" i="3"/>
  <c r="AO9" i="3"/>
  <c r="N39" i="3"/>
  <c r="N16" i="3"/>
  <c r="M35" i="3"/>
  <c r="O16" i="3"/>
  <c r="J18" i="3"/>
  <c r="L16" i="3"/>
  <c r="P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K15" i="3"/>
  <c r="N51" i="3"/>
  <c r="O54" i="3"/>
  <c r="M21" i="3"/>
  <c r="P21" i="3"/>
  <c r="O12" i="3"/>
  <c r="M54" i="3"/>
  <c r="N23" i="3"/>
  <c r="J22" i="3"/>
  <c r="N22" i="3"/>
  <c r="L54" i="3"/>
  <c r="O23" i="3"/>
  <c r="N54" i="3"/>
  <c r="BG20" i="3"/>
  <c r="N52" i="3"/>
  <c r="O53" i="3"/>
  <c r="J52" i="3"/>
  <c r="M52" i="3"/>
  <c r="AO21" i="3"/>
  <c r="AZ31" i="3"/>
  <c r="M9" i="3"/>
  <c r="L12" i="3"/>
  <c r="AO44" i="3"/>
  <c r="AZ22" i="3"/>
  <c r="S63" i="3"/>
  <c r="T63" i="3"/>
  <c r="L51" i="3"/>
  <c r="M51" i="3"/>
  <c r="AO39" i="3"/>
  <c r="AZ19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/>
  <c r="S64" i="3"/>
  <c r="T64" i="3"/>
  <c r="M53" i="3"/>
  <c r="L53" i="3"/>
  <c r="O51" i="3"/>
  <c r="AO20" i="3"/>
  <c r="AZ14" i="3"/>
  <c r="S59" i="3"/>
  <c r="T59" i="3"/>
  <c r="J9" i="3"/>
  <c r="AO45" i="3"/>
  <c r="L9" i="3"/>
  <c r="O52" i="3"/>
  <c r="N53" i="3"/>
  <c r="J51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/>
  <c r="T60" i="3"/>
  <c r="BG28" i="3"/>
  <c r="AZ39" i="3"/>
  <c r="S65" i="3"/>
  <c r="T65" i="3"/>
  <c r="BG37" i="3"/>
  <c r="S72" i="3"/>
  <c r="T72" i="3"/>
  <c r="BG21" i="3"/>
  <c r="S70" i="3"/>
  <c r="T70" i="3"/>
  <c r="BG36" i="3"/>
  <c r="K29" i="3"/>
  <c r="P29" i="3"/>
  <c r="K51" i="3"/>
  <c r="P51" i="3"/>
  <c r="AO51" i="3"/>
  <c r="AZ23" i="3"/>
  <c r="AO50" i="3"/>
  <c r="AZ38" i="3"/>
  <c r="P9" i="3"/>
  <c r="K9" i="3"/>
  <c r="K30" i="3"/>
  <c r="P30" i="3"/>
  <c r="AO27" i="3"/>
  <c r="AZ15" i="3"/>
  <c r="AO26" i="3"/>
  <c r="P12" i="3"/>
  <c r="K12" i="3"/>
  <c r="BG13" i="3"/>
  <c r="S69" i="3"/>
  <c r="T69" i="3"/>
  <c r="K53" i="3"/>
  <c r="P53" i="3"/>
  <c r="P28" i="3"/>
  <c r="K28" i="3"/>
  <c r="AO8" i="3"/>
  <c r="AZ10" i="3"/>
  <c r="S58" i="3"/>
  <c r="T58" i="3"/>
  <c r="K27" i="3"/>
  <c r="P27" i="3"/>
  <c r="K52" i="3"/>
  <c r="P52" i="3"/>
  <c r="BN33" i="3"/>
  <c r="U77" i="3"/>
  <c r="Z77" i="3"/>
  <c r="BU36" i="3"/>
  <c r="AZ30" i="3"/>
  <c r="S61" i="3"/>
  <c r="T61" i="3"/>
  <c r="BG29" i="3"/>
  <c r="BN17" i="3"/>
  <c r="BG12" i="3"/>
  <c r="BN16" i="3"/>
  <c r="S71" i="3"/>
  <c r="T71" i="3"/>
  <c r="BN32" i="3"/>
  <c r="S77" i="3"/>
  <c r="T77" i="3"/>
  <c r="BU24" i="3"/>
  <c r="U76" i="3"/>
  <c r="Z76" i="3"/>
  <c r="BU35" i="3"/>
  <c r="T81" i="3"/>
  <c r="S76" i="3"/>
  <c r="T76" i="3"/>
  <c r="BU23" i="3"/>
  <c r="S85" i="3"/>
  <c r="T85" i="3"/>
  <c r="BR41" i="3"/>
</calcChain>
</file>

<file path=xl/sharedStrings.xml><?xml version="1.0" encoding="utf-8"?>
<sst xmlns="http://schemas.openxmlformats.org/spreadsheetml/2006/main" count="4374" uniqueCount="2542">
  <si>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</si>
  <si>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</si>
  <si>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</si>
  <si>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</si>
  <si>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</si>
  <si>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</si>
  <si>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</si>
  <si>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</si>
  <si>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</si>
  <si>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</si>
  <si>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</si>
  <si>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</si>
  <si>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</si>
  <si>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</si>
  <si>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</si>
  <si>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</si>
  <si>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</si>
  <si>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</si>
  <si>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</si>
  <si>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</si>
  <si>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</si>
  <si>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</si>
  <si>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</si>
  <si>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</si>
  <si>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</si>
  <si>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</si>
  <si>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</si>
  <si>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</si>
  <si>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</si>
  <si>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</si>
  <si>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</si>
  <si>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</si>
  <si>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</si>
  <si>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</si>
  <si>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</si>
  <si>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</si>
  <si>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</si>
  <si>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</si>
  <si>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</si>
  <si>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</si>
  <si>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</si>
  <si>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</si>
  <si>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</si>
  <si>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</si>
  <si>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</si>
  <si>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</si>
  <si>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</si>
  <si>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</si>
  <si>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</si>
  <si>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</si>
  <si>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</si>
  <si>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</si>
  <si>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</si>
  <si>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</si>
  <si>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</si>
  <si>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</si>
  <si>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</si>
  <si>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</si>
  <si>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</si>
  <si>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</si>
  <si>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</si>
  <si>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</si>
  <si>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</si>
  <si>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</si>
  <si>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</si>
  <si>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</si>
  <si>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</si>
  <si>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</si>
  <si>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</si>
  <si>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</si>
  <si>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</si>
  <si>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</si>
  <si>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</si>
  <si>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</si>
  <si>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</si>
  <si>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</si>
  <si>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</si>
  <si>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</si>
  <si>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</si>
  <si>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</si>
  <si>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</si>
  <si>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</si>
  <si>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</si>
  <si>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</si>
  <si>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</si>
  <si>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</si>
  <si>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</si>
  <si>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</si>
  <si>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</si>
  <si>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</si>
  <si>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</si>
  <si>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</si>
  <si>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</si>
  <si>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</si>
  <si>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</si>
  <si>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</si>
  <si>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</si>
  <si>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</si>
  <si>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</si>
  <si>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</si>
  <si>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</si>
  <si>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</si>
  <si>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</si>
  <si>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</si>
  <si>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</si>
  <si>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</si>
  <si>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</si>
  <si>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</si>
  <si>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</si>
  <si>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</si>
  <si>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</si>
  <si>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</si>
  <si>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</si>
  <si>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</si>
  <si>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</si>
  <si>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</si>
  <si>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</si>
  <si>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</si>
  <si>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</si>
  <si>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</si>
  <si>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</si>
  <si>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</si>
  <si>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</si>
  <si>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</si>
  <si>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</si>
  <si>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</si>
  <si>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</si>
  <si>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</si>
  <si>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</si>
  <si>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</si>
  <si>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</si>
  <si>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</si>
  <si>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</si>
  <si>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</si>
  <si>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</si>
  <si>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</si>
  <si>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</si>
  <si>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</si>
  <si>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</si>
  <si>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</si>
  <si>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</si>
  <si>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</si>
  <si>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</si>
  <si>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</si>
  <si>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</si>
  <si>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</si>
  <si>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</si>
  <si>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</si>
  <si>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</si>
  <si>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</si>
  <si>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</si>
  <si>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</si>
  <si>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</si>
  <si>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</si>
  <si>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</si>
  <si>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</si>
  <si>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</si>
  <si>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</si>
  <si>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</si>
  <si>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</si>
  <si>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</si>
  <si>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</si>
  <si>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</si>
  <si>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</si>
  <si>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</si>
  <si>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</si>
  <si>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</si>
  <si>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</si>
  <si>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</si>
  <si>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</si>
  <si>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</si>
  <si>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</si>
  <si>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</si>
  <si>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</si>
  <si>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</si>
  <si>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</si>
  <si>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</si>
  <si>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</si>
  <si>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</si>
  <si>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</si>
  <si>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</si>
  <si>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</si>
  <si>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</si>
  <si>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</si>
  <si>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</si>
  <si>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</si>
  <si>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</si>
  <si>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</si>
  <si>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</si>
  <si>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</si>
  <si>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</si>
  <si>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</si>
  <si>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</si>
  <si>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</si>
  <si>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</si>
  <si>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</si>
  <si>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</si>
  <si>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</si>
  <si>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</si>
  <si>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</si>
  <si>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</si>
  <si>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</si>
  <si>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</si>
  <si>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</si>
  <si>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</si>
  <si>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</si>
  <si>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</si>
  <si>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</si>
  <si>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</si>
  <si>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</si>
  <si>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</si>
  <si>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</si>
  <si>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</si>
  <si>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</si>
  <si>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</si>
  <si>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</si>
  <si>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</si>
  <si>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</si>
  <si>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</si>
  <si>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</si>
  <si>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</si>
  <si>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</si>
  <si>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</si>
  <si>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</si>
  <si>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</si>
  <si>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</si>
  <si>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</si>
  <si>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</si>
  <si>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</si>
  <si>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</si>
  <si>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</si>
  <si>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</si>
  <si>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</si>
  <si>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</si>
  <si>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</si>
  <si>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</si>
  <si>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</si>
  <si>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</si>
  <si>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</si>
  <si>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</si>
  <si>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</si>
  <si>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</si>
  <si>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</si>
  <si>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</si>
  <si>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</si>
  <si>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</si>
  <si>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</si>
  <si>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</si>
  <si>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</si>
  <si>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</si>
  <si>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</si>
  <si>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</si>
  <si>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</si>
  <si>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</si>
  <si>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</si>
  <si>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</si>
  <si>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</si>
  <si>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</si>
  <si>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</si>
  <si>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</si>
  <si>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</si>
  <si>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</si>
  <si>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</si>
  <si>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</si>
  <si>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</si>
  <si>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</si>
  <si>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</si>
  <si>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</si>
  <si>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</si>
  <si>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</si>
  <si>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</si>
  <si>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</si>
  <si>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</si>
  <si>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</si>
  <si>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</si>
  <si>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</si>
  <si>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</si>
  <si>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</si>
  <si>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</si>
  <si>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</si>
  <si>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</si>
  <si>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</si>
  <si>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</si>
  <si>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</si>
  <si>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</si>
  <si>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</si>
  <si>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</si>
  <si>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</si>
  <si>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</si>
  <si>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</si>
  <si>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</si>
  <si>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</si>
  <si>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</si>
  <si>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</si>
  <si>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</si>
  <si>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</si>
  <si>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</si>
  <si>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</si>
  <si>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</si>
  <si>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</si>
  <si>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</si>
  <si>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</si>
  <si>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</si>
  <si>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</si>
  <si>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</si>
  <si>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</si>
  <si>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</si>
  <si>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</si>
  <si>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</si>
  <si>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</si>
  <si>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</si>
  <si>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</si>
  <si>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</si>
  <si>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</si>
  <si>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</si>
  <si>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</si>
  <si>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</si>
  <si>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</si>
  <si>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</si>
  <si>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</si>
  <si>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</si>
  <si>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</si>
  <si>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</si>
  <si>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</si>
  <si>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</si>
  <si>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</si>
  <si>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</si>
  <si>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</si>
  <si>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</si>
  <si>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</si>
  <si>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</si>
  <si>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</si>
  <si>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</si>
  <si>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</si>
  <si>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</si>
  <si>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</si>
  <si>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</si>
  <si>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</si>
  <si>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</si>
  <si>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</si>
  <si>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</si>
  <si>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</si>
  <si>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</si>
  <si>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</si>
  <si>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</si>
  <si>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</si>
  <si>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</si>
  <si>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</si>
  <si>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</si>
  <si>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</si>
  <si>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</si>
  <si>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</si>
  <si>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</si>
  <si>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</si>
  <si>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</si>
  <si>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</si>
  <si>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</si>
  <si>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</si>
  <si>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</si>
  <si>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</si>
  <si>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</si>
  <si>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</si>
  <si>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</si>
  <si>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</si>
  <si>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</si>
  <si>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</si>
  <si>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</si>
  <si>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</si>
  <si>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</si>
  <si>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</si>
  <si>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</si>
  <si>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</si>
  <si>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</si>
  <si>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</si>
  <si>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</si>
  <si>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</si>
  <si>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</si>
  <si>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</si>
  <si>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</si>
  <si>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</si>
  <si>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</si>
  <si>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</si>
  <si>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</si>
  <si>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</si>
  <si>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</si>
  <si>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</si>
  <si>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</si>
  <si>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</si>
  <si>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</si>
  <si>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</si>
  <si>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</si>
  <si>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</si>
  <si>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</si>
  <si>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</si>
  <si>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</si>
  <si>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</si>
  <si>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</si>
  <si>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</si>
  <si>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</si>
  <si>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</si>
  <si>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</si>
  <si>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</si>
  <si>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</si>
  <si>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</si>
  <si>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</si>
  <si>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</si>
  <si>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</si>
  <si>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</si>
  <si>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</si>
  <si>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</si>
  <si>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</si>
  <si>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</si>
  <si>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</si>
  <si>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</si>
  <si>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</si>
  <si>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</si>
  <si>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</si>
  <si>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</si>
  <si>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</si>
  <si>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</si>
  <si>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</si>
  <si>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</si>
  <si>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</si>
  <si>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</si>
  <si>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</si>
  <si>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</si>
  <si>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</si>
  <si>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</si>
  <si>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</si>
  <si>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</si>
  <si>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</si>
  <si>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</si>
  <si>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</si>
  <si>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</si>
  <si>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</si>
  <si>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</si>
  <si>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</si>
  <si>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</si>
  <si>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</si>
  <si>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</si>
  <si>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</si>
  <si>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</si>
  <si>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</si>
  <si>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</si>
  <si>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</si>
  <si>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</si>
  <si>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</si>
  <si>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</si>
  <si>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</si>
  <si>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</si>
  <si>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</si>
  <si>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</si>
  <si>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</si>
  <si>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</si>
  <si>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</si>
  <si>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</si>
  <si>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</si>
  <si>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</si>
  <si>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</si>
  <si>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</si>
  <si>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</si>
  <si>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</si>
  <si>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</si>
  <si>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</si>
  <si>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</si>
  <si>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</si>
  <si>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</si>
  <si>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</si>
  <si>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</si>
  <si>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</si>
  <si>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</si>
  <si>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</si>
  <si>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</si>
  <si>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</si>
  <si>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</si>
  <si>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</si>
  <si>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</si>
  <si>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</si>
  <si>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</si>
  <si>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</si>
  <si>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</si>
  <si>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</si>
  <si>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</si>
  <si>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</si>
  <si>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</si>
  <si>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</si>
  <si>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</si>
  <si>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</si>
  <si>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</si>
  <si>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</si>
  <si>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</si>
  <si>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</si>
  <si>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</si>
  <si>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</si>
  <si>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</si>
  <si>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</si>
  <si>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</si>
  <si>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</si>
  <si>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</si>
  <si>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</si>
  <si>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</si>
  <si>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</si>
  <si>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</si>
  <si>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</si>
  <si>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</si>
  <si>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</si>
  <si>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</si>
  <si>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</si>
  <si>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</si>
  <si>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</si>
  <si>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</si>
  <si>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</si>
  <si>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</si>
  <si>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</si>
  <si>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</si>
  <si>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</si>
  <si>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</si>
  <si>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</si>
  <si>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</si>
  <si>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</si>
  <si>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</si>
  <si>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</si>
  <si>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</si>
  <si>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</si>
  <si>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</si>
  <si>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</si>
  <si>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</si>
  <si>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</si>
  <si>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</si>
  <si>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</si>
  <si>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</si>
  <si>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</si>
  <si>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</si>
  <si>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</si>
  <si>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</si>
  <si>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</si>
  <si>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</si>
  <si>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</si>
  <si>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</si>
  <si>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</si>
  <si>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</si>
  <si>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</si>
  <si>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</si>
  <si>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</si>
  <si>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</si>
  <si>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</si>
  <si>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</si>
  <si>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</si>
  <si>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</si>
  <si>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</si>
  <si>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</si>
  <si>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</si>
  <si>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</si>
  <si>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</si>
  <si>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</si>
  <si>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</si>
  <si>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</si>
  <si>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</si>
  <si>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</si>
  <si>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</si>
  <si>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</si>
  <si>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</si>
  <si>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</si>
  <si>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</si>
  <si>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</si>
  <si>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</si>
  <si>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</si>
  <si>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</si>
  <si>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</si>
  <si>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</si>
  <si>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</si>
  <si>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</si>
  <si>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</si>
  <si>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</si>
  <si>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</si>
  <si>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</si>
  <si>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</si>
  <si>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</si>
  <si>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</si>
  <si>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</si>
  <si>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</si>
  <si>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</si>
  <si>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</si>
  <si>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</si>
  <si>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</si>
  <si>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</si>
  <si>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</si>
  <si>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</si>
  <si>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</si>
  <si>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</si>
  <si>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</si>
  <si>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</si>
  <si>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</si>
  <si>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</si>
  <si>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</si>
  <si>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</si>
  <si>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</si>
  <si>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</si>
  <si>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</si>
  <si>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</si>
  <si>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</si>
  <si>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</si>
  <si>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</si>
  <si>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</si>
  <si>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</si>
  <si>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</si>
  <si>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</si>
  <si>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</si>
  <si>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</si>
  <si>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</si>
  <si>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</si>
  <si>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</si>
  <si>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</si>
  <si>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</si>
  <si>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</si>
  <si>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</si>
  <si>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</si>
  <si>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</si>
  <si>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</si>
  <si>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</si>
  <si>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</si>
  <si>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</si>
  <si>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</si>
  <si>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</si>
  <si>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</si>
  <si>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</si>
  <si>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</si>
  <si>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</si>
  <si>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</si>
  <si>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</si>
  <si>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</si>
  <si>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</si>
  <si>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</si>
  <si>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</si>
  <si>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</si>
  <si>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</si>
  <si>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</si>
  <si>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</si>
  <si>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</si>
  <si>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</si>
  <si>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</si>
  <si>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</si>
  <si>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</si>
  <si>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</si>
  <si>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</si>
  <si>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</si>
  <si>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</si>
  <si>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</si>
  <si>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</si>
  <si>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</si>
  <si>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</si>
  <si>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</si>
  <si>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</si>
  <si>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</si>
  <si>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</si>
  <si>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</si>
  <si>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</si>
  <si>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</si>
  <si>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</si>
  <si>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</si>
  <si>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</si>
  <si>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</si>
  <si>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</si>
  <si>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</si>
  <si>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</si>
  <si>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</si>
  <si>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</si>
  <si>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</si>
  <si>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</si>
  <si>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</si>
  <si>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</si>
  <si>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</si>
  <si>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</si>
  <si>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</si>
  <si>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</si>
  <si>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</si>
  <si>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</si>
  <si>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</si>
  <si>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</si>
  <si>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</si>
  <si>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</si>
  <si>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</si>
  <si>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</si>
  <si>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</si>
  <si>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</si>
  <si>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</si>
  <si>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</si>
  <si>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</si>
  <si>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</si>
  <si>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</si>
  <si>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</si>
  <si>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</si>
  <si>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</si>
  <si>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</si>
  <si>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</si>
  <si>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</si>
  <si>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</si>
  <si>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</si>
  <si>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</si>
  <si>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</si>
  <si>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</si>
  <si>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</si>
  <si>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</si>
  <si>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</si>
  <si>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</si>
  <si>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</si>
  <si>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</si>
  <si>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</si>
  <si>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</si>
  <si>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</si>
  <si>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</si>
  <si>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</si>
  <si>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</si>
  <si>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</si>
  <si>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</si>
  <si>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</si>
  <si>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</si>
  <si>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</si>
  <si>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</si>
  <si>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</si>
  <si>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</si>
  <si>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</si>
  <si>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</si>
  <si>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</si>
  <si>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</si>
  <si>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</si>
  <si>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</si>
  <si>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</si>
  <si>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</si>
  <si>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</si>
  <si>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</si>
  <si>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</si>
  <si>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</si>
  <si>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</si>
  <si>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</si>
  <si>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</si>
  <si>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</si>
  <si>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</si>
  <si>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</si>
  <si>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</si>
  <si>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</si>
  <si>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</si>
  <si>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</si>
  <si>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</si>
  <si>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</si>
  <si>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</si>
  <si>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</si>
  <si>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</si>
  <si>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</si>
  <si>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</si>
  <si>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</si>
  <si>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</si>
  <si>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</si>
  <si>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</si>
  <si>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</si>
  <si>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</si>
  <si>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</si>
  <si>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</si>
  <si>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</si>
  <si>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</si>
  <si>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</si>
  <si>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</si>
  <si>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</si>
  <si>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</si>
  <si>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</si>
  <si>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</si>
  <si>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</si>
  <si>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</si>
  <si>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</si>
  <si>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</si>
  <si>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</si>
  <si>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</si>
  <si>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</si>
  <si>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</si>
  <si>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</si>
  <si>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</si>
  <si>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</si>
  <si>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</si>
  <si>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</si>
  <si>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</si>
  <si>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</si>
  <si>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</si>
  <si>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</si>
  <si>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</si>
  <si>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</si>
  <si>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</si>
  <si>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</si>
  <si>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</si>
  <si>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</si>
  <si>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</si>
  <si>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</si>
  <si>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</si>
  <si>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</si>
  <si>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</si>
  <si>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</si>
  <si>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</si>
  <si>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</si>
  <si>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</si>
  <si>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</si>
  <si>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</si>
  <si>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</si>
  <si>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</si>
  <si>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</si>
  <si>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</si>
  <si>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</si>
  <si>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</si>
  <si>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</si>
  <si>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</si>
  <si>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</si>
  <si>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</si>
  <si>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</si>
  <si>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</si>
  <si>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</si>
  <si>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</si>
  <si>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</si>
  <si>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</si>
  <si>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</si>
  <si>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</si>
  <si>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</si>
  <si>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</si>
  <si>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</si>
  <si>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</si>
  <si>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</si>
  <si>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</si>
  <si>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</si>
  <si>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</si>
  <si>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</si>
  <si>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</si>
  <si>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</si>
  <si>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</si>
  <si>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</si>
  <si>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</si>
  <si>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</si>
  <si>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</si>
  <si>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</si>
  <si>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</si>
  <si>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</si>
  <si>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</si>
  <si>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</si>
  <si>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</si>
  <si>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</si>
  <si>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</si>
  <si>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</si>
  <si>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</si>
  <si>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</si>
  <si>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</si>
  <si>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</si>
  <si>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</si>
  <si>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</si>
  <si>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</si>
  <si>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</si>
  <si>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</si>
  <si>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</si>
  <si>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</si>
  <si>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</si>
  <si>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</si>
  <si>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</si>
  <si>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</si>
  <si>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</si>
  <si>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</si>
  <si>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</si>
  <si>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</si>
  <si>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</si>
  <si>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</si>
  <si>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</si>
  <si>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</si>
  <si>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</si>
  <si>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</si>
  <si>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</si>
  <si>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</si>
  <si>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</si>
  <si>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</si>
  <si>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</si>
  <si>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</si>
  <si>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</si>
  <si>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</si>
  <si>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</si>
  <si>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</si>
  <si>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</si>
  <si>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</si>
  <si>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</si>
  <si>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</si>
  <si>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</si>
  <si>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</si>
  <si>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</si>
  <si>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</si>
  <si>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</si>
  <si>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</si>
  <si>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</si>
  <si>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</si>
  <si>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</si>
  <si>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</si>
  <si>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</si>
  <si>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</si>
  <si>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</si>
  <si>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</si>
  <si>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</si>
  <si>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</si>
  <si>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</si>
  <si>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</si>
  <si>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</si>
  <si>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</si>
  <si>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</si>
  <si>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</si>
  <si>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</si>
  <si>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</si>
  <si>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</si>
  <si>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</si>
  <si>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</si>
  <si>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</si>
  <si>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</si>
  <si>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</si>
  <si>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</si>
  <si>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</si>
  <si>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</si>
  <si>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</si>
  <si>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</si>
  <si>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</si>
  <si>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</si>
  <si>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</si>
  <si>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</si>
  <si>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</si>
  <si>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</si>
  <si>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</si>
  <si>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</si>
  <si>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</si>
  <si>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</si>
  <si>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</si>
  <si>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</si>
  <si>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</si>
  <si>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</si>
  <si>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</si>
  <si>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</si>
  <si>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</si>
  <si>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</si>
  <si>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</si>
  <si>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</si>
  <si>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</si>
  <si>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</si>
  <si>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</si>
  <si>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</si>
  <si>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</si>
  <si>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</si>
  <si>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</si>
  <si>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</si>
  <si>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</si>
  <si>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</si>
  <si>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</si>
  <si>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</si>
  <si>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</si>
  <si>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</si>
  <si>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</si>
  <si>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</si>
  <si>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</si>
  <si>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</si>
  <si>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</si>
  <si>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</si>
  <si>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</si>
  <si>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</si>
  <si>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</si>
  <si>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</si>
  <si>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</si>
  <si>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</si>
  <si>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</si>
  <si>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</si>
  <si>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</si>
  <si>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</si>
  <si>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</si>
  <si>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</si>
  <si>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</si>
  <si>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</si>
  <si>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</si>
  <si>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</si>
  <si>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</si>
  <si>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</si>
  <si>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</si>
  <si>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</si>
  <si>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</si>
  <si>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</si>
  <si>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</si>
  <si>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</si>
  <si>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</si>
  <si>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</si>
  <si>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</si>
  <si>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</si>
  <si>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</si>
  <si>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</si>
  <si>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</si>
  <si>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</si>
  <si>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</si>
  <si>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</si>
  <si>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</si>
  <si>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</si>
  <si>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</si>
  <si>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</si>
  <si>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</si>
  <si>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</si>
  <si>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</si>
  <si>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</si>
  <si>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</si>
  <si>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</si>
  <si>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</si>
  <si>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</si>
  <si>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</si>
  <si>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</si>
  <si>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</si>
  <si>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</si>
  <si>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</si>
  <si>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</si>
  <si>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</si>
  <si>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</si>
  <si>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</si>
  <si>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</si>
  <si>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</si>
  <si>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</si>
  <si>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</si>
  <si>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</si>
  <si>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</si>
  <si>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</si>
  <si>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</si>
  <si>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</si>
  <si>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</si>
  <si>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</si>
  <si>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</si>
  <si>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</si>
  <si>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</si>
  <si>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</si>
  <si>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</si>
  <si>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</si>
  <si>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</si>
  <si>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</si>
  <si>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</si>
  <si>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</si>
  <si>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</si>
  <si>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</si>
  <si>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</si>
  <si>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</si>
  <si>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</si>
  <si>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</si>
  <si>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</si>
  <si>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</si>
  <si>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</si>
  <si>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</si>
  <si>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</si>
  <si>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</si>
  <si>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</si>
  <si>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</si>
  <si>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</si>
  <si>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</si>
  <si>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</si>
  <si>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</si>
  <si>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</si>
  <si>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</si>
  <si>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</si>
  <si>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</si>
  <si>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</si>
  <si>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</si>
  <si>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</si>
  <si>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</si>
  <si>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</si>
  <si>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</si>
  <si>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</si>
  <si>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</si>
  <si>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</si>
  <si>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</si>
  <si>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</si>
  <si>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</si>
  <si>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</si>
  <si>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</si>
  <si>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</si>
  <si>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</si>
  <si>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</si>
  <si>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</si>
  <si>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</si>
  <si>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</si>
  <si>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</si>
  <si>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</si>
  <si>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</si>
  <si>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</si>
  <si>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</si>
  <si>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</si>
  <si>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</si>
  <si>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</si>
  <si>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</si>
  <si>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</si>
  <si>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</si>
  <si>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</si>
  <si>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</si>
  <si>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</si>
  <si>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</si>
  <si>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</si>
  <si>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</si>
  <si>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</si>
  <si>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</si>
  <si>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</si>
  <si>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</si>
  <si>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</si>
  <si>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</si>
  <si>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</si>
  <si>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</si>
  <si>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</si>
  <si>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</si>
  <si>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</si>
  <si>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</si>
  <si>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</si>
  <si>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</si>
  <si>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</si>
  <si>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</si>
  <si>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</si>
  <si>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</si>
  <si>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</si>
  <si>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</si>
  <si>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</si>
  <si>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</si>
  <si>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</si>
  <si>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</si>
  <si>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</si>
  <si>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</si>
  <si>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</si>
  <si>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</si>
  <si>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</si>
  <si>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</si>
  <si>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</si>
  <si>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</si>
  <si>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</si>
  <si>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</si>
  <si>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</si>
  <si>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</si>
  <si>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</si>
  <si>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</si>
  <si>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</si>
  <si>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</si>
  <si>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</si>
  <si>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</si>
  <si>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</si>
  <si>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</si>
  <si>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</si>
  <si>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</si>
  <si>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</si>
  <si>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</si>
  <si>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</si>
  <si>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</si>
  <si>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</si>
  <si>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</si>
  <si>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</si>
  <si>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</si>
  <si>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</si>
  <si>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</si>
  <si>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</si>
  <si>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</si>
  <si>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</si>
  <si>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</si>
  <si>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</si>
  <si>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</si>
  <si>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</si>
  <si>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</si>
  <si>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</si>
  <si>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</si>
  <si>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</si>
  <si>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</si>
  <si>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</si>
  <si>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</si>
  <si>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</si>
  <si>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</si>
  <si>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</si>
  <si>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</si>
  <si>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</si>
  <si>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</si>
  <si>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</si>
  <si>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</si>
  <si>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</si>
  <si>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</si>
  <si>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</si>
  <si>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</si>
  <si>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</si>
  <si>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</si>
  <si>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</si>
  <si>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</si>
  <si>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</si>
  <si>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</si>
  <si>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</si>
  <si>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</si>
  <si>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</si>
  <si>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</si>
  <si>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</si>
  <si>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</si>
  <si>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</si>
  <si>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</si>
  <si>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</si>
  <si>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</si>
  <si>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</si>
  <si>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</si>
  <si>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</si>
  <si>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</si>
  <si>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</si>
  <si>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</si>
  <si>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</si>
  <si>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</si>
  <si>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</si>
  <si>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</si>
  <si>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</si>
  <si>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</si>
  <si>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</si>
  <si>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</si>
  <si>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</si>
  <si>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</si>
  <si>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</si>
  <si>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</si>
  <si>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</si>
  <si>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</si>
  <si>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</si>
  <si>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</si>
  <si>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</si>
  <si>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</si>
  <si>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</si>
  <si>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</si>
  <si>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</si>
  <si>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</si>
  <si>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</si>
  <si>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</si>
  <si>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</si>
  <si>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</si>
  <si>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</si>
  <si>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</si>
  <si>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</si>
  <si>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</si>
  <si>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</si>
  <si>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</si>
  <si>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</si>
  <si>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</si>
  <si>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</si>
  <si>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</si>
  <si>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</si>
  <si>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</si>
  <si>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</si>
  <si>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</si>
  <si>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</si>
  <si>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</si>
  <si>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</si>
  <si>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</si>
  <si>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</si>
  <si>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</si>
  <si>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</si>
  <si>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</si>
  <si>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</si>
  <si>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</si>
  <si>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</si>
  <si>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</si>
  <si>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</si>
  <si>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</si>
  <si>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</si>
  <si>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</si>
  <si>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</si>
  <si>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</si>
  <si>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</si>
  <si>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</si>
  <si>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</si>
  <si>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</si>
  <si>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</si>
  <si>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</si>
  <si>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</si>
  <si>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</si>
  <si>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</si>
  <si>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</si>
  <si>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</si>
  <si>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</si>
  <si>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</si>
  <si>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</si>
  <si>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</si>
  <si>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</si>
  <si>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</si>
  <si>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</si>
  <si>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</si>
  <si>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</si>
  <si>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</si>
  <si>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</si>
  <si>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</si>
  <si>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</si>
  <si>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</si>
  <si>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</si>
  <si>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</si>
  <si>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</si>
  <si>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</si>
  <si>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</si>
  <si>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</si>
  <si>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</si>
  <si>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</si>
  <si>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</si>
  <si>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</si>
  <si>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</si>
  <si>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</si>
  <si>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</si>
  <si>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</si>
  <si>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</si>
  <si>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</si>
  <si>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</si>
  <si>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</si>
  <si>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</si>
  <si>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</si>
  <si>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</si>
  <si>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</si>
  <si>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</si>
  <si>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</si>
  <si>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</si>
  <si>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</si>
  <si>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</si>
  <si>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</si>
  <si>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</si>
  <si>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</si>
  <si>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</si>
  <si>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</si>
  <si>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</si>
  <si>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</si>
  <si>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</si>
  <si>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</si>
  <si>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</si>
  <si>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</si>
  <si>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</si>
  <si>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</si>
  <si>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</si>
  <si>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</si>
  <si>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</si>
  <si>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</si>
  <si>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</si>
  <si>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</si>
  <si>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</si>
  <si>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</si>
  <si>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</si>
  <si>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</si>
  <si>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</si>
  <si>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</si>
  <si>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</si>
  <si>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</si>
  <si>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</si>
  <si>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</si>
  <si>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</si>
  <si>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</si>
  <si>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</si>
  <si>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</si>
  <si>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</si>
  <si>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</si>
  <si>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</si>
  <si>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</si>
  <si>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</si>
  <si>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</si>
  <si>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</si>
  <si>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</si>
  <si>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</si>
  <si>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</si>
  <si>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</si>
  <si>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</si>
  <si>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</si>
  <si>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</si>
  <si>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</si>
  <si>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</si>
  <si>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</si>
  <si>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</si>
  <si>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</si>
  <si>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</si>
  <si>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</si>
  <si>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</si>
  <si>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</si>
  <si>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</si>
  <si>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</si>
  <si>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</si>
  <si>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</si>
  <si>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</si>
  <si>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</si>
  <si>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</si>
  <si>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</si>
  <si>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</si>
  <si>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</si>
  <si>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</si>
  <si>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</si>
  <si>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</si>
  <si>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</si>
  <si>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</si>
  <si>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</si>
  <si>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</si>
  <si>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</si>
  <si>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</si>
  <si>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</si>
  <si>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</si>
  <si>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</si>
  <si>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</si>
  <si>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</si>
  <si>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</si>
  <si>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</si>
  <si>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</si>
  <si>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</si>
  <si>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</si>
  <si>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</si>
  <si>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</si>
  <si>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</si>
  <si>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</si>
  <si>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</si>
  <si>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</si>
  <si>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</si>
  <si>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</si>
  <si>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</si>
  <si>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</si>
  <si>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</si>
  <si>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</si>
  <si>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</si>
  <si>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</si>
  <si>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</si>
  <si>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</si>
  <si>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</si>
  <si>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</si>
  <si>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</si>
  <si>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</si>
  <si>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</si>
  <si>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</si>
  <si>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</si>
  <si>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</si>
  <si>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</si>
  <si>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</si>
  <si>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</si>
  <si>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</si>
  <si>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</si>
  <si>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</si>
  <si>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</si>
  <si>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</si>
  <si>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</si>
  <si>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</si>
  <si>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</si>
  <si>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</si>
  <si>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</si>
  <si>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</si>
  <si>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</si>
  <si>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</si>
  <si>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</si>
  <si>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</si>
  <si>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</si>
  <si>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</si>
  <si>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</si>
  <si>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</si>
  <si>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</si>
  <si>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</si>
  <si>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</si>
  <si>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</si>
  <si>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</si>
  <si>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</si>
  <si>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</si>
  <si>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</si>
  <si>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</si>
  <si>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</si>
  <si>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</si>
  <si>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</si>
  <si>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</si>
  <si>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</si>
  <si>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</si>
  <si>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</si>
  <si>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</si>
  <si>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</si>
  <si>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</si>
  <si>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</si>
  <si>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</si>
  <si>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</si>
  <si>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</si>
  <si>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</si>
  <si>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</si>
  <si>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</si>
  <si>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</si>
  <si>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</si>
  <si>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</si>
  <si>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</si>
  <si>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</si>
  <si>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</si>
  <si>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</si>
  <si>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</si>
  <si>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</si>
  <si>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</si>
  <si>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</si>
  <si>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</si>
  <si>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</si>
  <si>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</si>
  <si>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</si>
  <si>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</si>
  <si>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</si>
  <si>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</si>
  <si>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</si>
  <si>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</si>
  <si>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</si>
  <si>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</si>
  <si>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</si>
  <si>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</si>
  <si>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</si>
  <si>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</si>
  <si>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</si>
  <si>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</si>
  <si>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</si>
  <si>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</si>
  <si>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</si>
  <si>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</si>
  <si>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</si>
  <si>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</si>
  <si>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</si>
  <si>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</si>
  <si>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</si>
  <si>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</si>
  <si>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</si>
  <si>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</si>
  <si>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</si>
  <si>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</si>
  <si>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</si>
  <si>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</si>
  <si>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</si>
  <si>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</si>
  <si>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</si>
  <si>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</si>
  <si>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</si>
  <si>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</si>
  <si>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</si>
  <si>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</si>
  <si>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</si>
  <si>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</si>
  <si>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</si>
  <si>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</si>
  <si>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</si>
  <si>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</si>
  <si>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</si>
  <si>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</si>
  <si>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</si>
  <si>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</si>
  <si>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</si>
  <si>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</si>
  <si>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</si>
  <si>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</si>
  <si>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</si>
  <si>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</si>
  <si>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</si>
  <si>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</si>
  <si>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</si>
  <si>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</si>
  <si>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</si>
  <si>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</si>
  <si>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</si>
  <si>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</si>
  <si>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</si>
  <si>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</si>
  <si>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</si>
  <si>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</si>
  <si>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</si>
  <si>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</si>
  <si>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</si>
  <si>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</si>
  <si>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</si>
  <si>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</si>
  <si>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</si>
  <si>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</si>
  <si>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</si>
  <si>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</si>
  <si>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</si>
  <si>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</si>
  <si>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</si>
  <si>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</si>
  <si>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</si>
  <si>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</si>
  <si>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</si>
  <si>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</si>
  <si>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</si>
  <si>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</si>
  <si>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</si>
  <si>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</si>
  <si>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</si>
  <si>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</si>
  <si>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</si>
  <si>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</si>
  <si>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</si>
  <si>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</si>
  <si>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</si>
  <si>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</si>
  <si>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</si>
  <si>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</si>
  <si>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</si>
  <si>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</si>
  <si>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</si>
  <si>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</si>
  <si>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</si>
  <si>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</si>
  <si>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</si>
  <si>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</si>
  <si>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</si>
  <si>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</si>
  <si>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</si>
  <si>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</si>
  <si>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</si>
  <si>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</si>
  <si>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</si>
  <si>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</si>
  <si>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</si>
  <si>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</si>
  <si>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</si>
  <si>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</si>
  <si>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</si>
  <si>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</si>
  <si>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</si>
  <si>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</si>
  <si>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</si>
  <si>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</si>
  <si>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</si>
  <si>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</si>
  <si>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</si>
  <si>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</si>
  <si>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</si>
  <si>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</si>
  <si>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</si>
  <si>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</si>
  <si>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</si>
  <si>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</si>
  <si>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</si>
  <si>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</si>
  <si>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</si>
  <si>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</si>
  <si>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</si>
  <si>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</si>
  <si>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</si>
  <si>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</si>
  <si>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</si>
  <si>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</si>
  <si>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</si>
  <si>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</si>
  <si>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</si>
  <si>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</si>
  <si>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</si>
  <si>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</si>
  <si>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</si>
  <si>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</si>
  <si>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</si>
  <si>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</si>
  <si>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</si>
  <si>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</si>
  <si>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</si>
  <si>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</si>
  <si>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</si>
  <si>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</si>
  <si>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</si>
  <si>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</si>
  <si>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</si>
  <si>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</si>
  <si>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</si>
  <si>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</si>
  <si>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</si>
  <si>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</si>
  <si>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</si>
  <si>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</si>
  <si>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</si>
  <si>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</si>
  <si>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</si>
  <si>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</si>
  <si>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</si>
  <si>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</si>
  <si>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</si>
  <si>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</si>
  <si>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</si>
  <si>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</si>
  <si>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</si>
  <si>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</si>
  <si>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</si>
  <si>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</si>
  <si>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</si>
  <si>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</si>
  <si>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</si>
  <si>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</si>
  <si>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</si>
  <si>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</si>
  <si>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</si>
  <si>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</si>
  <si>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</si>
  <si>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</si>
  <si>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</si>
  <si>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</si>
  <si>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</si>
  <si>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</si>
  <si>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</si>
  <si>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</si>
  <si>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</si>
  <si>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</si>
  <si>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</si>
  <si>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</si>
  <si>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</si>
  <si>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</si>
  <si>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</si>
  <si>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</si>
  <si>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</si>
  <si>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</si>
  <si>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</si>
  <si>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</si>
  <si>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</si>
  <si>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</si>
  <si>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</si>
  <si>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</si>
  <si>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</si>
  <si>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</si>
  <si>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</si>
  <si>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</si>
  <si>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</si>
  <si>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</si>
  <si>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</si>
  <si>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</si>
  <si>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</si>
  <si>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</si>
  <si>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</si>
  <si>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</si>
  <si>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</si>
  <si>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</si>
  <si>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</si>
  <si>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</si>
  <si>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</si>
  <si>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</si>
  <si>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</si>
  <si>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</si>
  <si>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</si>
  <si>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</si>
  <si>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</si>
  <si>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</si>
  <si>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</si>
  <si>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</si>
  <si>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</si>
  <si>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</si>
  <si>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</si>
  <si>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</si>
  <si>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</si>
  <si>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</si>
  <si>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</si>
  <si>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</si>
  <si>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</si>
  <si>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</si>
  <si>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</si>
  <si>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</si>
  <si>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</si>
  <si>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</si>
  <si>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</si>
  <si>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</si>
  <si>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</si>
  <si>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</si>
  <si>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</si>
  <si>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</si>
  <si>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</si>
  <si>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</si>
  <si>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</si>
  <si>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</si>
  <si>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</si>
  <si>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</si>
  <si>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</si>
  <si>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</si>
  <si>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</si>
  <si>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</si>
  <si>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</si>
  <si>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</si>
  <si>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</si>
  <si>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</si>
  <si>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</si>
  <si>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</si>
  <si>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</si>
  <si>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</si>
  <si>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</si>
  <si>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</si>
  <si>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</si>
  <si>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</si>
  <si>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</si>
  <si>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</si>
  <si>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</si>
  <si>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</si>
  <si>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</si>
  <si>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</si>
  <si>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</si>
  <si>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</si>
  <si>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</si>
  <si>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</si>
  <si>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</si>
  <si>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</si>
  <si>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</si>
  <si>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</si>
  <si>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</si>
  <si>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</si>
  <si>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</si>
  <si>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</si>
  <si>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</si>
  <si>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</si>
  <si>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</si>
  <si>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</si>
  <si>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</si>
  <si>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</si>
  <si>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</si>
  <si>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</si>
  <si>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</si>
  <si>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</si>
  <si>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</si>
  <si>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</si>
  <si>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</si>
  <si>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</si>
  <si>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</si>
  <si>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</si>
  <si>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</si>
  <si>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</si>
  <si>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</si>
  <si>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</si>
  <si>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</si>
  <si>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</si>
  <si>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</si>
  <si>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</si>
  <si>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</si>
  <si>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</si>
  <si>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</si>
  <si>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</si>
  <si>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</si>
  <si>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</si>
  <si>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</si>
  <si>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</si>
  <si>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</si>
  <si>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</si>
  <si>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</si>
  <si>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</si>
  <si>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</si>
  <si>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</si>
  <si>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</si>
  <si>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</si>
  <si>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</si>
  <si>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</si>
  <si>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</si>
  <si>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</si>
  <si>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</si>
  <si>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</si>
  <si>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</si>
  <si>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</si>
  <si>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</si>
  <si>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</si>
  <si>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</si>
  <si>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</si>
  <si>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</si>
  <si>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</si>
  <si>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</si>
  <si>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</si>
  <si>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</si>
  <si>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</si>
  <si>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</si>
  <si>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</si>
  <si>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</si>
  <si>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</si>
  <si>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</si>
  <si>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</si>
  <si>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</si>
  <si>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</si>
  <si>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</si>
  <si>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</si>
  <si>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</si>
  <si>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</si>
  <si>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</si>
  <si>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</si>
  <si>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</si>
  <si>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</si>
  <si>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</si>
  <si>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</si>
  <si>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</si>
  <si>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</si>
  <si>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</si>
  <si>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</si>
  <si>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</si>
  <si>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</si>
  <si>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</si>
  <si>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</si>
  <si>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</si>
  <si>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</si>
  <si>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</si>
  <si>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</si>
  <si>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</si>
  <si>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</si>
  <si>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</si>
  <si>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</si>
  <si>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</si>
  <si>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</si>
  <si>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</si>
  <si>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</si>
  <si>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</si>
  <si>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</si>
  <si>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</si>
  <si>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</si>
  <si>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</si>
  <si>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</si>
  <si>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</si>
  <si>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</si>
  <si>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</si>
  <si>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</si>
  <si>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</si>
  <si>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</si>
  <si>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</si>
  <si>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</si>
  <si>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</si>
  <si>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</si>
  <si>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</si>
  <si>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</si>
  <si>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</si>
  <si>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</si>
  <si>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</si>
  <si>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</si>
  <si>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</si>
  <si>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</si>
  <si>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</si>
  <si>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</si>
  <si>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</si>
  <si>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</si>
  <si>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</si>
  <si>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</si>
  <si>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</si>
  <si>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</si>
  <si>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</si>
  <si>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</si>
  <si>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</si>
  <si>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</si>
  <si>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</si>
  <si>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</si>
  <si>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</si>
  <si>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</si>
  <si>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</si>
  <si>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</si>
  <si>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</si>
  <si>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</si>
  <si>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</si>
  <si>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</si>
  <si>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</si>
  <si>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</si>
  <si>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</si>
  <si>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</si>
  <si>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</si>
  <si>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</si>
  <si>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</si>
  <si>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</si>
  <si>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</si>
  <si>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</si>
  <si>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</si>
  <si>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</si>
  <si>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</si>
  <si>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</si>
  <si>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</si>
  <si>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</si>
  <si>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</si>
  <si>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</si>
  <si>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</si>
  <si>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</si>
  <si>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</si>
  <si>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</si>
  <si>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</si>
  <si>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</si>
  <si>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</si>
  <si>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</si>
  <si>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</si>
  <si>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</si>
  <si>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</si>
  <si>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</si>
  <si>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</si>
  <si>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</si>
  <si>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</si>
  <si>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</si>
  <si>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</si>
  <si>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</si>
  <si>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</si>
  <si>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</si>
  <si>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</si>
  <si>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</si>
  <si>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</si>
  <si>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</si>
  <si>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</si>
  <si>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</si>
  <si>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</si>
  <si>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</si>
  <si>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</si>
  <si>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</si>
  <si>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</si>
  <si>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</si>
  <si>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</si>
  <si>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</si>
  <si>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</si>
  <si>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</si>
  <si>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</si>
  <si>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</si>
  <si>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</si>
  <si>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</si>
  <si>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</si>
  <si>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</si>
  <si>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</si>
  <si>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</si>
  <si>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</si>
  <si>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</si>
  <si>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</si>
  <si>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</si>
  <si>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</si>
  <si>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</si>
  <si>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</si>
  <si>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</si>
  <si>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</si>
  <si>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</si>
  <si>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</si>
  <si>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</si>
  <si>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</si>
  <si>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</si>
  <si>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</si>
  <si>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</si>
  <si>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</si>
  <si>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</si>
  <si>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</si>
  <si>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</si>
  <si>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</si>
  <si>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</si>
  <si>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</si>
  <si>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</si>
  <si>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</si>
  <si>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</si>
  <si>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</si>
  <si>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</si>
  <si>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</si>
  <si>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</si>
  <si>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</si>
  <si>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</si>
  <si>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</si>
  <si>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</si>
  <si>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</si>
  <si>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</si>
  <si>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</si>
  <si>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</si>
  <si>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</si>
  <si>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</si>
  <si>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</si>
  <si>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</si>
  <si>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</si>
  <si>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</si>
  <si>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</si>
  <si>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</si>
  <si>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</si>
  <si>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</si>
  <si>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</si>
  <si>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</si>
  <si>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</si>
  <si>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</si>
  <si>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</si>
  <si>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</si>
  <si>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</si>
  <si>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</si>
  <si>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</si>
  <si>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</si>
  <si>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</si>
  <si>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</si>
  <si>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</si>
  <si>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</si>
  <si>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</si>
  <si>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</si>
  <si>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</si>
  <si>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</si>
  <si>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</si>
  <si>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</si>
  <si>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</si>
  <si>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</si>
  <si>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</si>
  <si>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</si>
  <si>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</si>
  <si>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</si>
  <si>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</si>
  <si>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</si>
  <si>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</si>
  <si>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</si>
  <si>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</si>
  <si>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</si>
  <si>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</si>
  <si>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</si>
  <si>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</si>
  <si>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</si>
  <si>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</si>
  <si>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</si>
  <si>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</si>
  <si>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</si>
  <si>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</si>
  <si>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</si>
  <si>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</si>
  <si>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</si>
  <si>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</si>
  <si>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</si>
  <si>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</si>
  <si>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</si>
  <si>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</si>
  <si>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</si>
  <si>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</si>
  <si>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</si>
  <si>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</si>
  <si>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</si>
  <si>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</si>
  <si>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</si>
  <si>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</si>
  <si>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</si>
  <si>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</si>
  <si>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</si>
  <si>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</si>
  <si>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</si>
  <si>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</si>
  <si>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</si>
  <si>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</si>
  <si>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</si>
  <si>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</si>
  <si>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</si>
  <si>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</si>
  <si>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</si>
  <si>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</si>
  <si>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</si>
  <si>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</si>
  <si>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</si>
  <si>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</si>
  <si>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</si>
  <si>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</si>
  <si>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</si>
  <si>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</si>
  <si>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</si>
  <si>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</si>
  <si>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</si>
  <si>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</si>
  <si>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</si>
  <si>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</si>
  <si>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</si>
  <si>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</si>
  <si>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</si>
  <si>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</si>
  <si>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</si>
  <si>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</si>
  <si>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</si>
  <si>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</si>
  <si>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</si>
  <si>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</si>
  <si>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</si>
  <si>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</si>
  <si>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</si>
  <si>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</si>
  <si>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</si>
  <si>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</si>
  <si>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</si>
  <si>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</si>
  <si>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</si>
  <si>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</si>
  <si>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</si>
  <si>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</si>
  <si>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</si>
  <si>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</si>
  <si>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</si>
  <si>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</si>
  <si>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</si>
  <si>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</si>
  <si>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</si>
  <si>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</si>
  <si>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</si>
  <si>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</si>
  <si>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</si>
  <si>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</si>
  <si>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</si>
  <si>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</si>
  <si>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</si>
  <si>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</si>
  <si>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</si>
  <si>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</si>
  <si>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</si>
  <si>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</si>
  <si>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</si>
  <si>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</si>
  <si>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</si>
  <si>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</si>
  <si>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</si>
  <si>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</si>
  <si>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</si>
  <si>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</si>
  <si>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</si>
  <si>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</si>
  <si>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</si>
  <si>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</si>
  <si>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</si>
  <si>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</si>
  <si>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</si>
  <si>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</si>
  <si>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</si>
  <si>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</si>
  <si>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</si>
  <si>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</si>
  <si>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</si>
  <si>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</si>
  <si>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</si>
  <si>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</si>
  <si>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</si>
  <si>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</si>
  <si>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</si>
  <si>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</si>
  <si>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</si>
  <si>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</si>
  <si>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</si>
  <si>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</si>
  <si>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</si>
  <si>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</si>
  <si>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</si>
  <si>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</si>
  <si>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</si>
  <si>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</si>
  <si>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</si>
  <si>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</si>
  <si>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</si>
  <si>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</si>
  <si>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</si>
  <si>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</si>
  <si>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</si>
  <si>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</si>
  <si>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</si>
  <si>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</si>
  <si>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</si>
  <si>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</si>
  <si>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</si>
  <si>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</si>
  <si>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</si>
  <si>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</si>
  <si>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</si>
  <si>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</si>
  <si>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</si>
  <si>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</si>
  <si>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</si>
  <si>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</si>
  <si>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</si>
  <si>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</si>
  <si>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</si>
  <si>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</si>
  <si>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</si>
  <si>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</si>
  <si>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</si>
  <si>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</si>
  <si>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</si>
  <si>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</si>
  <si>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</si>
  <si>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</si>
  <si>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</si>
  <si>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</si>
  <si>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</si>
  <si>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</si>
  <si>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</si>
  <si>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</si>
  <si>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</si>
  <si>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</si>
  <si>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</si>
  <si>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</si>
  <si>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</si>
  <si>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</si>
  <si>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</si>
  <si>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</si>
  <si>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</si>
  <si>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</si>
  <si>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</si>
  <si>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</si>
  <si>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</si>
  <si>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</si>
  <si>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</si>
  <si>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</si>
  <si>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</si>
  <si>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</si>
  <si>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</si>
  <si>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</si>
  <si>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</si>
  <si>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</si>
  <si>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</si>
  <si>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</si>
  <si>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</si>
  <si>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</si>
  <si>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</si>
  <si>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</si>
  <si>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</si>
  <si>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</si>
  <si>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</si>
  <si>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</si>
  <si>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</si>
  <si>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</si>
  <si>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</si>
  <si>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</si>
  <si>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</si>
  <si>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</si>
  <si>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</si>
  <si>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</si>
  <si>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</si>
  <si>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</si>
  <si>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</si>
  <si>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</si>
  <si>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</si>
  <si>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</si>
  <si>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</si>
  <si>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</si>
  <si>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</si>
  <si>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</si>
  <si>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</si>
  <si>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</si>
  <si>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</si>
  <si>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</si>
  <si>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</si>
  <si>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</si>
  <si>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</si>
  <si>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</si>
  <si>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</si>
  <si>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</si>
  <si>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</si>
  <si>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</si>
  <si>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</si>
  <si>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</si>
  <si>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</si>
  <si>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</si>
  <si>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</si>
  <si>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</si>
  <si>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</si>
  <si>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</si>
  <si>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</si>
  <si>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</si>
  <si>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</si>
  <si>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</si>
  <si>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</si>
  <si>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</si>
  <si>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</si>
  <si>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</si>
  <si>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</si>
  <si>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</si>
  <si>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</si>
  <si>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</si>
  <si>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</si>
  <si>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</si>
  <si>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</si>
  <si>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</si>
  <si>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</si>
  <si>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</si>
  <si>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</si>
  <si>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</si>
  <si>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</si>
  <si>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</si>
  <si>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</si>
  <si>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</si>
  <si>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</si>
  <si>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</si>
  <si>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</si>
  <si>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</si>
  <si>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</si>
  <si>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</si>
  <si>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</si>
  <si>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</si>
  <si>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</si>
  <si>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</si>
  <si>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</si>
  <si>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</si>
  <si>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</si>
  <si>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</si>
  <si>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</si>
  <si>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</si>
  <si>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</si>
  <si>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</si>
  <si>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</si>
  <si>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</si>
  <si>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</si>
  <si>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</si>
  <si>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</si>
  <si>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</si>
  <si>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</si>
  <si>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</si>
  <si>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</si>
  <si>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</si>
  <si>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</si>
  <si>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</si>
  <si>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</si>
  <si>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</si>
  <si>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</si>
  <si>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</si>
  <si>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</si>
  <si>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</si>
  <si>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</si>
  <si>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</si>
  <si>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</si>
  <si>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</si>
  <si>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</si>
  <si>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</si>
  <si>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</si>
  <si>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</si>
  <si>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</si>
  <si>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</si>
  <si>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</si>
  <si>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</si>
  <si>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</si>
  <si>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</si>
  <si>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</si>
  <si>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</si>
  <si>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</si>
  <si>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</si>
  <si>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</si>
  <si>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</si>
  <si>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</si>
  <si>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</si>
  <si>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</si>
  <si>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</si>
  <si>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</si>
  <si>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</si>
  <si>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</si>
  <si>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</si>
  <si>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</si>
  <si>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</si>
  <si>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</si>
  <si>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</si>
  <si>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</si>
  <si>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</si>
  <si>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</si>
  <si>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</si>
  <si>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</si>
  <si>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</si>
  <si>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</si>
  <si>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</si>
  <si>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</si>
  <si>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</si>
  <si>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</si>
  <si>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</si>
  <si>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</si>
  <si>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</si>
  <si>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</si>
  <si>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</si>
  <si>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</si>
  <si>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</si>
  <si>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</si>
  <si>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</si>
  <si>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</si>
  <si>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</si>
  <si>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</si>
  <si>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</si>
  <si>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</si>
  <si>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</si>
  <si>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</si>
  <si>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</si>
  <si>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</si>
  <si>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</si>
  <si>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</si>
  <si>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</si>
  <si>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</si>
  <si>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</si>
  <si>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</si>
  <si>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</si>
  <si>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</si>
  <si>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</si>
  <si>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</si>
  <si>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</si>
  <si>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</si>
  <si>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</si>
  <si>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</si>
  <si>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</si>
  <si>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</si>
  <si>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</si>
  <si>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</si>
  <si>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</si>
  <si>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</si>
  <si>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</si>
  <si>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</si>
  <si>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</si>
  <si>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</si>
  <si>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</si>
  <si>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</si>
  <si>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</si>
  <si>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</si>
  <si>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</si>
  <si>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</si>
  <si>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</si>
  <si>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</si>
  <si>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</si>
  <si>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</si>
  <si>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</si>
  <si>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</si>
  <si>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</si>
  <si>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</si>
  <si>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</si>
  <si>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</si>
  <si>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</si>
  <si>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</si>
  <si>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</si>
  <si>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</si>
  <si>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</si>
  <si>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</si>
  <si>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</si>
  <si>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</si>
  <si>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</si>
  <si>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</si>
  <si>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</si>
  <si>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</si>
  <si>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</si>
  <si>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</si>
  <si>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</si>
  <si>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</si>
  <si>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</si>
  <si>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</si>
  <si>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</si>
  <si>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</si>
  <si>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</si>
  <si>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</si>
  <si>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</si>
  <si>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</si>
  <si>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</si>
  <si>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</si>
  <si>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</si>
  <si>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</si>
  <si>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</si>
  <si>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</si>
  <si>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</si>
  <si>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</si>
  <si>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</si>
  <si>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</si>
  <si>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</si>
  <si>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</si>
  <si>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</si>
  <si>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</si>
  <si>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</si>
  <si>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</si>
  <si>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</si>
  <si>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</si>
  <si>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</si>
  <si>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</si>
  <si>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</si>
  <si>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</si>
  <si>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</si>
  <si>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</si>
  <si>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</si>
  <si>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</si>
  <si>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</si>
  <si>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</si>
  <si>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</si>
  <si>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</si>
  <si>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</si>
  <si>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</si>
  <si>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</si>
  <si>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</si>
  <si>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</si>
  <si>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</si>
  <si>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</si>
  <si>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</si>
  <si>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</si>
  <si>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 Neymar</t>
  </si>
  <si>
    <t>2. Serbia</t>
  </si>
  <si>
    <t>3. Bale</t>
  </si>
  <si>
    <t>5. Neymar</t>
  </si>
  <si>
    <t>6. Holland</t>
  </si>
  <si>
    <t>8. Brasiilia</t>
  </si>
  <si>
    <t>9. Messi</t>
  </si>
  <si>
    <t>10. Ei</t>
  </si>
  <si>
    <t>4. Kaks</t>
  </si>
  <si>
    <t>7. Austraalia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</si>
</sst>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6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16" fontId="0" fillId="12" borderId="0" xfId="0" applyNumberFormat="1" applyFill="1"/>
  </cellXfs>
  <cellStyles count="3">
    <cellStyle name="Hüperlink" xfId="1" builtinId="8"/>
    <cellStyle name="Märkus" xfId="2" builtinId="10"/>
    <cellStyle name="Normaallaad" xfId="0" builtinId="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 /><Relationship Id="rId18" Type="http://schemas.openxmlformats.org/officeDocument/2006/relationships/image" Target="../media/image18.svg" /><Relationship Id="rId26" Type="http://schemas.openxmlformats.org/officeDocument/2006/relationships/image" Target="../media/image26.svg" /><Relationship Id="rId39" Type="http://schemas.openxmlformats.org/officeDocument/2006/relationships/image" Target="../media/image39.png" /><Relationship Id="rId21" Type="http://schemas.openxmlformats.org/officeDocument/2006/relationships/image" Target="../media/image21.png" /><Relationship Id="rId34" Type="http://schemas.openxmlformats.org/officeDocument/2006/relationships/image" Target="../media/image34.svg" /><Relationship Id="rId42" Type="http://schemas.openxmlformats.org/officeDocument/2006/relationships/image" Target="../media/image42.svg" /><Relationship Id="rId47" Type="http://schemas.openxmlformats.org/officeDocument/2006/relationships/image" Target="../media/image47.png" /><Relationship Id="rId50" Type="http://schemas.openxmlformats.org/officeDocument/2006/relationships/image" Target="../media/image50.svg" /><Relationship Id="rId55" Type="http://schemas.openxmlformats.org/officeDocument/2006/relationships/image" Target="../media/image55.png" /><Relationship Id="rId63" Type="http://schemas.openxmlformats.org/officeDocument/2006/relationships/image" Target="../media/image63.png" /><Relationship Id="rId7" Type="http://schemas.openxmlformats.org/officeDocument/2006/relationships/image" Target="../media/image7.png" /><Relationship Id="rId2" Type="http://schemas.openxmlformats.org/officeDocument/2006/relationships/image" Target="../media/image2.svg" /><Relationship Id="rId16" Type="http://schemas.openxmlformats.org/officeDocument/2006/relationships/image" Target="../media/image16.svg" /><Relationship Id="rId20" Type="http://schemas.openxmlformats.org/officeDocument/2006/relationships/image" Target="../media/image20.svg" /><Relationship Id="rId29" Type="http://schemas.openxmlformats.org/officeDocument/2006/relationships/image" Target="../media/image29.png" /><Relationship Id="rId41" Type="http://schemas.openxmlformats.org/officeDocument/2006/relationships/image" Target="../media/image41.png" /><Relationship Id="rId54" Type="http://schemas.openxmlformats.org/officeDocument/2006/relationships/image" Target="../media/image54.svg" /><Relationship Id="rId62" Type="http://schemas.openxmlformats.org/officeDocument/2006/relationships/image" Target="../media/image62.svg" /><Relationship Id="rId1" Type="http://schemas.openxmlformats.org/officeDocument/2006/relationships/image" Target="../media/image1.png" /><Relationship Id="rId6" Type="http://schemas.openxmlformats.org/officeDocument/2006/relationships/image" Target="../media/image6.svg" /><Relationship Id="rId11" Type="http://schemas.openxmlformats.org/officeDocument/2006/relationships/image" Target="../media/image11.png" /><Relationship Id="rId24" Type="http://schemas.openxmlformats.org/officeDocument/2006/relationships/image" Target="../media/image24.svg" /><Relationship Id="rId32" Type="http://schemas.openxmlformats.org/officeDocument/2006/relationships/image" Target="../media/image32.svg" /><Relationship Id="rId37" Type="http://schemas.openxmlformats.org/officeDocument/2006/relationships/image" Target="../media/image37.png" /><Relationship Id="rId40" Type="http://schemas.openxmlformats.org/officeDocument/2006/relationships/image" Target="../media/image40.svg" /><Relationship Id="rId45" Type="http://schemas.openxmlformats.org/officeDocument/2006/relationships/image" Target="../media/image45.png" /><Relationship Id="rId53" Type="http://schemas.openxmlformats.org/officeDocument/2006/relationships/image" Target="../media/image53.png" /><Relationship Id="rId58" Type="http://schemas.openxmlformats.org/officeDocument/2006/relationships/image" Target="../media/image58.svg" /><Relationship Id="rId5" Type="http://schemas.openxmlformats.org/officeDocument/2006/relationships/image" Target="../media/image5.png" /><Relationship Id="rId15" Type="http://schemas.openxmlformats.org/officeDocument/2006/relationships/image" Target="../media/image15.png" /><Relationship Id="rId23" Type="http://schemas.openxmlformats.org/officeDocument/2006/relationships/image" Target="../media/image23.png" /><Relationship Id="rId28" Type="http://schemas.openxmlformats.org/officeDocument/2006/relationships/image" Target="../media/image28.svg" /><Relationship Id="rId36" Type="http://schemas.openxmlformats.org/officeDocument/2006/relationships/image" Target="../media/image36.svg" /><Relationship Id="rId49" Type="http://schemas.openxmlformats.org/officeDocument/2006/relationships/image" Target="../media/image49.png" /><Relationship Id="rId57" Type="http://schemas.openxmlformats.org/officeDocument/2006/relationships/image" Target="../media/image57.png" /><Relationship Id="rId61" Type="http://schemas.openxmlformats.org/officeDocument/2006/relationships/image" Target="../media/image61.png" /><Relationship Id="rId10" Type="http://schemas.openxmlformats.org/officeDocument/2006/relationships/image" Target="../media/image10.svg" /><Relationship Id="rId19" Type="http://schemas.openxmlformats.org/officeDocument/2006/relationships/image" Target="../media/image19.png" /><Relationship Id="rId31" Type="http://schemas.openxmlformats.org/officeDocument/2006/relationships/image" Target="../media/image31.png" /><Relationship Id="rId44" Type="http://schemas.openxmlformats.org/officeDocument/2006/relationships/image" Target="../media/image44.svg" /><Relationship Id="rId52" Type="http://schemas.openxmlformats.org/officeDocument/2006/relationships/image" Target="../media/image52.svg" /><Relationship Id="rId60" Type="http://schemas.openxmlformats.org/officeDocument/2006/relationships/image" Target="../media/image60.svg" /><Relationship Id="rId4" Type="http://schemas.openxmlformats.org/officeDocument/2006/relationships/image" Target="../media/image4.svg" /><Relationship Id="rId9" Type="http://schemas.openxmlformats.org/officeDocument/2006/relationships/image" Target="../media/image9.png" /><Relationship Id="rId14" Type="http://schemas.openxmlformats.org/officeDocument/2006/relationships/image" Target="../media/image14.svg" /><Relationship Id="rId22" Type="http://schemas.openxmlformats.org/officeDocument/2006/relationships/image" Target="../media/image22.svg" /><Relationship Id="rId27" Type="http://schemas.openxmlformats.org/officeDocument/2006/relationships/image" Target="../media/image27.png" /><Relationship Id="rId30" Type="http://schemas.openxmlformats.org/officeDocument/2006/relationships/image" Target="../media/image30.svg" /><Relationship Id="rId35" Type="http://schemas.openxmlformats.org/officeDocument/2006/relationships/image" Target="../media/image35.png" /><Relationship Id="rId43" Type="http://schemas.openxmlformats.org/officeDocument/2006/relationships/image" Target="../media/image43.png" /><Relationship Id="rId48" Type="http://schemas.openxmlformats.org/officeDocument/2006/relationships/image" Target="../media/image48.svg" /><Relationship Id="rId56" Type="http://schemas.openxmlformats.org/officeDocument/2006/relationships/image" Target="../media/image56.svg" /><Relationship Id="rId64" Type="http://schemas.openxmlformats.org/officeDocument/2006/relationships/image" Target="../media/image64.svg" /><Relationship Id="rId8" Type="http://schemas.openxmlformats.org/officeDocument/2006/relationships/image" Target="../media/image8.svg" /><Relationship Id="rId51" Type="http://schemas.openxmlformats.org/officeDocument/2006/relationships/image" Target="../media/image51.png" /><Relationship Id="rId3" Type="http://schemas.openxmlformats.org/officeDocument/2006/relationships/image" Target="../media/image3.png" /><Relationship Id="rId12" Type="http://schemas.openxmlformats.org/officeDocument/2006/relationships/image" Target="../media/image12.svg" /><Relationship Id="rId17" Type="http://schemas.openxmlformats.org/officeDocument/2006/relationships/image" Target="../media/image17.png" /><Relationship Id="rId25" Type="http://schemas.openxmlformats.org/officeDocument/2006/relationships/image" Target="../media/image25.png" /><Relationship Id="rId33" Type="http://schemas.openxmlformats.org/officeDocument/2006/relationships/image" Target="../media/image33.png" /><Relationship Id="rId38" Type="http://schemas.openxmlformats.org/officeDocument/2006/relationships/image" Target="../media/image38.svg" /><Relationship Id="rId46" Type="http://schemas.openxmlformats.org/officeDocument/2006/relationships/image" Target="../media/image46.svg" /><Relationship Id="rId59" Type="http://schemas.openxmlformats.org/officeDocument/2006/relationships/image" Target="../media/image5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 /><Relationship Id="rId7" Type="http://schemas.openxmlformats.org/officeDocument/2006/relationships/image" Target="../media/image1.jpeg" /><Relationship Id="rId2" Type="http://schemas.openxmlformats.org/officeDocument/2006/relationships/hyperlink" Target="http://www.excely.com/football/2022-fifa-world-cup-schedule.shtml" TargetMode="External" /><Relationship Id="rId1" Type="http://schemas.openxmlformats.org/officeDocument/2006/relationships/hyperlink" Target="http://www.excely.com/ice-hockey/world-cup-2009-schedule/" TargetMode="External" /><Relationship Id="rId6" Type="http://schemas.openxmlformats.org/officeDocument/2006/relationships/drawing" Target="../drawings/drawing1.xml" /><Relationship Id="rId5" Type="http://schemas.openxmlformats.org/officeDocument/2006/relationships/printerSettings" Target="../printerSettings/printerSettings3.bin" /><Relationship Id="rId4" Type="http://schemas.openxmlformats.org/officeDocument/2006/relationships/hyperlink" Target="http://www.wallchart.io/football/world-cup-2022.html" TargetMode="Externa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bottomLeft" activeCell="A2" sqref="A2"/>
      <selection pane="topRight" activeCell="B1" sqref="B1"/>
      <selection pane="bottomRight"/>
    </sheetView>
  </sheetViews>
  <sheetFormatPr defaultColWidth="13.98828125" defaultRowHeight="15" x14ac:dyDescent="0.2"/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2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2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2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2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2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2">
      <c r="A103" s="1"/>
    </row>
    <row r="104" spans="1:42" x14ac:dyDescent="0.2">
      <c r="A104" s="1"/>
    </row>
    <row r="105" spans="1:42" x14ac:dyDescent="0.2">
      <c r="A105" s="1"/>
    </row>
    <row r="106" spans="1:42" x14ac:dyDescent="0.2">
      <c r="A106" s="1"/>
    </row>
    <row r="107" spans="1:42" x14ac:dyDescent="0.2">
      <c r="A107" s="1"/>
    </row>
    <row r="108" spans="1:42" x14ac:dyDescent="0.2">
      <c r="A108" s="1"/>
    </row>
    <row r="109" spans="1:42" x14ac:dyDescent="0.2">
      <c r="A109" s="1"/>
    </row>
    <row r="110" spans="1:42" x14ac:dyDescent="0.2">
      <c r="A110" s="1"/>
    </row>
    <row r="111" spans="1:42" x14ac:dyDescent="0.2">
      <c r="A111" s="1"/>
    </row>
    <row r="112" spans="1:42" x14ac:dyDescent="0.2">
      <c r="A112" s="1"/>
    </row>
    <row r="113" spans="1:42" x14ac:dyDescent="0.2">
      <c r="A113" s="1"/>
    </row>
    <row r="114" spans="1:42" x14ac:dyDescent="0.2">
      <c r="A114" s="1"/>
    </row>
    <row r="115" spans="1:42" x14ac:dyDescent="0.2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14453125" defaultRowHeight="15" x14ac:dyDescent="0.2"/>
  <cols>
    <col min="1" max="1" width="1.20703125" style="10" customWidth="1"/>
    <col min="2" max="2" width="18.83203125" style="10" bestFit="1" customWidth="1"/>
    <col min="3" max="3" width="20.3125" style="10" customWidth="1"/>
    <col min="4" max="4" width="9.14453125" style="10"/>
    <col min="5" max="5" width="1.20703125" style="10" customWidth="1"/>
    <col min="6" max="6" width="9.14453125" style="10"/>
    <col min="7" max="7" width="27.57421875" style="10" bestFit="1" customWidth="1"/>
    <col min="8" max="8" width="2.6875" style="10" customWidth="1"/>
    <col min="9" max="9" width="1.20703125" style="10" customWidth="1"/>
    <col min="10" max="16384" width="9.14453125" style="10"/>
  </cols>
  <sheetData>
    <row r="1" spans="2:12" ht="7.5" customHeight="1" x14ac:dyDescent="0.2"/>
    <row r="2" spans="2:12" ht="15.75" thickBot="1" x14ac:dyDescent="0.25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">
      <c r="B3" s="64"/>
      <c r="C3" s="65"/>
      <c r="D3" s="66"/>
      <c r="F3" s="64"/>
      <c r="G3" s="65"/>
      <c r="H3" s="66"/>
    </row>
    <row r="4" spans="2:12" x14ac:dyDescent="0.2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">
      <c r="B11" s="64"/>
      <c r="C11" s="65"/>
      <c r="D11" s="66"/>
      <c r="F11" s="73"/>
      <c r="G11" s="74"/>
      <c r="H11" s="75"/>
    </row>
    <row r="12" spans="2:12" x14ac:dyDescent="0.2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">
      <c r="F14" s="83"/>
      <c r="G14" s="83"/>
      <c r="H14" s="83"/>
      <c r="I14" s="83"/>
      <c r="J14" s="83"/>
      <c r="K14" s="99"/>
      <c r="L14" s="99"/>
    </row>
    <row r="15" spans="2:12" ht="9" customHeight="1" x14ac:dyDescent="0.2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5.75" thickBot="1" x14ac:dyDescent="0.25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2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2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2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2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opLeftCell="K29" zoomScaleNormal="100" workbookViewId="0">
      <selection activeCell="BV26" sqref="BV26"/>
    </sheetView>
  </sheetViews>
  <sheetFormatPr defaultColWidth="9.14453125" defaultRowHeight="15" x14ac:dyDescent="0.2"/>
  <cols>
    <col min="1" max="1" width="4.83984375" style="3" customWidth="1"/>
    <col min="2" max="2" width="6.1875" style="3" customWidth="1"/>
    <col min="3" max="3" width="11.703125" style="3" bestFit="1" customWidth="1"/>
    <col min="4" max="4" width="7.26171875" style="4" customWidth="1"/>
    <col min="5" max="5" width="22.59765625" style="5" customWidth="1"/>
    <col min="6" max="7" width="4.3046875" style="6" customWidth="1"/>
    <col min="8" max="8" width="22.59765625" style="7" customWidth="1"/>
    <col min="9" max="9" width="3.49609375" style="2" customWidth="1"/>
    <col min="10" max="10" width="13.98828125" style="8" customWidth="1"/>
    <col min="11" max="14" width="5.51171875" style="9" customWidth="1"/>
    <col min="15" max="15" width="7.6640625" style="9" customWidth="1"/>
    <col min="16" max="16" width="6.72265625" style="9" customWidth="1"/>
    <col min="17" max="17" width="3.49609375" style="98" customWidth="1"/>
    <col min="18" max="18" width="15.46875" style="47" hidden="1" customWidth="1"/>
    <col min="19" max="20" width="16.0078125" style="88" hidden="1" customWidth="1"/>
    <col min="21" max="21" width="4.9765625" style="48" hidden="1" customWidth="1"/>
    <col min="22" max="25" width="6.1875" style="47" hidden="1" customWidth="1"/>
    <col min="26" max="26" width="4.3046875" style="48" hidden="1" customWidth="1"/>
    <col min="27" max="27" width="5.51171875" style="47" hidden="1" customWidth="1"/>
    <col min="28" max="28" width="13.44921875" style="48" hidden="1" customWidth="1"/>
    <col min="29" max="33" width="5.51171875" style="47" hidden="1" customWidth="1"/>
    <col min="34" max="36" width="6.05078125" style="47" hidden="1" customWidth="1"/>
    <col min="37" max="37" width="5.51171875" style="47" hidden="1" customWidth="1"/>
    <col min="38" max="38" width="6.05078125" style="47" hidden="1" customWidth="1"/>
    <col min="39" max="39" width="7.12890625" style="48" hidden="1" customWidth="1"/>
    <col min="40" max="40" width="9.953125" style="48" hidden="1" customWidth="1"/>
    <col min="41" max="41" width="15.33203125" style="48" hidden="1" customWidth="1"/>
    <col min="42" max="46" width="4.70703125" style="47" hidden="1" customWidth="1"/>
    <col min="47" max="49" width="9.14453125" style="48" hidden="1" customWidth="1"/>
    <col min="50" max="50" width="9.14453125" style="49" hidden="1" customWidth="1"/>
    <col min="51" max="51" width="3.2265625" style="2" customWidth="1"/>
    <col min="52" max="52" width="19.7734375" style="2" customWidth="1"/>
    <col min="53" max="55" width="2.95703125" style="2" customWidth="1"/>
    <col min="56" max="57" width="2.015625" style="2" customWidth="1"/>
    <col min="58" max="58" width="3.2265625" style="2" customWidth="1"/>
    <col min="59" max="59" width="19.7734375" style="2" customWidth="1"/>
    <col min="60" max="62" width="2.95703125" style="2" customWidth="1"/>
    <col min="63" max="64" width="2.015625" style="2" customWidth="1"/>
    <col min="65" max="65" width="3.2265625" style="2" customWidth="1"/>
    <col min="66" max="66" width="19.7734375" style="2" customWidth="1"/>
    <col min="67" max="69" width="2.95703125" style="2" customWidth="1"/>
    <col min="70" max="71" width="2.015625" style="2" customWidth="1"/>
    <col min="72" max="72" width="3.2265625" style="2" customWidth="1"/>
    <col min="73" max="73" width="19.7734375" style="2" customWidth="1"/>
    <col min="74" max="76" width="2.95703125" style="2" customWidth="1"/>
    <col min="77" max="16384" width="9.14453125" style="2"/>
  </cols>
  <sheetData>
    <row r="1" spans="1:76" ht="46.5" x14ac:dyDescent="0.2">
      <c r="A1" s="131" t="str">
        <f>INDEX(T,2,lang)</f>
        <v>2022 World Cup Final Tournament Schedule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32" t="str">
        <f>"Language: " &amp; Settings!C4</f>
        <v>Language: English</v>
      </c>
      <c r="P3" s="132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"/>
    <row r="5" spans="1:76" ht="15" customHeight="1" x14ac:dyDescent="0.2">
      <c r="A5" s="133" t="str">
        <f>INDEX(T,3,lang)</f>
        <v>Group Stage</v>
      </c>
      <c r="B5" s="134"/>
      <c r="C5" s="134"/>
      <c r="D5" s="134"/>
      <c r="E5" s="134"/>
      <c r="F5" s="134"/>
      <c r="G5" s="134"/>
      <c r="H5" s="135"/>
      <c r="J5" s="139" t="s">
        <v>2006</v>
      </c>
      <c r="K5" s="140"/>
      <c r="L5" s="140"/>
      <c r="M5" s="140"/>
      <c r="N5" s="140"/>
      <c r="O5" s="140"/>
      <c r="P5" s="141"/>
    </row>
    <row r="6" spans="1:76" ht="15" customHeight="1" x14ac:dyDescent="0.2">
      <c r="A6" s="136"/>
      <c r="B6" s="137"/>
      <c r="C6" s="137"/>
      <c r="D6" s="137"/>
      <c r="E6" s="137"/>
      <c r="F6" s="137"/>
      <c r="G6" s="137"/>
      <c r="H6" s="138"/>
      <c r="J6" s="142"/>
      <c r="K6" s="143"/>
      <c r="L6" s="143"/>
      <c r="M6" s="143"/>
      <c r="N6" s="143"/>
      <c r="O6" s="143"/>
      <c r="P6" s="144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25" t="str">
        <f>INDEX(T,4,lang)</f>
        <v>Round of 16</v>
      </c>
      <c r="AZ6" s="126"/>
      <c r="BA6" s="126"/>
      <c r="BB6" s="126"/>
      <c r="BC6" s="127"/>
      <c r="BF6" s="125" t="str">
        <f>INDEX(T,5,lang)</f>
        <v>Quarterfinals</v>
      </c>
      <c r="BG6" s="126"/>
      <c r="BH6" s="126"/>
      <c r="BI6" s="126"/>
      <c r="BJ6" s="127"/>
      <c r="BM6" s="125" t="str">
        <f>INDEX(T,6,lang)</f>
        <v>Semi-Finals</v>
      </c>
      <c r="BN6" s="126"/>
      <c r="BO6" s="126"/>
      <c r="BP6" s="126"/>
      <c r="BQ6" s="127"/>
      <c r="BT6" s="125" t="str">
        <f>INDEX(T,8,lang)</f>
        <v>Final</v>
      </c>
      <c r="BU6" s="126"/>
      <c r="BV6" s="126"/>
      <c r="BW6" s="126"/>
      <c r="BX6" s="127"/>
    </row>
    <row r="7" spans="1:76" ht="15" customHeight="1" x14ac:dyDescent="0.2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0</v>
      </c>
      <c r="G7" s="16">
        <v>0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Qatar_draw</v>
      </c>
      <c r="T7" s="88" t="str">
        <f t="shared" ref="T7:T54" si="4">IF(S7="","",IF(F7&lt;G7,H7&amp;"_win",IF(F7&gt;G7,H7&amp;"_lose",H7&amp;"_draw")))</f>
        <v>Ecuador_draw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0</v>
      </c>
      <c r="AY7" s="128"/>
      <c r="AZ7" s="129"/>
      <c r="BA7" s="129"/>
      <c r="BB7" s="129"/>
      <c r="BC7" s="130"/>
      <c r="BF7" s="128"/>
      <c r="BG7" s="129"/>
      <c r="BH7" s="129"/>
      <c r="BI7" s="129"/>
      <c r="BJ7" s="130"/>
      <c r="BM7" s="128"/>
      <c r="BN7" s="129"/>
      <c r="BO7" s="129"/>
      <c r="BP7" s="129"/>
      <c r="BQ7" s="130"/>
      <c r="BT7" s="128"/>
      <c r="BU7" s="129"/>
      <c r="BV7" s="129"/>
      <c r="BW7" s="129"/>
      <c r="BX7" s="130"/>
    </row>
    <row r="8" spans="1:76" ht="15" customHeight="1" x14ac:dyDescent="0.2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0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4</v>
      </c>
      <c r="AB8" s="48" t="str">
        <f>VLOOKUP("Senegal",T,lang,FALSE)</f>
        <v>Senegal</v>
      </c>
      <c r="AC8" s="47">
        <f>COUNTIF($S$7:$T$54,"=" &amp; AB8 &amp; "_win")</f>
        <v>0</v>
      </c>
      <c r="AD8" s="47">
        <f>COUNTIF($S$7:$T$54,"=" &amp; AB8 &amp; "_draw")</f>
        <v>1</v>
      </c>
      <c r="AE8" s="47">
        <f>COUNTIF($S$7:$T$54,"=" &amp; AB8 &amp; "_lose")</f>
        <v>2</v>
      </c>
      <c r="AF8" s="47">
        <f>SUMIF($E$7:$E$54,$AB8,$F$7:$F$54) + SUMIF($H$7:$H$54,$AB8,$G$7:$G$54)</f>
        <v>1</v>
      </c>
      <c r="AG8" s="47">
        <f>SUMIF($E$7:$E$54,$AB8,$G$7:$G$54) + SUMIF($H$7:$H$54,$AB8,$F$7:$F$54)</f>
        <v>4</v>
      </c>
      <c r="AH8" s="47">
        <f>(AF8-AG8)*100+AK8*10000+AF8</f>
        <v>9701</v>
      </c>
      <c r="AI8" s="47">
        <f>AF8-AG8</f>
        <v>-3</v>
      </c>
      <c r="AJ8" s="47">
        <f>(AI8-AI13)/AI12</f>
        <v>0.11764705882352941</v>
      </c>
      <c r="AK8" s="47">
        <f>AC8*3+AD8</f>
        <v>1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123.78569998255496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1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11 - 0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3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2</v>
      </c>
      <c r="AE9" s="47">
        <f>COUNTIF($S$7:$T$54,"=" &amp; AB9 &amp; "_lose")</f>
        <v>1</v>
      </c>
      <c r="AF9" s="47">
        <f>SUMIF($E$7:$E$54,$AB9,$F$7:$F$54) + SUMIF($H$7:$H$54,$AB9,$G$7:$G$54)</f>
        <v>1</v>
      </c>
      <c r="AG9" s="47">
        <f>SUMIF($E$7:$E$54,$AB9,$G$7:$G$54) + SUMIF($H$7:$H$54,$AB9,$F$7:$F$54)</f>
        <v>6</v>
      </c>
      <c r="AH9" s="47">
        <f>(AF9-AG9)*100+AK9*10000+AF9</f>
        <v>19501</v>
      </c>
      <c r="AI9" s="47">
        <f>AF9-AG9</f>
        <v>-5</v>
      </c>
      <c r="AJ9" s="47">
        <f>(AI9-AI13)/AI12</f>
        <v>0</v>
      </c>
      <c r="AK9" s="47">
        <f>AC9*3+AD9</f>
        <v>2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223.13203363131313</v>
      </c>
      <c r="AO9" s="48" t="str">
        <f>IF(SUM(AC8:AE11)=12,J10,INDEX(T,71,lang))</f>
        <v>Ecuador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0</v>
      </c>
      <c r="H10" s="90" t="str">
        <f>AB17</f>
        <v>Wales</v>
      </c>
      <c r="J10" s="53" t="str">
        <f>VLOOKUP(2,AA8:AK11,2,FALSE)</f>
        <v>Ecuador</v>
      </c>
      <c r="K10" s="25">
        <f>L10+M10+N10</f>
        <v>3</v>
      </c>
      <c r="L10" s="25">
        <f>VLOOKUP(2,AA8:AK11,3,FALSE)</f>
        <v>1</v>
      </c>
      <c r="M10" s="25">
        <f>VLOOKUP(2,AA8:AK11,4,FALSE)</f>
        <v>1</v>
      </c>
      <c r="N10" s="25">
        <f>VLOOKUP(2,AA8:AK11,5,FALSE)</f>
        <v>1</v>
      </c>
      <c r="O10" s="25" t="str">
        <f>VLOOKUP(2,AA8:AK11,6,FALSE) &amp; " - " &amp; VLOOKUP(2,AA8:AK11,7,FALSE)</f>
        <v>1 - 4</v>
      </c>
      <c r="P10" s="54">
        <f>L10*3+M10</f>
        <v>4</v>
      </c>
      <c r="R10" s="47">
        <f>DATE(2022,11,21)+TIME(8,0,0)+gmt_delta</f>
        <v>44886.916666666672</v>
      </c>
      <c r="S10" s="88" t="str">
        <f t="shared" si="3"/>
        <v>United States_win</v>
      </c>
      <c r="T10" s="88" t="str">
        <f t="shared" si="4"/>
        <v>Wales_lose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1</v>
      </c>
      <c r="AA10" s="47">
        <f>COUNTIF(AN8:AN11,CONCATENATE("&gt;=",AN10))</f>
        <v>2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1</v>
      </c>
      <c r="AE10" s="47">
        <f>COUNTIF($S$7:$T$54,"=" &amp; AB10 &amp; "_lose")</f>
        <v>1</v>
      </c>
      <c r="AF10" s="47">
        <f>SUMIF($E$7:$E$54,$AB10,$F$7:$F$54) + SUMIF($H$7:$H$54,$AB10,$G$7:$G$54)</f>
        <v>1</v>
      </c>
      <c r="AG10" s="47">
        <f>SUMIF($E$7:$E$54,$AB10,$G$7:$G$54) + SUMIF($H$7:$H$54,$AB10,$F$7:$F$54)</f>
        <v>4</v>
      </c>
      <c r="AH10" s="47">
        <f>(AF10-AG10)*100+AK10*10000+AF10</f>
        <v>39701</v>
      </c>
      <c r="AI10" s="47">
        <f>AF10-AG10</f>
        <v>-3</v>
      </c>
      <c r="AJ10" s="47">
        <f>(AI10-AI13)/AI12</f>
        <v>0.11764705882352941</v>
      </c>
      <c r="AK10" s="47">
        <f>AC10*3+AD10</f>
        <v>4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457.1189677358883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13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3</v>
      </c>
      <c r="G11" s="22">
        <v>0</v>
      </c>
      <c r="H11" s="90" t="str">
        <f>AB21</f>
        <v>Saudi Arabia</v>
      </c>
      <c r="J11" s="53" t="str">
        <f>VLOOKUP(3,AA8:AK11,2,FALSE)</f>
        <v>Qatar</v>
      </c>
      <c r="K11" s="25">
        <f>L11+M11+N11</f>
        <v>3</v>
      </c>
      <c r="L11" s="25">
        <f>VLOOKUP(3,AA8:AK11,3,FALSE)</f>
        <v>0</v>
      </c>
      <c r="M11" s="25">
        <f>VLOOKUP(3,AA8:AK11,4,FALSE)</f>
        <v>2</v>
      </c>
      <c r="N11" s="25">
        <f>VLOOKUP(3,AA8:AK11,5,FALSE)</f>
        <v>1</v>
      </c>
      <c r="O11" s="25" t="str">
        <f>VLOOKUP(3,AA8:AK11,6,FALSE) &amp; " - " &amp; VLOOKUP(3,AA8:AK11,7,FALSE)</f>
        <v>1 - 6</v>
      </c>
      <c r="P11" s="54">
        <f>L11*3+M11</f>
        <v>2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11</v>
      </c>
      <c r="AG11" s="47">
        <f>SUMIF($E$7:$E$54,$AB11,$G$7:$G$54) + SUMIF($H$7:$H$54,$AB11,$F$7:$F$54)</f>
        <v>0</v>
      </c>
      <c r="AH11" s="47">
        <f>(AF11-AG11)*100+AK11*10000+AF11</f>
        <v>91111</v>
      </c>
      <c r="AI11" s="47">
        <f>AF11-AG11</f>
        <v>11</v>
      </c>
      <c r="AJ11" s="47">
        <f>(AI11-AI13)/AI12</f>
        <v>0.94117647058823528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1104.1184763888234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14"/>
      <c r="AZ11" s="28" t="str">
        <f>AO15</f>
        <v>England</v>
      </c>
      <c r="BA11" s="85">
        <v>0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1</v>
      </c>
      <c r="G12" s="22">
        <v>0</v>
      </c>
      <c r="H12" s="90" t="str">
        <f>AB29</f>
        <v>Tunisia</v>
      </c>
      <c r="J12" s="55" t="str">
        <f>VLOOKUP(4,AA8:AK11,2,FALSE)</f>
        <v>Senegal</v>
      </c>
      <c r="K12" s="56">
        <f>L12+M12+N12</f>
        <v>3</v>
      </c>
      <c r="L12" s="56">
        <f>VLOOKUP(4,AA8:AK11,3,FALSE)</f>
        <v>0</v>
      </c>
      <c r="M12" s="56">
        <f>VLOOKUP(4,AA8:AK11,4,FALSE)</f>
        <v>1</v>
      </c>
      <c r="N12" s="56">
        <f>VLOOKUP(4,AA8:AK11,5,FALSE)</f>
        <v>2</v>
      </c>
      <c r="O12" s="56" t="str">
        <f>VLOOKUP(4,AA8:AK11,6,FALSE) &amp; " - " &amp; VLOOKUP(4,AA8:AK11,7,FALSE)</f>
        <v>1 - 4</v>
      </c>
      <c r="P12" s="57">
        <f>L12*3+M12</f>
        <v>1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3</v>
      </c>
      <c r="AE12" s="47">
        <f t="shared" si="10"/>
        <v>3</v>
      </c>
      <c r="AF12" s="47">
        <f t="shared" si="10"/>
        <v>11</v>
      </c>
      <c r="AG12" s="47">
        <f t="shared" si="10"/>
        <v>7</v>
      </c>
      <c r="AH12" s="47">
        <f>MAX(AH8:AH11)-AH13+1</f>
        <v>81411</v>
      </c>
      <c r="AI12" s="47">
        <f>MAX(AI8:AI11)-AI13+1</f>
        <v>17</v>
      </c>
      <c r="AK12" s="47">
        <f t="shared" si="10"/>
        <v>9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13">
        <v>57</v>
      </c>
      <c r="BG12" s="26" t="str">
        <f>T58</f>
        <v>Netherlands</v>
      </c>
      <c r="BH12" s="84">
        <v>1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3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Mexico_win</v>
      </c>
      <c r="T13" s="88" t="str">
        <f t="shared" si="4"/>
        <v>Poland_lose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1</v>
      </c>
      <c r="AH13" s="47">
        <f>MIN(AH8:AH11)</f>
        <v>9701</v>
      </c>
      <c r="AI13" s="47">
        <f>MIN(AI8:AI11)</f>
        <v>-5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14"/>
      <c r="BG13" s="28" t="str">
        <f>T59</f>
        <v>Argentina</v>
      </c>
      <c r="BH13" s="85">
        <v>2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3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2</v>
      </c>
      <c r="AB14" s="48" t="str">
        <f>VLOOKUP("England",T,lang,FALSE)</f>
        <v>England</v>
      </c>
      <c r="AC14" s="47">
        <f>COUNTIF($S$7:$T$54,"=" &amp; AB14 &amp; "_win")</f>
        <v>1</v>
      </c>
      <c r="AD14" s="47">
        <f>COUNTIF($S$7:$T$54,"=" &amp; AB14 &amp; "_draw")</f>
        <v>1</v>
      </c>
      <c r="AE14" s="47">
        <f>COUNTIF($S$7:$T$54,"=" &amp; AB14 &amp; "_lose")</f>
        <v>1</v>
      </c>
      <c r="AF14" s="47">
        <f>SUMIF($E$7:$E$54,$AB14,$F$7:$F$54) + SUMIF($H$7:$H$54,$AB14,$G$7:$G$54)</f>
        <v>2</v>
      </c>
      <c r="AG14" s="47">
        <f>SUMIF($E$7:$E$54,$AB14,$G$7:$G$54) + SUMIF($H$7:$H$54,$AB14,$F$7:$F$54)</f>
        <v>2</v>
      </c>
      <c r="AH14" s="47">
        <f>(AF14-AG14)*100+AK14*10000+AF14</f>
        <v>40002</v>
      </c>
      <c r="AI14" s="47">
        <f>AF14-AG14</f>
        <v>0</v>
      </c>
      <c r="AJ14" s="47">
        <f>(AI14-AI19)/AI18</f>
        <v>0.33333333333333331</v>
      </c>
      <c r="AK14" s="47">
        <f>AC14*3+AD14</f>
        <v>4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481.77865877777776</v>
      </c>
      <c r="AO14" s="48" t="str">
        <f>IF(SUM(AC14:AE17)=12,J15,INDEX(T,72,lang))</f>
        <v>United States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13">
        <v>50</v>
      </c>
      <c r="AZ14" s="26" t="str">
        <f>AO20</f>
        <v>Argentina</v>
      </c>
      <c r="BA14" s="84">
        <v>1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1</v>
      </c>
      <c r="G15" s="22">
        <v>1</v>
      </c>
      <c r="H15" s="90" t="str">
        <f>AB41</f>
        <v>Croatia</v>
      </c>
      <c r="J15" s="50" t="str">
        <f>VLOOKUP(1,AA14:AK17,2,FALSE)</f>
        <v>United States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5 - 2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Morocco_draw</v>
      </c>
      <c r="T15" s="88" t="str">
        <f t="shared" si="4"/>
        <v>Croatia_draw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0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1</v>
      </c>
      <c r="AE15" s="47">
        <f>COUNTIF($S$7:$T$54,"=" &amp; AB15 &amp; "_lose")</f>
        <v>2</v>
      </c>
      <c r="AF15" s="47">
        <f>SUMIF($E$7:$E$54,$AB15,$F$7:$F$54) + SUMIF($H$7:$H$54,$AB15,$G$7:$G$54)</f>
        <v>2</v>
      </c>
      <c r="AG15" s="47">
        <f>SUMIF($E$7:$E$54,$AB15,$G$7:$G$54) + SUMIF($H$7:$H$54,$AB15,$F$7:$F$54)</f>
        <v>4</v>
      </c>
      <c r="AH15" s="47">
        <f>(AF15-AG15)*100+AK15*10000+AF15</f>
        <v>9802</v>
      </c>
      <c r="AI15" s="47">
        <f>AF15-AG15</f>
        <v>-2</v>
      </c>
      <c r="AJ15" s="47">
        <f>(AI15-AI19)/AI18</f>
        <v>0</v>
      </c>
      <c r="AK15" s="47">
        <f>AC15*3+AD15</f>
        <v>1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115.11189311111112</v>
      </c>
      <c r="AO15" s="48" t="str">
        <f>IF(SUM(AC14:AE17)=12,J16,INDEX(T,73,lang))</f>
        <v>England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14"/>
      <c r="AZ15" s="28" t="str">
        <f>AO27</f>
        <v>Denmark</v>
      </c>
      <c r="BA15" s="85">
        <v>0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3</v>
      </c>
      <c r="G16" s="22">
        <v>0</v>
      </c>
      <c r="H16" s="90" t="str">
        <f>AB35</f>
        <v>Japan</v>
      </c>
      <c r="J16" s="53" t="str">
        <f>VLOOKUP(2,AA14:AK17,2,FALSE)</f>
        <v>England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2 - 2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1</v>
      </c>
      <c r="AB16" s="48" t="str">
        <f>VLOOKUP("United States",T,lang,FALSE)</f>
        <v>United States</v>
      </c>
      <c r="AC16" s="47">
        <f>COUNTIF($S$7:$T$54,"=" &amp; AB16 &amp; "_win")</f>
        <v>3</v>
      </c>
      <c r="AD16" s="47">
        <f>COUNTIF($S$7:$T$54,"=" &amp; AB16 &amp; "_draw")</f>
        <v>0</v>
      </c>
      <c r="AE16" s="47">
        <f>COUNTIF($S$7:$T$54,"=" &amp; AB16 &amp; "_lose")</f>
        <v>0</v>
      </c>
      <c r="AF16" s="47">
        <f>SUMIF($E$7:$E$54,$AB16,$F$7:$F$54) + SUMIF($H$7:$H$54,$AB16,$G$7:$G$54)</f>
        <v>5</v>
      </c>
      <c r="AG16" s="47">
        <f>SUMIF($E$7:$E$54,$AB16,$G$7:$G$54) + SUMIF($H$7:$H$54,$AB16,$F$7:$F$54)</f>
        <v>2</v>
      </c>
      <c r="AH16" s="47">
        <f>(AF16-AG16)*100+AK16*10000+AF16</f>
        <v>90305</v>
      </c>
      <c r="AI16" s="47">
        <f>AF16-AG16</f>
        <v>3</v>
      </c>
      <c r="AJ16" s="47">
        <f>(AI16-AI19)/AI18</f>
        <v>0.83333333333333337</v>
      </c>
      <c r="AK16" s="47">
        <f>AC16*3+AD16</f>
        <v>9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1093.3341501933332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13">
        <v>61</v>
      </c>
      <c r="BN16" s="26" t="str">
        <f>T69</f>
        <v>Argentina</v>
      </c>
      <c r="BO16" s="84">
        <v>0</v>
      </c>
      <c r="BP16" s="86">
        <v>0</v>
      </c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2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2</v>
      </c>
      <c r="G17" s="22">
        <v>0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0</v>
      </c>
      <c r="M17" s="25">
        <f>VLOOKUP(3,AA14:AK17,4,FALSE)</f>
        <v>2</v>
      </c>
      <c r="N17" s="25">
        <f>VLOOKUP(3,AA14:AK17,5,FALSE)</f>
        <v>1</v>
      </c>
      <c r="O17" s="25" t="str">
        <f>VLOOKUP(3,AA14:AK17,6,FALSE) &amp; " - " &amp; VLOOKUP(3,AA14:AK17,7,FALSE)</f>
        <v>1 - 2</v>
      </c>
      <c r="P17" s="54">
        <f>L17*3+M17</f>
        <v>2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0</v>
      </c>
      <c r="AD17" s="47">
        <f>COUNTIF($S$7:$T$54,"=" &amp; AB17 &amp; "_draw")</f>
        <v>2</v>
      </c>
      <c r="AE17" s="47">
        <f>COUNTIF($S$7:$T$54,"=" &amp; AB17 &amp; "_lose")</f>
        <v>1</v>
      </c>
      <c r="AF17" s="47">
        <f>SUMIF($E$7:$E$54,$AB17,$F$7:$F$54) + SUMIF($H$7:$H$54,$AB17,$G$7:$G$54)</f>
        <v>1</v>
      </c>
      <c r="AG17" s="47">
        <f>SUMIF($E$7:$E$54,$AB17,$G$7:$G$54) + SUMIF($H$7:$H$54,$AB17,$F$7:$F$54)</f>
        <v>2</v>
      </c>
      <c r="AH17" s="47">
        <f>(AF17-AG17)*100+AK17*10000+AF17</f>
        <v>19901</v>
      </c>
      <c r="AI17" s="47">
        <f>AF17-AG17</f>
        <v>-1</v>
      </c>
      <c r="AJ17" s="47">
        <f>(AI17-AI19)/AI18</f>
        <v>0.16666666666666666</v>
      </c>
      <c r="AK17" s="47">
        <f>AC17*3+AD17</f>
        <v>2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240.88967995388887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14"/>
      <c r="BN17" s="28" t="str">
        <f>T70</f>
        <v>Brazil</v>
      </c>
      <c r="BO17" s="85">
        <v>0</v>
      </c>
      <c r="BP17" s="87">
        <v>1</v>
      </c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2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1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1</v>
      </c>
      <c r="N18" s="56">
        <f>VLOOKUP(4,AA14:AK17,5,FALSE)</f>
        <v>2</v>
      </c>
      <c r="O18" s="56" t="str">
        <f>VLOOKUP(4,AA14:AK17,6,FALSE) &amp; " - " &amp; VLOOKUP(4,AA14:AK17,7,FALSE)</f>
        <v>2 - 4</v>
      </c>
      <c r="P18" s="57">
        <f>L18*3+M18</f>
        <v>1</v>
      </c>
      <c r="R18" s="47">
        <f>DATE(2022,11,23)+TIME(8,0,0)+gmt_delta</f>
        <v>44888.916666666672</v>
      </c>
      <c r="S18" s="88" t="str">
        <f t="shared" si="3"/>
        <v>Belgium_draw</v>
      </c>
      <c r="T18" s="88" t="str">
        <f t="shared" si="4"/>
        <v>Canada_draw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0</v>
      </c>
      <c r="AC18" s="47">
        <f t="shared" ref="AC18:AL18" si="11">MAX(AC14:AC17)-MIN(AC14:AC17)+1</f>
        <v>4</v>
      </c>
      <c r="AD18" s="47">
        <f t="shared" si="11"/>
        <v>3</v>
      </c>
      <c r="AE18" s="47">
        <f t="shared" si="11"/>
        <v>3</v>
      </c>
      <c r="AF18" s="47">
        <f t="shared" si="11"/>
        <v>5</v>
      </c>
      <c r="AG18" s="47">
        <f t="shared" si="11"/>
        <v>3</v>
      </c>
      <c r="AH18" s="47">
        <f>MAX(AH14:AH17)-AH19+1</f>
        <v>80504</v>
      </c>
      <c r="AI18" s="47">
        <f>MAX(AI14:AI17)-AI19+1</f>
        <v>6</v>
      </c>
      <c r="AK18" s="47">
        <f t="shared" si="11"/>
        <v>9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13">
        <v>53</v>
      </c>
      <c r="AZ18" s="26" t="str">
        <f>AO32</f>
        <v>Germany</v>
      </c>
      <c r="BA18" s="84">
        <v>3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0</v>
      </c>
      <c r="G19" s="22">
        <v>2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Switzerland_lose</v>
      </c>
      <c r="T19" s="88" t="str">
        <f t="shared" si="4"/>
        <v>Cameroon_win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-1</v>
      </c>
      <c r="AH19" s="47">
        <f>MIN(AH14:AH17)</f>
        <v>9802</v>
      </c>
      <c r="AI19" s="47">
        <f>MIN(AI14:AI17)</f>
        <v>-2</v>
      </c>
      <c r="AY19" s="114"/>
      <c r="AZ19" s="28" t="str">
        <f>AO39</f>
        <v>Canada</v>
      </c>
      <c r="BA19" s="85">
        <v>1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3</v>
      </c>
      <c r="G20" s="22">
        <v>0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9</v>
      </c>
      <c r="AG20" s="47">
        <f>SUMIF($E$7:$E$54,$AB20,$G$7:$G$54) + SUMIF($H$7:$H$54,$AB20,$F$7:$F$54)</f>
        <v>2</v>
      </c>
      <c r="AH20" s="47">
        <f>(AF20-AG20)*100+AK20*10000+AF20</f>
        <v>90709</v>
      </c>
      <c r="AI20" s="47">
        <f>AF20-AG20</f>
        <v>7</v>
      </c>
      <c r="AJ20" s="47">
        <f>(AI20-AI25)/AI24</f>
        <v>0.9285714285714286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1001.8580253571429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13">
        <v>58</v>
      </c>
      <c r="BG20" s="26" t="str">
        <f>T62</f>
        <v>Germany</v>
      </c>
      <c r="BH20" s="84">
        <v>0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2</v>
      </c>
      <c r="G21" s="22">
        <v>1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9 - 2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6</v>
      </c>
      <c r="AH21" s="47">
        <f>(AF21-AG21)*100+AK21*10000+AF21</f>
        <v>-600</v>
      </c>
      <c r="AI21" s="47">
        <f>AF21-AG21</f>
        <v>-6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Mexico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14"/>
      <c r="BG21" s="28" t="str">
        <f>T63</f>
        <v>Brazil</v>
      </c>
      <c r="BH21" s="85">
        <v>2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3</v>
      </c>
      <c r="G22" s="22">
        <v>1</v>
      </c>
      <c r="H22" s="90" t="str">
        <f>AB45</f>
        <v>Serbia</v>
      </c>
      <c r="J22" s="53" t="str">
        <f>VLOOKUP(2,AA20:AK23,2,FALSE)</f>
        <v>Mexico</v>
      </c>
      <c r="K22" s="25">
        <f>L22+M22+N22</f>
        <v>3</v>
      </c>
      <c r="L22" s="25">
        <f>VLOOKUP(2,AA20:AK23,3,FALSE)</f>
        <v>2</v>
      </c>
      <c r="M22" s="25">
        <f>VLOOKUP(2,AA20:AK23,4,FALSE)</f>
        <v>0</v>
      </c>
      <c r="N22" s="25">
        <f>VLOOKUP(2,AA20:AK23,5,FALSE)</f>
        <v>1</v>
      </c>
      <c r="O22" s="25" t="str">
        <f>VLOOKUP(2,AA20:AK23,6,FALSE) &amp; " - " &amp; VLOOKUP(2,AA20:AK23,7,FALSE)</f>
        <v>6 - 4</v>
      </c>
      <c r="P22" s="54">
        <f>L22*3+M22</f>
        <v>6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2</v>
      </c>
      <c r="AD22" s="47">
        <f>COUNTIF($S$7:$T$54,"=" &amp; AB22 &amp; "_draw")</f>
        <v>0</v>
      </c>
      <c r="AE22" s="47">
        <f>COUNTIF($S$7:$T$54,"=" &amp; AB22 &amp; "_lose")</f>
        <v>1</v>
      </c>
      <c r="AF22" s="47">
        <f>SUMIF($E$7:$E$54,$AB22,$F$7:$F$54) + SUMIF($H$7:$H$54,$AB22,$G$7:$G$54)</f>
        <v>6</v>
      </c>
      <c r="AG22" s="47">
        <f>SUMIF($E$7:$E$54,$AB22,$G$7:$G$54) + SUMIF($H$7:$H$54,$AB22,$F$7:$F$54)</f>
        <v>4</v>
      </c>
      <c r="AH22" s="47">
        <f>(AF22-AG22)*100+AK22*10000+AF22</f>
        <v>60206</v>
      </c>
      <c r="AI22" s="47">
        <f>AF22-AG22</f>
        <v>2</v>
      </c>
      <c r="AJ22" s="47">
        <f>(AI22-AI25)/AI24</f>
        <v>0.5714285714285714</v>
      </c>
      <c r="AK22" s="47">
        <f>AC22*3+AD22</f>
        <v>6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663.14368655285716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13">
        <v>54</v>
      </c>
      <c r="AZ22" s="26" t="str">
        <f>AO44</f>
        <v>Brazil</v>
      </c>
      <c r="BA22" s="84">
        <v>3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1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1</v>
      </c>
      <c r="M23" s="25">
        <f>VLOOKUP(3,AA20:AK23,4,FALSE)</f>
        <v>0</v>
      </c>
      <c r="N23" s="25">
        <f>VLOOKUP(3,AA20:AK23,5,FALSE)</f>
        <v>2</v>
      </c>
      <c r="O23" s="25" t="str">
        <f>VLOOKUP(3,AA20:AK23,6,FALSE) &amp; " - " &amp; VLOOKUP(3,AA20:AK23,7,FALSE)</f>
        <v>3 - 6</v>
      </c>
      <c r="P23" s="54">
        <f>L23*3+M23</f>
        <v>3</v>
      </c>
      <c r="R23" s="47">
        <f>DATE(2022,11,24)+TIME(23,0,0)+gmt_delta</f>
        <v>44890.541666666672</v>
      </c>
      <c r="S23" s="88" t="str">
        <f t="shared" si="3"/>
        <v>Wales_draw</v>
      </c>
      <c r="T23" s="88" t="str">
        <f t="shared" si="4"/>
        <v>Iran_draw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0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0</v>
      </c>
      <c r="AE23" s="47">
        <f>COUNTIF($S$7:$T$54,"=" &amp; AB23 &amp; "_lose")</f>
        <v>2</v>
      </c>
      <c r="AF23" s="47">
        <f>SUMIF($E$7:$E$54,$AB23,$F$7:$F$54) + SUMIF($H$7:$H$54,$AB23,$G$7:$G$54)</f>
        <v>3</v>
      </c>
      <c r="AG23" s="47">
        <f>SUMIF($E$7:$E$54,$AB23,$G$7:$G$54) + SUMIF($H$7:$H$54,$AB23,$F$7:$F$54)</f>
        <v>6</v>
      </c>
      <c r="AH23" s="47">
        <f>(AF23-AG23)*100+AK23*10000+AF23</f>
        <v>29703</v>
      </c>
      <c r="AI23" s="47">
        <f>AF23-AG23</f>
        <v>-3</v>
      </c>
      <c r="AJ23" s="47">
        <f>(AI23-AI25)/AI24</f>
        <v>0.21428571428571427</v>
      </c>
      <c r="AK23" s="47">
        <f>AC23*3+AD23</f>
        <v>3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324.42934342857143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14"/>
      <c r="AZ23" s="28" t="str">
        <f>AO51</f>
        <v>Portugal</v>
      </c>
      <c r="BA23" s="85">
        <v>2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13">
        <v>64</v>
      </c>
      <c r="BU23" s="26" t="str">
        <f>T76</f>
        <v>Brazil</v>
      </c>
      <c r="BV23" s="84">
        <v>3</v>
      </c>
      <c r="BW23" s="86"/>
      <c r="BX23" s="27"/>
    </row>
    <row r="24" spans="1:76" ht="15" customHeight="1" x14ac:dyDescent="0.2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1</v>
      </c>
      <c r="G24" s="22">
        <v>1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0 - 6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Qatar_draw</v>
      </c>
      <c r="T24" s="88" t="str">
        <f t="shared" si="4"/>
        <v>Senegal_draw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0</v>
      </c>
      <c r="AC24" s="47">
        <f t="shared" ref="AC24:AL24" si="12">MAX(AC20:AC23)-MIN(AC20:AC23)+1</f>
        <v>4</v>
      </c>
      <c r="AD24" s="47">
        <f t="shared" si="12"/>
        <v>1</v>
      </c>
      <c r="AE24" s="47">
        <f t="shared" si="12"/>
        <v>4</v>
      </c>
      <c r="AF24" s="47">
        <f t="shared" si="12"/>
        <v>10</v>
      </c>
      <c r="AG24" s="47">
        <f t="shared" si="12"/>
        <v>5</v>
      </c>
      <c r="AH24" s="47">
        <f>MAX(AH20:AH23)-AH25+1</f>
        <v>91310</v>
      </c>
      <c r="AI24" s="47">
        <f>MAX(AI20:AI23)-AI25+1</f>
        <v>14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14"/>
      <c r="BU24" s="28" t="str">
        <f>T77</f>
        <v>Mexico</v>
      </c>
      <c r="BV24" s="85">
        <v>0</v>
      </c>
      <c r="BW24" s="87"/>
      <c r="BX24" s="30"/>
    </row>
    <row r="25" spans="1:76" ht="15" customHeight="1" x14ac:dyDescent="0.2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4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-600</v>
      </c>
      <c r="AI25" s="47">
        <f>MIN(AI20:AI23)</f>
        <v>-6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1</v>
      </c>
      <c r="G26" s="22">
        <v>2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England_lose</v>
      </c>
      <c r="T26" s="88" t="str">
        <f t="shared" si="4"/>
        <v>United States_win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-1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9</v>
      </c>
      <c r="AG26" s="47">
        <f>SUMIF($E$7:$E$54,$AB26,$G$7:$G$54) + SUMIF($H$7:$H$54,$AB26,$F$7:$F$54)</f>
        <v>1</v>
      </c>
      <c r="AH26" s="47">
        <f>(AF26-AG26)*100+AK26*10000+AF26</f>
        <v>90809</v>
      </c>
      <c r="AI26" s="47">
        <f>AF26-AG26</f>
        <v>8</v>
      </c>
      <c r="AJ26" s="47">
        <f>(AI26-AI31)/AI30</f>
        <v>0.94117647058823528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1004.1185420588236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13">
        <v>51</v>
      </c>
      <c r="AZ26" s="26" t="str">
        <f>AO14</f>
        <v>United States</v>
      </c>
      <c r="BA26" s="84">
        <v>1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2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9 - 1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Tunisia_win</v>
      </c>
      <c r="T27" s="88" t="str">
        <f t="shared" si="4"/>
        <v>Australia_lose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1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0</v>
      </c>
      <c r="AE27" s="47">
        <f>COUNTIF($S$7:$T$54,"=" &amp; AB27 &amp; "_lose")</f>
        <v>3</v>
      </c>
      <c r="AF27" s="47">
        <f>SUMIF($E$7:$E$54,$AB27,$F$7:$F$54) + SUMIF($H$7:$H$54,$AB27,$G$7:$G$54)</f>
        <v>1</v>
      </c>
      <c r="AG27" s="47">
        <f>SUMIF($E$7:$E$54,$AB27,$G$7:$G$54) + SUMIF($H$7:$H$54,$AB27,$F$7:$F$54)</f>
        <v>9</v>
      </c>
      <c r="AH27" s="47">
        <f>(AF27-AG27)*100+AK27*10000+AF27</f>
        <v>-799</v>
      </c>
      <c r="AI27" s="47">
        <f>AF27-AG27</f>
        <v>-8</v>
      </c>
      <c r="AJ27" s="47">
        <f>(AI27-AI31)/AI30</f>
        <v>0</v>
      </c>
      <c r="AK27" s="47">
        <f>AC27*3+AD27</f>
        <v>0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1.1118529761111111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14"/>
      <c r="AZ27" s="28" t="str">
        <f>AO9</f>
        <v>Ecuador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1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6 - 3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0</v>
      </c>
      <c r="AE28" s="47">
        <f>COUNTIF($S$7:$T$54,"=" &amp; AB28 &amp; "_lose")</f>
        <v>1</v>
      </c>
      <c r="AF28" s="47">
        <f>SUMIF($E$7:$E$54,$AB28,$F$7:$F$54) + SUMIF($H$7:$H$54,$AB28,$G$7:$G$54)</f>
        <v>6</v>
      </c>
      <c r="AG28" s="47">
        <f>SUMIF($E$7:$E$54,$AB28,$G$7:$G$54) + SUMIF($H$7:$H$54,$AB28,$F$7:$F$54)</f>
        <v>3</v>
      </c>
      <c r="AH28" s="47">
        <f>(AF28-AG28)*100+AK28*10000+AF28</f>
        <v>60306</v>
      </c>
      <c r="AI28" s="47">
        <f>AF28-AG28</f>
        <v>3</v>
      </c>
      <c r="AJ28" s="47">
        <f>(AI28-AI31)/AI30</f>
        <v>0.6470588235294118</v>
      </c>
      <c r="AK28" s="47">
        <f>AC28*3+AD28</f>
        <v>6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671.37337581960787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13">
        <v>59</v>
      </c>
      <c r="BG28" s="26" t="str">
        <f>T60</f>
        <v>United States</v>
      </c>
      <c r="BH28" s="84">
        <v>0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3</v>
      </c>
      <c r="G29" s="22">
        <v>1</v>
      </c>
      <c r="H29" s="90" t="str">
        <f>AB28</f>
        <v>Denmark</v>
      </c>
      <c r="J29" s="53" t="str">
        <f>VLOOKUP(3,AA26:AK29,2,FALSE)</f>
        <v>Tunisia</v>
      </c>
      <c r="K29" s="25">
        <f>L29+M29+N29</f>
        <v>3</v>
      </c>
      <c r="L29" s="25">
        <f>VLOOKUP(3,AA26:AK29,3,FALSE)</f>
        <v>1</v>
      </c>
      <c r="M29" s="25">
        <f>VLOOKUP(3,AA26:AK29,4,FALSE)</f>
        <v>0</v>
      </c>
      <c r="N29" s="25">
        <f>VLOOKUP(3,AA26:AK29,5,FALSE)</f>
        <v>2</v>
      </c>
      <c r="O29" s="25" t="str">
        <f>VLOOKUP(3,AA26:AK29,6,FALSE) &amp; " - " &amp; VLOOKUP(3,AA26:AK29,7,FALSE)</f>
        <v>2 - 5</v>
      </c>
      <c r="P29" s="54">
        <f>L29*3+M29</f>
        <v>3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1</v>
      </c>
      <c r="AD29" s="47">
        <f>COUNTIF($S$7:$T$54,"=" &amp; AB29 &amp; "_draw")</f>
        <v>0</v>
      </c>
      <c r="AE29" s="47">
        <f>COUNTIF($S$7:$T$54,"=" &amp; AB29 &amp; "_lose")</f>
        <v>2</v>
      </c>
      <c r="AF29" s="47">
        <f>SUMIF($E$7:$E$54,$AB29,$F$7:$F$54) + SUMIF($H$7:$H$54,$AB29,$G$7:$G$54)</f>
        <v>2</v>
      </c>
      <c r="AG29" s="47">
        <f>SUMIF($E$7:$E$54,$AB29,$G$7:$G$54) + SUMIF($H$7:$H$54,$AB29,$F$7:$F$54)</f>
        <v>5</v>
      </c>
      <c r="AH29" s="47">
        <f>(AF29-AG29)*100+AK29*10000+AF29</f>
        <v>29702</v>
      </c>
      <c r="AI29" s="47">
        <f>AF29-AG29</f>
        <v>-3</v>
      </c>
      <c r="AJ29" s="47">
        <f>(AI29-AI31)/AI30</f>
        <v>0.29411764705882354</v>
      </c>
      <c r="AK29" s="47">
        <f>AC29*3+AD29</f>
        <v>3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331.63473682810462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14"/>
      <c r="BG29" s="28" t="str">
        <f>T61</f>
        <v>Mexico</v>
      </c>
      <c r="BH29" s="85">
        <v>1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3</v>
      </c>
      <c r="G30" s="22">
        <v>1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0</v>
      </c>
      <c r="N30" s="56">
        <f>VLOOKUP(4,AA26:AK29,5,FALSE)</f>
        <v>3</v>
      </c>
      <c r="O30" s="56" t="str">
        <f>VLOOKUP(4,AA26:AK29,6,FALSE) &amp; " - " &amp; VLOOKUP(4,AA26:AK29,7,FALSE)</f>
        <v>1 - 9</v>
      </c>
      <c r="P30" s="57">
        <f>L30*3+M30</f>
        <v>0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1</v>
      </c>
      <c r="AE30" s="47">
        <f t="shared" si="13"/>
        <v>4</v>
      </c>
      <c r="AF30" s="47">
        <f t="shared" si="13"/>
        <v>9</v>
      </c>
      <c r="AG30" s="47">
        <f t="shared" si="13"/>
        <v>9</v>
      </c>
      <c r="AH30" s="47">
        <f>MAX(AH26:AH29)-AH31+1</f>
        <v>91609</v>
      </c>
      <c r="AI30" s="47">
        <f>MAX(AI26:AI29)-AI31+1</f>
        <v>17</v>
      </c>
      <c r="AK30" s="47">
        <f t="shared" si="13"/>
        <v>10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13">
        <v>52</v>
      </c>
      <c r="AZ30" s="26" t="str">
        <f>AO26</f>
        <v>France</v>
      </c>
      <c r="BA30" s="84">
        <v>1</v>
      </c>
      <c r="BB30" s="86">
        <v>1</v>
      </c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2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Japan_lose</v>
      </c>
      <c r="T31" s="88" t="str">
        <f t="shared" si="4"/>
        <v>Costa Rica_win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-1</v>
      </c>
      <c r="AH31" s="47">
        <f>MIN(AH26:AH29)</f>
        <v>-799</v>
      </c>
      <c r="AI31" s="47">
        <f>MIN(AI26:AI29)</f>
        <v>-8</v>
      </c>
      <c r="AY31" s="114"/>
      <c r="AZ31" s="28" t="str">
        <f>AO21</f>
        <v>Mexico</v>
      </c>
      <c r="BA31" s="85">
        <v>1</v>
      </c>
      <c r="BB31" s="87">
        <v>2</v>
      </c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19" t="str">
        <f>INDEX(T,7,lang)</f>
        <v>Third-Place Play-Off</v>
      </c>
      <c r="BU31" s="120"/>
      <c r="BV31" s="120"/>
      <c r="BW31" s="120"/>
      <c r="BX31" s="121"/>
    </row>
    <row r="32" spans="1:76" ht="15" customHeight="1" x14ac:dyDescent="0.2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1</v>
      </c>
      <c r="G32" s="22">
        <v>2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Belgium_lose</v>
      </c>
      <c r="T32" s="88" t="str">
        <f t="shared" si="4"/>
        <v>Morocco_win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-1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0</v>
      </c>
      <c r="AE32" s="47">
        <f>COUNTIF($S$7:$T$54,"=" &amp; AB32 &amp; "_lose")</f>
        <v>1</v>
      </c>
      <c r="AF32" s="47">
        <f>SUMIF($E$7:$E$54,$AB32,$F$7:$F$54) + SUMIF($H$7:$H$54,$AB32,$G$7:$G$54)</f>
        <v>5</v>
      </c>
      <c r="AG32" s="47">
        <f>SUMIF($E$7:$E$54,$AB32,$G$7:$G$54) + SUMIF($H$7:$H$54,$AB32,$F$7:$F$54)</f>
        <v>3</v>
      </c>
      <c r="AH32" s="47">
        <f>(AF32-AG32)*100+AK32*10000+AF32</f>
        <v>60205</v>
      </c>
      <c r="AI32" s="47">
        <f>AF32-AG32</f>
        <v>2</v>
      </c>
      <c r="AJ32" s="47">
        <f>(AI32-AI37)/AI36</f>
        <v>0.5</v>
      </c>
      <c r="AK32" s="47">
        <f>AC32*3+AD32</f>
        <v>6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655.00085449999995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13">
        <v>62</v>
      </c>
      <c r="BN32" s="26" t="str">
        <f>T71</f>
        <v>Mexico</v>
      </c>
      <c r="BO32" s="84">
        <v>3</v>
      </c>
      <c r="BP32" s="86"/>
      <c r="BQ32" s="27"/>
      <c r="BR32" s="35"/>
      <c r="BS32" s="23"/>
      <c r="BT32" s="122"/>
      <c r="BU32" s="123"/>
      <c r="BV32" s="123"/>
      <c r="BW32" s="123"/>
      <c r="BX32" s="124"/>
    </row>
    <row r="33" spans="1:76" ht="15" customHeight="1" x14ac:dyDescent="0.2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0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10 - 1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1</v>
      </c>
      <c r="V33" s="47">
        <f t="shared" si="6"/>
        <v>2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3</v>
      </c>
      <c r="AB33" s="48" t="str">
        <f>VLOOKUP("Costa Rica",T,lang,FALSE)</f>
        <v>Costa Rica</v>
      </c>
      <c r="AC33" s="47">
        <f>COUNTIF($S$7:$T$54,"=" &amp; AB33 &amp; "_win")</f>
        <v>1</v>
      </c>
      <c r="AD33" s="47">
        <f>COUNTIF($S$7:$T$54,"=" &amp; AB33 &amp; "_draw")</f>
        <v>0</v>
      </c>
      <c r="AE33" s="47">
        <f>COUNTIF($S$7:$T$54,"=" &amp; AB33 &amp; "_lose")</f>
        <v>2</v>
      </c>
      <c r="AF33" s="47">
        <f>SUMIF($E$7:$E$54,$AB33,$F$7:$F$54) + SUMIF($H$7:$H$54,$AB33,$G$7:$G$54)</f>
        <v>2</v>
      </c>
      <c r="AG33" s="47">
        <f>SUMIF($E$7:$E$54,$AB33,$G$7:$G$54) + SUMIF($H$7:$H$54,$AB33,$F$7:$F$54)</f>
        <v>7</v>
      </c>
      <c r="AH33" s="47">
        <f>(AF33-AG33)*100+AK33*10000+AF33</f>
        <v>29502</v>
      </c>
      <c r="AI33" s="47">
        <f>AF33-AG33</f>
        <v>-5</v>
      </c>
      <c r="AJ33" s="47">
        <f>(AI33-AI37)/AI36</f>
        <v>6.25E-2</v>
      </c>
      <c r="AK33" s="47">
        <f>AC33*3+AD33</f>
        <v>3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308.25075003000001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14"/>
      <c r="BN33" s="28" t="str">
        <f>T72</f>
        <v>Uruguay</v>
      </c>
      <c r="BO33" s="85">
        <v>2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2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1</v>
      </c>
      <c r="G34" s="22">
        <v>3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5 - 3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Spain_lose</v>
      </c>
      <c r="T34" s="88" t="str">
        <f t="shared" si="4"/>
        <v>Germany_win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-1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3</v>
      </c>
      <c r="AD34" s="47">
        <f>COUNTIF($S$7:$T$54,"=" &amp; AB34 &amp; "_draw")</f>
        <v>0</v>
      </c>
      <c r="AE34" s="47">
        <f>COUNTIF($S$7:$T$54,"=" &amp; AB34 &amp; "_lose")</f>
        <v>0</v>
      </c>
      <c r="AF34" s="47">
        <f>SUMIF($E$7:$E$54,$AB34,$F$7:$F$54) + SUMIF($H$7:$H$54,$AB34,$G$7:$G$54)</f>
        <v>10</v>
      </c>
      <c r="AG34" s="47">
        <f>SUMIF($E$7:$E$54,$AB34,$G$7:$G$54) + SUMIF($H$7:$H$54,$AB34,$F$7:$F$54)</f>
        <v>1</v>
      </c>
      <c r="AH34" s="47">
        <f>(AF34-AG34)*100+AK34*10000+AF34</f>
        <v>90910</v>
      </c>
      <c r="AI34" s="47">
        <f>AF34-AG34</f>
        <v>9</v>
      </c>
      <c r="AJ34" s="47">
        <f>(AI34-AI37)/AI36</f>
        <v>0.9375</v>
      </c>
      <c r="AK34" s="47">
        <f>AC34*3+AD34</f>
        <v>9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1003.750825265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13">
        <v>55</v>
      </c>
      <c r="AZ34" s="26" t="str">
        <f>AO38</f>
        <v>Croatia</v>
      </c>
      <c r="BA34" s="84">
        <v>2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2</v>
      </c>
      <c r="G35" s="22">
        <v>0</v>
      </c>
      <c r="H35" s="90" t="str">
        <f>AB45</f>
        <v>Serbia</v>
      </c>
      <c r="J35" s="53" t="str">
        <f>VLOOKUP(3,AA32:AK35,2,FALSE)</f>
        <v>Costa Rica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2 - 7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Cameroon_win</v>
      </c>
      <c r="T35" s="88" t="str">
        <f t="shared" si="4"/>
        <v>Serbia_lose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1</v>
      </c>
      <c r="AA35" s="47">
        <f>COUNTIF(AN32:AN35,CONCATENATE("&gt;=",AN35))</f>
        <v>4</v>
      </c>
      <c r="AB35" s="48" t="str">
        <f>VLOOKUP("Japan",T,lang,FALSE)</f>
        <v>Japan</v>
      </c>
      <c r="AC35" s="47">
        <f>COUNTIF($S$7:$T$54,"=" &amp; AB35 &amp; "_win")</f>
        <v>0</v>
      </c>
      <c r="AD35" s="47">
        <f>COUNTIF($S$7:$T$54,"=" &amp; AB35 &amp; "_draw")</f>
        <v>0</v>
      </c>
      <c r="AE35" s="47">
        <f>COUNTIF($S$7:$T$54,"=" &amp; AB35 &amp; "_lose")</f>
        <v>3</v>
      </c>
      <c r="AF35" s="47">
        <f>SUMIF($E$7:$E$54,$AB35,$F$7:$F$54) + SUMIF($H$7:$H$54,$AB35,$G$7:$G$54)</f>
        <v>1</v>
      </c>
      <c r="AG35" s="47">
        <f>SUMIF($E$7:$E$54,$AB35,$G$7:$G$54) + SUMIF($H$7:$H$54,$AB35,$F$7:$F$54)</f>
        <v>7</v>
      </c>
      <c r="AH35" s="47">
        <f>(AF35-AG35)*100+AK35*10000+AF35</f>
        <v>-599</v>
      </c>
      <c r="AI35" s="47">
        <f>AF35-AG35</f>
        <v>-6</v>
      </c>
      <c r="AJ35" s="47">
        <f>(AI35-AI37)/AI36</f>
        <v>0</v>
      </c>
      <c r="AK35" s="47">
        <f>AC35*3+AD35</f>
        <v>0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1.00077672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14"/>
      <c r="AZ35" s="28" t="str">
        <f>AO33</f>
        <v>Spain</v>
      </c>
      <c r="BA35" s="85">
        <v>0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13">
        <v>63</v>
      </c>
      <c r="BU35" s="26" t="str">
        <f>Z76</f>
        <v>Argentina</v>
      </c>
      <c r="BV35" s="84">
        <v>2</v>
      </c>
      <c r="BW35" s="86"/>
      <c r="BX35" s="27"/>
    </row>
    <row r="36" spans="1:76" ht="15" customHeight="1" x14ac:dyDescent="0.2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2</v>
      </c>
      <c r="H36" s="90" t="str">
        <f>AB51</f>
        <v>Ghana</v>
      </c>
      <c r="J36" s="55" t="str">
        <f>VLOOKUP(4,AA32:AK35,2,FALSE)</f>
        <v>Japan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1 - 7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Republic_lose</v>
      </c>
      <c r="T36" s="88" t="str">
        <f t="shared" si="4"/>
        <v>Ghana_win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-1</v>
      </c>
      <c r="AC36" s="47">
        <f t="shared" ref="AC36:AL36" si="14">MAX(AC32:AC35)-MIN(AC32:AC35)+1</f>
        <v>4</v>
      </c>
      <c r="AD36" s="47">
        <f t="shared" si="14"/>
        <v>1</v>
      </c>
      <c r="AE36" s="47">
        <f t="shared" si="14"/>
        <v>4</v>
      </c>
      <c r="AF36" s="47">
        <f t="shared" si="14"/>
        <v>10</v>
      </c>
      <c r="AG36" s="47">
        <f t="shared" si="14"/>
        <v>7</v>
      </c>
      <c r="AH36" s="47">
        <f>MAX(AH32:AH35)-AH37+1</f>
        <v>91510</v>
      </c>
      <c r="AI36" s="47">
        <f>MAX(AI32:AI35)-AI37+1</f>
        <v>16</v>
      </c>
      <c r="AK36" s="47">
        <f t="shared" si="14"/>
        <v>10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13">
        <v>60</v>
      </c>
      <c r="BG36" s="26" t="str">
        <f>T64</f>
        <v>Croatia</v>
      </c>
      <c r="BH36" s="84">
        <v>0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14"/>
      <c r="BU36" s="28" t="str">
        <f>Z77</f>
        <v>Uruguay</v>
      </c>
      <c r="BV36" s="85">
        <v>1</v>
      </c>
      <c r="BW36" s="87"/>
      <c r="BX36" s="30"/>
    </row>
    <row r="37" spans="1:76" ht="15" customHeight="1" x14ac:dyDescent="0.2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3</v>
      </c>
      <c r="G37" s="22">
        <v>0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-599</v>
      </c>
      <c r="AI37" s="47">
        <f>MIN(AI32:AI35)</f>
        <v>-6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14"/>
      <c r="BG37" s="28" t="str">
        <f>T65</f>
        <v>Uruguay</v>
      </c>
      <c r="BH37" s="85">
        <v>3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2</v>
      </c>
      <c r="G38" s="22">
        <v>3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Portugal_lose</v>
      </c>
      <c r="T38" s="88" t="str">
        <f t="shared" si="4"/>
        <v>Uruguay_win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-1</v>
      </c>
      <c r="AA38" s="47">
        <f>COUNTIF(AN38:AN41,CONCATENATE("&gt;=",AN38))</f>
        <v>3</v>
      </c>
      <c r="AB38" s="48" t="str">
        <f>VLOOKUP("Belgium",T,lang,FALSE)</f>
        <v>Belgium</v>
      </c>
      <c r="AC38" s="47">
        <f>COUNTIF($S$7:$T$54,"=" &amp; AB38 &amp; "_win")</f>
        <v>1</v>
      </c>
      <c r="AD38" s="47">
        <f>COUNTIF($S$7:$T$54,"=" &amp; AB38 &amp; "_draw")</f>
        <v>1</v>
      </c>
      <c r="AE38" s="47">
        <f>COUNTIF($S$7:$T$54,"=" &amp; AB38 &amp; "_lose")</f>
        <v>1</v>
      </c>
      <c r="AF38" s="47">
        <f>SUMIF($E$7:$E$54,$AB38,$F$7:$F$54) + SUMIF($H$7:$H$54,$AB38,$G$7:$G$54)</f>
        <v>4</v>
      </c>
      <c r="AG38" s="47">
        <f>SUMIF($E$7:$E$54,$AB38,$G$7:$G$54) + SUMIF($H$7:$H$54,$AB38,$F$7:$F$54)</f>
        <v>4</v>
      </c>
      <c r="AH38" s="47">
        <f>(AF38-AG38)*100+AK38*10000+AF38</f>
        <v>40004</v>
      </c>
      <c r="AI38" s="47">
        <f>AF38-AG38</f>
        <v>0</v>
      </c>
      <c r="AJ38" s="47">
        <f>(AI38-AI43)/AI42</f>
        <v>0.5</v>
      </c>
      <c r="AK38" s="47">
        <f>AC38*3+AD38</f>
        <v>4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4070.0009135</v>
      </c>
      <c r="AO38" s="48" t="str">
        <f>IF(SUM(AC38:AE41)=12,J39,INDEX(T,80,lang))</f>
        <v>Croatia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13">
        <v>56</v>
      </c>
      <c r="AZ38" s="26" t="str">
        <f>AO50</f>
        <v>Uruguay</v>
      </c>
      <c r="BA38" s="84">
        <v>2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0</v>
      </c>
      <c r="H39" s="90" t="str">
        <f>AB8</f>
        <v>Senegal</v>
      </c>
      <c r="J39" s="50" t="str">
        <f>VLOOKUP(1,AA38:AK41,2,FALSE)</f>
        <v>Croatia</v>
      </c>
      <c r="K39" s="51">
        <f>L39+M39+N39</f>
        <v>3</v>
      </c>
      <c r="L39" s="51">
        <f>VLOOKUP(1,AA38:AK41,3,FALSE)</f>
        <v>1</v>
      </c>
      <c r="M39" s="51">
        <f>VLOOKUP(1,AA38:AK41,4,FALSE)</f>
        <v>1</v>
      </c>
      <c r="N39" s="51">
        <f>VLOOKUP(1,AA38:AK41,5,FALSE)</f>
        <v>1</v>
      </c>
      <c r="O39" s="51" t="str">
        <f>VLOOKUP(1,AA38:AK41,6,FALSE) &amp; " - " &amp; VLOOKUP(1,AA38:AK41,7,FALSE)</f>
        <v>4 - 3</v>
      </c>
      <c r="P39" s="52">
        <f>L39*3+M39</f>
        <v>4</v>
      </c>
      <c r="R39" s="47">
        <f>DATE(2022,11,29)+TIME(4,0,0)+gmt_delta</f>
        <v>44894.75</v>
      </c>
      <c r="S39" s="88" t="str">
        <f t="shared" si="3"/>
        <v>Ecuador_win</v>
      </c>
      <c r="T39" s="88" t="str">
        <f t="shared" si="4"/>
        <v>Senegal_lose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1</v>
      </c>
      <c r="AA39" s="47">
        <f>COUNTIF(AN38:AN41,CONCATENATE("&gt;=",AN39))</f>
        <v>2</v>
      </c>
      <c r="AB39" s="48" t="str">
        <f>VLOOKUP("Canada",T,lang,FALSE)</f>
        <v>Canada</v>
      </c>
      <c r="AC39" s="47">
        <f>COUNTIF($S$7:$T$54,"=" &amp; AB39 &amp; "_win")</f>
        <v>1</v>
      </c>
      <c r="AD39" s="47">
        <f>COUNTIF($S$7:$T$54,"=" &amp; AB39 &amp; "_draw")</f>
        <v>1</v>
      </c>
      <c r="AE39" s="47">
        <f>COUNTIF($S$7:$T$54,"=" &amp; AB39 &amp; "_lose")</f>
        <v>1</v>
      </c>
      <c r="AF39" s="47">
        <f>SUMIF($E$7:$E$54,$AB39,$F$7:$F$54) + SUMIF($H$7:$H$54,$AB39,$G$7:$G$54)</f>
        <v>4</v>
      </c>
      <c r="AG39" s="47">
        <f>SUMIF($E$7:$E$54,$AB39,$G$7:$G$54) + SUMIF($H$7:$H$54,$AB39,$F$7:$F$54)</f>
        <v>3</v>
      </c>
      <c r="AH39" s="47">
        <f>(AF39-AG39)*100+AK39*10000+AF39</f>
        <v>40104</v>
      </c>
      <c r="AI39" s="47">
        <f>AF39-AG39</f>
        <v>1</v>
      </c>
      <c r="AJ39" s="47">
        <f>(AI39-AI43)/AI42</f>
        <v>0.75</v>
      </c>
      <c r="AK39" s="47">
        <f>AC39*3+AD39</f>
        <v>4</v>
      </c>
      <c r="AL39" s="47">
        <f>AP39/AP42*1000+AQ39/AQ42*100+AT39/AT42*10+AR39/AR42</f>
        <v>-4</v>
      </c>
      <c r="AM39" s="47">
        <f>VLOOKUP(AB39,db_fifarank,2,FALSE)/2000000</f>
        <v>7.3950000000000003E-4</v>
      </c>
      <c r="AN39" s="48">
        <f>1000*AK39/AK42+100*AJ39+10*AF39/AF42+1*AL39/AL42+AM39</f>
        <v>4094.9928912331588</v>
      </c>
      <c r="AO39" s="48" t="str">
        <f>IF(SUM(AC38:AE41)=12,J40,INDEX(T,81,lang))</f>
        <v>Canada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2</v>
      </c>
      <c r="AT39" s="47">
        <f>AR39-AS39</f>
        <v>-2</v>
      </c>
      <c r="AY39" s="114"/>
      <c r="AZ39" s="28" t="str">
        <f>AO45</f>
        <v>Cameroon</v>
      </c>
      <c r="BA39" s="85">
        <v>1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25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5</v>
      </c>
      <c r="G40" s="22">
        <v>0</v>
      </c>
      <c r="H40" s="90" t="str">
        <f>AB9</f>
        <v>Qatar</v>
      </c>
      <c r="J40" s="53" t="str">
        <f>VLOOKUP(2,AA38:AK41,2,FALSE)</f>
        <v>Canada</v>
      </c>
      <c r="K40" s="25">
        <f>L40+M40+N40</f>
        <v>3</v>
      </c>
      <c r="L40" s="25">
        <f>VLOOKUP(2,AA38:AK41,3,FALSE)</f>
        <v>1</v>
      </c>
      <c r="M40" s="25">
        <f>VLOOKUP(2,AA38:AK41,4,FALSE)</f>
        <v>1</v>
      </c>
      <c r="N40" s="25">
        <f>VLOOKUP(2,AA38:AK41,5,FALSE)</f>
        <v>1</v>
      </c>
      <c r="O40" s="25" t="str">
        <f>VLOOKUP(2,AA38:AK41,6,FALSE) &amp; " - " &amp; VLOOKUP(2,AA38:AK41,7,FALSE)</f>
        <v>4 - 3</v>
      </c>
      <c r="P40" s="54">
        <f>L40*3+M40</f>
        <v>4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1</v>
      </c>
      <c r="AD40" s="47">
        <f>COUNTIF($S$7:$T$54,"=" &amp; AB40 &amp; "_draw")</f>
        <v>1</v>
      </c>
      <c r="AE40" s="47">
        <f>COUNTIF($S$7:$T$54,"=" &amp; AB40 &amp; "_lose")</f>
        <v>1</v>
      </c>
      <c r="AF40" s="47">
        <f>SUMIF($E$7:$E$54,$AB40,$F$7:$F$54) + SUMIF($H$7:$H$54,$AB40,$G$7:$G$54)</f>
        <v>3</v>
      </c>
      <c r="AG40" s="47">
        <f>SUMIF($E$7:$E$54,$AB40,$G$7:$G$54) + SUMIF($H$7:$H$54,$AB40,$F$7:$F$54)</f>
        <v>5</v>
      </c>
      <c r="AH40" s="47">
        <f>(AF40-AG40)*100+AK40*10000+AF40</f>
        <v>39803</v>
      </c>
      <c r="AI40" s="47">
        <f>AF40-AG40</f>
        <v>-2</v>
      </c>
      <c r="AJ40" s="47">
        <f>(AI40-AI43)/AI42</f>
        <v>0</v>
      </c>
      <c r="AK40" s="47">
        <f>AC40*3+AD40</f>
        <v>4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4015.00077594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0</v>
      </c>
      <c r="G41" s="22">
        <v>0</v>
      </c>
      <c r="H41" s="90" t="str">
        <f>AB14</f>
        <v>England</v>
      </c>
      <c r="J41" s="53" t="str">
        <f>VLOOKUP(3,AA38:AK41,2,FALSE)</f>
        <v>Belgium</v>
      </c>
      <c r="K41" s="25">
        <f>L41+M41+N41</f>
        <v>3</v>
      </c>
      <c r="L41" s="25">
        <f>VLOOKUP(3,AA38:AK41,3,FALSE)</f>
        <v>1</v>
      </c>
      <c r="M41" s="25">
        <f>VLOOKUP(3,AA38:AK41,4,FALSE)</f>
        <v>1</v>
      </c>
      <c r="N41" s="25">
        <f>VLOOKUP(3,AA38:AK41,5,FALSE)</f>
        <v>1</v>
      </c>
      <c r="O41" s="25" t="str">
        <f>VLOOKUP(3,AA38:AK41,6,FALSE) &amp; " - " &amp; VLOOKUP(3,AA38:AK41,7,FALSE)</f>
        <v>4 - 4</v>
      </c>
      <c r="P41" s="54">
        <f>L41*3+M41</f>
        <v>4</v>
      </c>
      <c r="R41" s="47">
        <f>DATE(2022,11,29)+TIME(8,0,0)+gmt_delta</f>
        <v>44894.916666666672</v>
      </c>
      <c r="S41" s="88" t="str">
        <f t="shared" si="3"/>
        <v>Wales_draw</v>
      </c>
      <c r="T41" s="88" t="str">
        <f t="shared" si="4"/>
        <v>England_draw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0</v>
      </c>
      <c r="AA41" s="47">
        <f>COUNTIF(AN38:AN41,CONCATENATE("&gt;=",AN41))</f>
        <v>1</v>
      </c>
      <c r="AB41" s="48" t="str">
        <f>VLOOKUP("Croatia",T,lang,FALSE)</f>
        <v>Croatia</v>
      </c>
      <c r="AC41" s="47">
        <f>COUNTIF($S$7:$T$54,"=" &amp; AB41 &amp; "_win")</f>
        <v>1</v>
      </c>
      <c r="AD41" s="47">
        <f>COUNTIF($S$7:$T$54,"=" &amp; AB41 &amp; "_draw")</f>
        <v>1</v>
      </c>
      <c r="AE41" s="47">
        <f>COUNTIF($S$7:$T$54,"=" &amp; AB41 &amp; "_lose")</f>
        <v>1</v>
      </c>
      <c r="AF41" s="47">
        <f>SUMIF($E$7:$E$54,$AB41,$F$7:$F$54) + SUMIF($H$7:$H$54,$AB41,$G$7:$G$54)</f>
        <v>4</v>
      </c>
      <c r="AG41" s="47">
        <f>SUMIF($E$7:$E$54,$AB41,$G$7:$G$54) + SUMIF($H$7:$H$54,$AB41,$F$7:$F$54)</f>
        <v>3</v>
      </c>
      <c r="AH41" s="47">
        <f>(AF41-AG41)*100+AK41*10000+AF41</f>
        <v>40104</v>
      </c>
      <c r="AI41" s="47">
        <f>AF41-AG41</f>
        <v>1</v>
      </c>
      <c r="AJ41" s="47">
        <f>(AI41-AI43)/AI42</f>
        <v>0.75</v>
      </c>
      <c r="AK41" s="47">
        <f>AC41*3+AD41</f>
        <v>4</v>
      </c>
      <c r="AL41" s="47">
        <f>AP41/AP42*1000+AQ41/AQ42*100+AT41/AT42*10+AR41/AR42</f>
        <v>504.66666666666669</v>
      </c>
      <c r="AM41" s="47">
        <f>VLOOKUP(AB41,db_fifarank,2,FALSE)/2000000</f>
        <v>8.1055499999999991E-4</v>
      </c>
      <c r="AN41" s="48">
        <f>1000*AK41/AK42+100*AJ41+10*AF41/AF42+1*AL41/AL42+AM41</f>
        <v>4095.9910002214488</v>
      </c>
      <c r="AP41" s="47">
        <f>SUMPRODUCT(($S$7:$S$54=AB41&amp;"_win")*($U$7:$U$54))+SUMPRODUCT(($T$7:$T$54=AB41&amp;"_win")*($U$7:$U$54))</f>
        <v>1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2</v>
      </c>
      <c r="AS41" s="47">
        <f>SUMPRODUCT(($E$7:$E$54=AB41)*($U$7:$U$54)*($G$7:$G$54))+SUMPRODUCT(($H$7:$H$54=AB41)*($U$7:$U$54)*($F$7:$F$54))</f>
        <v>0</v>
      </c>
      <c r="AT41" s="47">
        <f>AR41-AS41</f>
        <v>2</v>
      </c>
      <c r="AY41" s="104" t="s">
        <v>2515</v>
      </c>
      <c r="AZ41" s="105"/>
      <c r="BA41" s="105"/>
      <c r="BB41" s="105"/>
      <c r="BC41" s="106"/>
      <c r="BL41" s="115" t="str">
        <f>INDEX(T,102,lang)</f>
        <v>World Champion 2022</v>
      </c>
      <c r="BM41" s="115"/>
      <c r="BN41" s="115"/>
      <c r="BO41" s="115"/>
      <c r="BP41" s="115"/>
      <c r="BQ41" s="115"/>
      <c r="BR41" s="117" t="str">
        <f>S85</f>
        <v>Brazil</v>
      </c>
      <c r="BS41" s="117"/>
      <c r="BT41" s="117"/>
      <c r="BU41" s="117"/>
      <c r="BV41" s="117"/>
      <c r="BW41" s="117"/>
      <c r="BX41" s="117"/>
    </row>
    <row r="42" spans="1:76" ht="15" customHeight="1" x14ac:dyDescent="0.2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1</v>
      </c>
      <c r="G42" s="22">
        <v>2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1</v>
      </c>
      <c r="M42" s="56">
        <f>VLOOKUP(4,AA38:AK41,4,FALSE)</f>
        <v>1</v>
      </c>
      <c r="N42" s="56">
        <f>VLOOKUP(4,AA38:AK41,5,FALSE)</f>
        <v>1</v>
      </c>
      <c r="O42" s="56" t="str">
        <f>VLOOKUP(4,AA38:AK41,6,FALSE) &amp; " - " &amp; VLOOKUP(4,AA38:AK41,7,FALSE)</f>
        <v>3 - 5</v>
      </c>
      <c r="P42" s="57">
        <f>L42*3+M42</f>
        <v>4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1</v>
      </c>
      <c r="AD42" s="47">
        <f t="shared" si="15"/>
        <v>1</v>
      </c>
      <c r="AE42" s="47">
        <f t="shared" si="15"/>
        <v>1</v>
      </c>
      <c r="AF42" s="47">
        <f t="shared" si="15"/>
        <v>2</v>
      </c>
      <c r="AG42" s="47">
        <f t="shared" si="15"/>
        <v>3</v>
      </c>
      <c r="AH42" s="47">
        <f>MAX(AH38:AH41)-AH43+1</f>
        <v>302</v>
      </c>
      <c r="AI42" s="47">
        <f>MAX(AI38:AI41)-AI43+1</f>
        <v>4</v>
      </c>
      <c r="AK42" s="47">
        <f t="shared" si="15"/>
        <v>1</v>
      </c>
      <c r="AL42" s="47">
        <f t="shared" si="15"/>
        <v>509.66666666666669</v>
      </c>
      <c r="AP42" s="47">
        <f>MAX(AP38:AP41)-MIN(AP38:AP41)+1</f>
        <v>2</v>
      </c>
      <c r="AQ42" s="47">
        <f>MAX(AQ38:AQ41)-MIN(AQ38:AQ41)+1</f>
        <v>1</v>
      </c>
      <c r="AR42" s="47">
        <f>MAX(AR38:AR41)-MIN(AR38:AR41)+1</f>
        <v>3</v>
      </c>
      <c r="AS42" s="47">
        <f>MAX(AS38:AS41)-MIN(AS38:AS41)+1</f>
        <v>3</v>
      </c>
      <c r="AT42" s="47">
        <f>MAX(AT38:AT41)-MIN(AT38:AT41)+1</f>
        <v>5</v>
      </c>
      <c r="AY42" s="107"/>
      <c r="AZ42" s="108"/>
      <c r="BA42" s="108"/>
      <c r="BB42" s="108"/>
      <c r="BC42" s="109"/>
      <c r="BL42" s="116"/>
      <c r="BM42" s="116"/>
      <c r="BN42" s="116"/>
      <c r="BO42" s="116"/>
      <c r="BP42" s="116"/>
      <c r="BQ42" s="116"/>
      <c r="BR42" s="118"/>
      <c r="BS42" s="118"/>
      <c r="BT42" s="118"/>
      <c r="BU42" s="118"/>
      <c r="BV42" s="118"/>
      <c r="BW42" s="118"/>
      <c r="BX42" s="118"/>
    </row>
    <row r="43" spans="1:76" ht="15" customHeight="1" x14ac:dyDescent="0.2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4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39803</v>
      </c>
      <c r="AI43" s="47">
        <f>MIN(AI38:AI41)</f>
        <v>-2</v>
      </c>
      <c r="AY43" s="107"/>
      <c r="AZ43" s="108"/>
      <c r="BA43" s="108"/>
      <c r="BB43" s="108"/>
      <c r="BC43" s="109"/>
    </row>
    <row r="44" spans="1:76" ht="15" customHeight="1" x14ac:dyDescent="0.2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3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9</v>
      </c>
      <c r="AG44" s="47">
        <f>SUMIF($E$7:$E$54,$AB44,$G$7:$G$54) + SUMIF($H$7:$H$54,$AB44,$F$7:$F$54)</f>
        <v>1</v>
      </c>
      <c r="AH44" s="47">
        <f>(AF44-AG44)*100+AK44*10000+AF44</f>
        <v>90809</v>
      </c>
      <c r="AI44" s="47">
        <f>AF44-AG44</f>
        <v>8</v>
      </c>
      <c r="AJ44" s="47">
        <f>(AI44-AI49)/AI48</f>
        <v>0.9285714285714286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1102.8580592021428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07"/>
      <c r="AZ44" s="108"/>
      <c r="BA44" s="108"/>
      <c r="BB44" s="108"/>
      <c r="BC44" s="109"/>
    </row>
    <row r="45" spans="1:76" ht="15" customHeight="1" x14ac:dyDescent="0.2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3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9 - 1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3</v>
      </c>
      <c r="AB45" s="48" t="str">
        <f>VLOOKUP("Serbia",T,lang,FALSE)</f>
        <v>Serbia</v>
      </c>
      <c r="AC45" s="47">
        <f>COUNTIF($S$7:$T$54,"=" &amp; AB45 &amp; "_win")</f>
        <v>0</v>
      </c>
      <c r="AD45" s="47">
        <f>COUNTIF($S$7:$T$54,"=" &amp; AB45 &amp; "_draw")</f>
        <v>1</v>
      </c>
      <c r="AE45" s="47">
        <f>COUNTIF($S$7:$T$54,"=" &amp; AB45 &amp; "_lose")</f>
        <v>2</v>
      </c>
      <c r="AF45" s="47">
        <f>SUMIF($E$7:$E$54,$AB45,$F$7:$F$54) + SUMIF($H$7:$H$54,$AB45,$G$7:$G$54)</f>
        <v>2</v>
      </c>
      <c r="AG45" s="47">
        <f>SUMIF($E$7:$E$54,$AB45,$G$7:$G$54) + SUMIF($H$7:$H$54,$AB45,$F$7:$F$54)</f>
        <v>6</v>
      </c>
      <c r="AH45" s="47">
        <f>(AF45-AG45)*100+AK45*10000+AF45</f>
        <v>9602</v>
      </c>
      <c r="AI45" s="47">
        <f>AF45-AG45</f>
        <v>-4</v>
      </c>
      <c r="AJ45" s="47">
        <f>(AI45-AI49)/AI48</f>
        <v>7.1428571428571425E-2</v>
      </c>
      <c r="AK45" s="47">
        <f>AC45*3+AD45</f>
        <v>1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120.47696424119049</v>
      </c>
      <c r="AO45" s="48" t="str">
        <f>IF(SUM(AC44:AE47)=12,J46,INDEX(T,83,lang))</f>
        <v>Cameroon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07"/>
      <c r="AZ45" s="108"/>
      <c r="BA45" s="108"/>
      <c r="BB45" s="108"/>
      <c r="BC45" s="109"/>
    </row>
    <row r="46" spans="1:76" ht="15" customHeight="1" x14ac:dyDescent="0.2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2</v>
      </c>
      <c r="H46" s="90" t="str">
        <f>AB22</f>
        <v>Mexico</v>
      </c>
      <c r="J46" s="53" t="str">
        <f>VLOOKUP(2,AA44:AK47,2,FALSE)</f>
        <v>Cameroon</v>
      </c>
      <c r="K46" s="25">
        <f>L46+M46+N46</f>
        <v>3</v>
      </c>
      <c r="L46" s="25">
        <f>VLOOKUP(2,AA44:AK47,3,FALSE)</f>
        <v>2</v>
      </c>
      <c r="M46" s="25">
        <f>VLOOKUP(2,AA44:AK47,4,FALSE)</f>
        <v>0</v>
      </c>
      <c r="N46" s="25">
        <f>VLOOKUP(2,AA44:AK47,5,FALSE)</f>
        <v>1</v>
      </c>
      <c r="O46" s="25" t="str">
        <f>VLOOKUP(2,AA44:AK47,6,FALSE) &amp; " - " &amp; VLOOKUP(2,AA44:AK47,7,FALSE)</f>
        <v>4 - 3</v>
      </c>
      <c r="P46" s="54">
        <f>L46*3+M46</f>
        <v>6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4</v>
      </c>
      <c r="AB46" s="48" t="str">
        <f>VLOOKUP("Switzerland",T,lang,FALSE)</f>
        <v>Switzerland</v>
      </c>
      <c r="AC46" s="47">
        <f>COUNTIF($S$7:$T$54,"=" &amp; AB46 &amp; "_win")</f>
        <v>0</v>
      </c>
      <c r="AD46" s="47">
        <f>COUNTIF($S$7:$T$54,"=" &amp; AB46 &amp; "_draw")</f>
        <v>1</v>
      </c>
      <c r="AE46" s="47">
        <f>COUNTIF($S$7:$T$54,"=" &amp; AB46 &amp; "_lose")</f>
        <v>2</v>
      </c>
      <c r="AF46" s="47">
        <f>SUMIF($E$7:$E$54,$AB46,$F$7:$F$54) + SUMIF($H$7:$H$54,$AB46,$G$7:$G$54)</f>
        <v>1</v>
      </c>
      <c r="AG46" s="47">
        <f>SUMIF($E$7:$E$54,$AB46,$G$7:$G$54) + SUMIF($H$7:$H$54,$AB46,$F$7:$F$54)</f>
        <v>6</v>
      </c>
      <c r="AH46" s="47">
        <f>(AF46-AG46)*100+AK46*10000+AF46</f>
        <v>9501</v>
      </c>
      <c r="AI46" s="47">
        <f>AF46-AG46</f>
        <v>-5</v>
      </c>
      <c r="AJ46" s="47">
        <f>(AI46-AI49)/AI48</f>
        <v>0</v>
      </c>
      <c r="AK46" s="47">
        <f>AC46*3+AD46</f>
        <v>1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112.22303988222222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10"/>
      <c r="AZ46" s="111"/>
      <c r="BA46" s="111"/>
      <c r="BB46" s="111"/>
      <c r="BC46" s="112"/>
    </row>
    <row r="47" spans="1:76" ht="15" customHeight="1" x14ac:dyDescent="0.2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2</v>
      </c>
      <c r="H47" s="90" t="str">
        <f>AB38</f>
        <v>Belgium</v>
      </c>
      <c r="J47" s="53" t="str">
        <f>VLOOKUP(3,AA44:AK47,2,FALSE)</f>
        <v>Serbia</v>
      </c>
      <c r="K47" s="25">
        <f>L47+M47+N47</f>
        <v>3</v>
      </c>
      <c r="L47" s="25">
        <f>VLOOKUP(3,AA44:AK47,3,FALSE)</f>
        <v>0</v>
      </c>
      <c r="M47" s="25">
        <f>VLOOKUP(3,AA44:AK47,4,FALSE)</f>
        <v>1</v>
      </c>
      <c r="N47" s="25">
        <f>VLOOKUP(3,AA44:AK47,5,FALSE)</f>
        <v>2</v>
      </c>
      <c r="O47" s="25" t="str">
        <f>VLOOKUP(3,AA44:AK47,6,FALSE) &amp; " - " &amp; VLOOKUP(3,AA44:AK47,7,FALSE)</f>
        <v>2 - 6</v>
      </c>
      <c r="P47" s="54">
        <f>L47*3+M47</f>
        <v>1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2</v>
      </c>
      <c r="AB47" s="48" t="str">
        <f>VLOOKUP("Cameroon",T,lang,FALSE)</f>
        <v>Cameroon</v>
      </c>
      <c r="AC47" s="47">
        <f>COUNTIF($S$7:$T$54,"=" &amp; AB47 &amp; "_win")</f>
        <v>2</v>
      </c>
      <c r="AD47" s="47">
        <f>COUNTIF($S$7:$T$54,"=" &amp; AB47 &amp; "_draw")</f>
        <v>0</v>
      </c>
      <c r="AE47" s="47">
        <f>COUNTIF($S$7:$T$54,"=" &amp; AB47 &amp; "_lose")</f>
        <v>1</v>
      </c>
      <c r="AF47" s="47">
        <f>SUMIF($E$7:$E$54,$AB47,$F$7:$F$54) + SUMIF($H$7:$H$54,$AB47,$G$7:$G$54)</f>
        <v>4</v>
      </c>
      <c r="AG47" s="47">
        <f>SUMIF($E$7:$E$54,$AB47,$G$7:$G$54) + SUMIF($H$7:$H$54,$AB47,$F$7:$F$54)</f>
        <v>3</v>
      </c>
      <c r="AH47" s="47">
        <f>(AF47-AG47)*100+AK47*10000+AF47</f>
        <v>60104</v>
      </c>
      <c r="AI47" s="47">
        <f>AF47-AG47</f>
        <v>1</v>
      </c>
      <c r="AJ47" s="47">
        <f>(AI47-AI49)/AI48</f>
        <v>0.42857142857142855</v>
      </c>
      <c r="AK47" s="47">
        <f>AC47*3+AD47</f>
        <v>6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713.968994208254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3</v>
      </c>
      <c r="G48" s="22">
        <v>0</v>
      </c>
      <c r="H48" s="90" t="str">
        <f>AB40</f>
        <v>Morocco</v>
      </c>
      <c r="J48" s="55" t="str">
        <f>VLOOKUP(4,AA44:AK47,2,FALSE)</f>
        <v>Switzerland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1 - 6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Canada_win</v>
      </c>
      <c r="T48" s="88" t="str">
        <f t="shared" si="4"/>
        <v>Morocco_lose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1</v>
      </c>
      <c r="AC48" s="47">
        <f t="shared" ref="AC48:AL48" si="16">MAX(AC44:AC47)-MIN(AC44:AC47)+1</f>
        <v>4</v>
      </c>
      <c r="AD48" s="47">
        <f t="shared" si="16"/>
        <v>2</v>
      </c>
      <c r="AE48" s="47">
        <f t="shared" si="16"/>
        <v>3</v>
      </c>
      <c r="AF48" s="47">
        <f t="shared" si="16"/>
        <v>9</v>
      </c>
      <c r="AG48" s="47">
        <f t="shared" si="16"/>
        <v>6</v>
      </c>
      <c r="AH48" s="47">
        <f>MAX(AH44:AH47)-AH49+1</f>
        <v>81309</v>
      </c>
      <c r="AI48" s="47">
        <f>MAX(AI44:AI47)-AI49+1</f>
        <v>14</v>
      </c>
      <c r="AK48" s="47">
        <f t="shared" si="16"/>
        <v>9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04" t="s">
        <v>2516</v>
      </c>
      <c r="AZ48" s="105"/>
      <c r="BA48" s="105"/>
      <c r="BB48" s="105"/>
      <c r="BC48" s="106"/>
    </row>
    <row r="49" spans="1:55" ht="15" customHeight="1" x14ac:dyDescent="0.2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0</v>
      </c>
      <c r="G49" s="22">
        <v>2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9501</v>
      </c>
      <c r="AI49" s="47">
        <f>MIN(AI44:AI47)</f>
        <v>-5</v>
      </c>
      <c r="AY49" s="107"/>
      <c r="AZ49" s="108"/>
      <c r="BA49" s="108"/>
      <c r="BB49" s="108"/>
      <c r="BC49" s="109"/>
    </row>
    <row r="50" spans="1:55" ht="15" customHeight="1" x14ac:dyDescent="0.2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4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2</v>
      </c>
      <c r="AB50" s="48" t="str">
        <f>VLOOKUP("Portugal",T,lang,FALSE)</f>
        <v>Portugal</v>
      </c>
      <c r="AC50" s="47">
        <f>COUNTIF($S$7:$T$54,"=" &amp; AB50 &amp; "_win")</f>
        <v>2</v>
      </c>
      <c r="AD50" s="47">
        <f>COUNTIF($S$7:$T$54,"=" &amp; AB50 &amp; "_draw")</f>
        <v>0</v>
      </c>
      <c r="AE50" s="47">
        <f>COUNTIF($S$7:$T$54,"=" &amp; AB50 &amp; "_lose")</f>
        <v>1</v>
      </c>
      <c r="AF50" s="47">
        <f>SUMIF($E$7:$E$54,$AB50,$F$7:$F$54) + SUMIF($H$7:$H$54,$AB50,$G$7:$G$54)</f>
        <v>6</v>
      </c>
      <c r="AG50" s="47">
        <f>SUMIF($E$7:$E$54,$AB50,$G$7:$G$54) + SUMIF($H$7:$H$54,$AB50,$F$7:$F$54)</f>
        <v>4</v>
      </c>
      <c r="AH50" s="47">
        <f>(AF50-AG50)*100+AK50*10000+AF50</f>
        <v>60206</v>
      </c>
      <c r="AI50" s="47">
        <f>AF50-AG50</f>
        <v>2</v>
      </c>
      <c r="AJ50" s="47">
        <f>(AI50-AI55)/AI54</f>
        <v>0.61538461538461542</v>
      </c>
      <c r="AK50" s="47">
        <f>AC50*3+AD50</f>
        <v>6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669.03929892846156</v>
      </c>
      <c r="AO50" s="48" t="str">
        <f>IF(SUM(AC50:AE53)=12,J51,INDEX(T,84,lang))</f>
        <v>Uruguay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07"/>
      <c r="AZ50" s="108"/>
      <c r="BA50" s="108"/>
      <c r="BB50" s="108"/>
      <c r="BC50" s="109"/>
    </row>
    <row r="51" spans="1:55" ht="15" customHeight="1" x14ac:dyDescent="0.2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0</v>
      </c>
      <c r="G51" s="22">
        <v>2</v>
      </c>
      <c r="H51" s="90" t="str">
        <f>AB52</f>
        <v>Uruguay</v>
      </c>
      <c r="J51" s="50" t="str">
        <f>VLOOKUP(1,AA50:AK53,2,FALSE)</f>
        <v>Uruguay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8 - 2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3</v>
      </c>
      <c r="AB51" s="48" t="str">
        <f>VLOOKUP("Ghana",T,lang,FALSE)</f>
        <v>Ghana</v>
      </c>
      <c r="AC51" s="47">
        <f>COUNTIF($S$7:$T$54,"=" &amp; AB51 &amp; "_win")</f>
        <v>1</v>
      </c>
      <c r="AD51" s="47">
        <f>COUNTIF($S$7:$T$54,"=" &amp; AB51 &amp; "_draw")</f>
        <v>0</v>
      </c>
      <c r="AE51" s="47">
        <f>COUNTIF($S$7:$T$54,"=" &amp; AB51 &amp; "_lose")</f>
        <v>2</v>
      </c>
      <c r="AF51" s="47">
        <f>SUMIF($E$7:$E$54,$AB51,$F$7:$F$54) + SUMIF($H$7:$H$54,$AB51,$G$7:$G$54)</f>
        <v>3</v>
      </c>
      <c r="AG51" s="47">
        <f>SUMIF($E$7:$E$54,$AB51,$G$7:$G$54) + SUMIF($H$7:$H$54,$AB51,$F$7:$F$54)</f>
        <v>5</v>
      </c>
      <c r="AH51" s="47">
        <f>(AF51-AG51)*100+AK51*10000+AF51</f>
        <v>29803</v>
      </c>
      <c r="AI51" s="47">
        <f>AF51-AG51</f>
        <v>-2</v>
      </c>
      <c r="AJ51" s="47">
        <f>(AI51-AI55)/AI54</f>
        <v>0.30769230769230771</v>
      </c>
      <c r="AK51" s="47">
        <f>AC51*3+AD51</f>
        <v>3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334.51992444923076</v>
      </c>
      <c r="AO51" s="48" t="str">
        <f>IF(SUM(AC50:AE53)=12,J52,INDEX(T,85,lang))</f>
        <v>Portugal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07"/>
      <c r="AZ51" s="108"/>
      <c r="BA51" s="108"/>
      <c r="BB51" s="108"/>
      <c r="BC51" s="109"/>
    </row>
    <row r="52" spans="1:55" ht="15" customHeight="1" x14ac:dyDescent="0.2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2</v>
      </c>
      <c r="H52" s="90" t="str">
        <f>AB50</f>
        <v>Portugal</v>
      </c>
      <c r="J52" s="53" t="str">
        <f>VLOOKUP(2,AA50:AK53,2,FALSE)</f>
        <v>Portugal</v>
      </c>
      <c r="K52" s="25">
        <f>L52+M52+N52</f>
        <v>3</v>
      </c>
      <c r="L52" s="25">
        <f>VLOOKUP(2,AA50:AK53,3,FALSE)</f>
        <v>2</v>
      </c>
      <c r="M52" s="25">
        <f>VLOOKUP(2,AA50:AK53,4,FALSE)</f>
        <v>0</v>
      </c>
      <c r="N52" s="25">
        <f>VLOOKUP(2,AA50:AK53,5,FALSE)</f>
        <v>1</v>
      </c>
      <c r="O52" s="25" t="str">
        <f>VLOOKUP(2,AA50:AK53,6,FALSE) &amp; " - " &amp; VLOOKUP(2,AA50:AK53,7,FALSE)</f>
        <v>6 - 4</v>
      </c>
      <c r="P52" s="54">
        <f>L52*3+M52</f>
        <v>6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1</v>
      </c>
      <c r="AB52" s="48" t="str">
        <f>VLOOKUP("Uruguay",T,lang,FALSE)</f>
        <v>Uruguay</v>
      </c>
      <c r="AC52" s="47">
        <f>COUNTIF($S$7:$T$54,"=" &amp; AB52 &amp; "_win")</f>
        <v>3</v>
      </c>
      <c r="AD52" s="47">
        <f>COUNTIF($S$7:$T$54,"=" &amp; AB52 &amp; "_draw")</f>
        <v>0</v>
      </c>
      <c r="AE52" s="47">
        <f>COUNTIF($S$7:$T$54,"=" &amp; AB52 &amp; "_lose")</f>
        <v>0</v>
      </c>
      <c r="AF52" s="47">
        <f>SUMIF($E$7:$E$54,$AB52,$F$7:$F$54) + SUMIF($H$7:$H$54,$AB52,$G$7:$G$54)</f>
        <v>8</v>
      </c>
      <c r="AG52" s="47">
        <f>SUMIF($E$7:$E$54,$AB52,$G$7:$G$54) + SUMIF($H$7:$H$54,$AB52,$F$7:$F$54)</f>
        <v>2</v>
      </c>
      <c r="AH52" s="47">
        <f>(AF52-AG52)*100+AK52*10000+AF52</f>
        <v>90608</v>
      </c>
      <c r="AI52" s="47">
        <f>AF52-AG52</f>
        <v>6</v>
      </c>
      <c r="AJ52" s="47">
        <f>(AI52-AI55)/AI54</f>
        <v>0.92307692307692313</v>
      </c>
      <c r="AK52" s="47">
        <f>AC52*3+AD52</f>
        <v>9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1002.3085101726923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07"/>
      <c r="AZ52" s="108"/>
      <c r="BA52" s="108"/>
      <c r="BB52" s="108"/>
      <c r="BC52" s="109"/>
    </row>
    <row r="53" spans="1:55" ht="15" customHeight="1" x14ac:dyDescent="0.2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1</v>
      </c>
      <c r="H53" s="90" t="str">
        <f>AB46</f>
        <v>Switzerland</v>
      </c>
      <c r="J53" s="53" t="str">
        <f>VLOOKUP(3,AA50:AK53,2,FALSE)</f>
        <v>Ghana</v>
      </c>
      <c r="K53" s="25">
        <f>L53+M53+N53</f>
        <v>3</v>
      </c>
      <c r="L53" s="25">
        <f>VLOOKUP(3,AA50:AK53,3,FALSE)</f>
        <v>1</v>
      </c>
      <c r="M53" s="25">
        <f>VLOOKUP(3,AA50:AK53,4,FALSE)</f>
        <v>0</v>
      </c>
      <c r="N53" s="25">
        <f>VLOOKUP(3,AA50:AK53,5,FALSE)</f>
        <v>2</v>
      </c>
      <c r="O53" s="25" t="str">
        <f>VLOOKUP(3,AA50:AK53,6,FALSE) &amp; " - " &amp; VLOOKUP(3,AA50:AK53,7,FALSE)</f>
        <v>3 - 5</v>
      </c>
      <c r="P53" s="54">
        <f>L53*3+M53</f>
        <v>3</v>
      </c>
      <c r="R53" s="47">
        <f>DATE(2022,12,2)+TIME(8,0,0)+gmt_delta</f>
        <v>44897.916666666672</v>
      </c>
      <c r="S53" s="88" t="str">
        <f t="shared" si="3"/>
        <v>Serbia_draw</v>
      </c>
      <c r="T53" s="88" t="str">
        <f t="shared" si="4"/>
        <v>Switzerland_draw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0</v>
      </c>
      <c r="AA53" s="47">
        <f>COUNTIF(AN50:AN53,CONCATENATE("&gt;=",AN53))</f>
        <v>4</v>
      </c>
      <c r="AB53" s="48" t="str">
        <f>VLOOKUP("Korea Republic",T,lang,FALSE)</f>
        <v>Korea Republic</v>
      </c>
      <c r="AC53" s="47">
        <f>COUNTIF($S$7:$T$54,"=" &amp; AB53 &amp; "_win")</f>
        <v>0</v>
      </c>
      <c r="AD53" s="47">
        <f>COUNTIF($S$7:$T$54,"=" &amp; AB53 &amp; "_draw")</f>
        <v>0</v>
      </c>
      <c r="AE53" s="47">
        <f>COUNTIF($S$7:$T$54,"=" &amp; AB53 &amp; "_lose")</f>
        <v>3</v>
      </c>
      <c r="AF53" s="47">
        <f>SUMIF($E$7:$E$54,$AB53,$F$7:$F$54) + SUMIF($H$7:$H$54,$AB53,$G$7:$G$54)</f>
        <v>1</v>
      </c>
      <c r="AG53" s="47">
        <f>SUMIF($E$7:$E$54,$AB53,$G$7:$G$54) + SUMIF($H$7:$H$54,$AB53,$F$7:$F$54)</f>
        <v>7</v>
      </c>
      <c r="AH53" s="47">
        <f>(AF53-AG53)*100+AK53*10000+AF53</f>
        <v>-599</v>
      </c>
      <c r="AI53" s="47">
        <f>AF53-AG53</f>
        <v>-6</v>
      </c>
      <c r="AJ53" s="47">
        <f>(AI53-AI55)/AI54</f>
        <v>0</v>
      </c>
      <c r="AK53" s="47">
        <f>AC53*3+AD53</f>
        <v>0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1.2507597699999999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07"/>
      <c r="AZ53" s="108"/>
      <c r="BA53" s="108"/>
      <c r="BB53" s="108"/>
      <c r="BC53" s="109"/>
    </row>
    <row r="54" spans="1:55" ht="15" customHeight="1" x14ac:dyDescent="0.2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3</v>
      </c>
      <c r="H54" s="91" t="str">
        <f>AB44</f>
        <v>Brazil</v>
      </c>
      <c r="J54" s="55" t="str">
        <f>VLOOKUP(4,AA50:AK53,2,FALSE)</f>
        <v>Korea Republic</v>
      </c>
      <c r="K54" s="56">
        <f>L54+M54+N54</f>
        <v>3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3</v>
      </c>
      <c r="O54" s="56" t="str">
        <f>VLOOKUP(4,AA50:AK53,6,FALSE) &amp; " - " &amp; VLOOKUP(4,AA50:AK53,7,FALSE)</f>
        <v>1 - 7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1</v>
      </c>
      <c r="AE54" s="47">
        <f t="shared" si="17"/>
        <v>4</v>
      </c>
      <c r="AF54" s="47">
        <f t="shared" si="17"/>
        <v>8</v>
      </c>
      <c r="AG54" s="47">
        <f t="shared" si="17"/>
        <v>6</v>
      </c>
      <c r="AH54" s="47">
        <f>MAX(AH50:AH53)-AH55+1</f>
        <v>91208</v>
      </c>
      <c r="AI54" s="47">
        <f>MAX(AI50:AI53)-AI55+1</f>
        <v>13</v>
      </c>
      <c r="AK54" s="47">
        <f t="shared" si="17"/>
        <v>10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10"/>
      <c r="AZ54" s="111"/>
      <c r="BA54" s="111"/>
      <c r="BB54" s="111"/>
      <c r="BC54" s="112"/>
    </row>
    <row r="55" spans="1:55" x14ac:dyDescent="0.2">
      <c r="A55" s="9"/>
      <c r="B55" s="42"/>
      <c r="C55" s="9"/>
      <c r="D55" s="43"/>
      <c r="E55" s="44"/>
      <c r="F55" s="45"/>
      <c r="G55" s="45"/>
      <c r="H55" s="46"/>
      <c r="AH55" s="47">
        <f>MIN(AH50:AH53)</f>
        <v>-599</v>
      </c>
      <c r="AI55" s="47">
        <f>MIN(AI50:AI53)</f>
        <v>-6</v>
      </c>
    </row>
    <row r="56" spans="1:55" ht="12.75" customHeight="1" x14ac:dyDescent="0.2"/>
    <row r="57" spans="1:55" ht="12.75" customHeight="1" x14ac:dyDescent="0.2"/>
    <row r="58" spans="1:55" x14ac:dyDescent="0.2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2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2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United States</v>
      </c>
      <c r="T60" s="88" t="str">
        <f>IF(OR(S60="",S60="draw"),INDEX(T,88,lang),S60)</f>
        <v>United States</v>
      </c>
    </row>
    <row r="61" spans="1:55" ht="12.75" customHeight="1" x14ac:dyDescent="0.2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Mexico</v>
      </c>
      <c r="T61" s="88" t="str">
        <f>IF(OR(S61="",S61="draw"),INDEX(T,89,lang),S61)</f>
        <v>Mexico</v>
      </c>
    </row>
    <row r="62" spans="1:55" ht="12.75" customHeight="1" x14ac:dyDescent="0.2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 x14ac:dyDescent="0.2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2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Croatia</v>
      </c>
      <c r="T64" s="88" t="str">
        <f>IF(OR(S64="",S64="draw"),INDEX(T,92,lang),S64)</f>
        <v>Croatia</v>
      </c>
    </row>
    <row r="65" spans="18:26" ht="12.75" customHeight="1" x14ac:dyDescent="0.2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Uruguay</v>
      </c>
      <c r="T65" s="88" t="str">
        <f>IF(OR(S65="",S65="draw"),INDEX(T,93,lang),S65)</f>
        <v>Uruguay</v>
      </c>
    </row>
    <row r="66" spans="18:26" ht="12.75" customHeight="1" x14ac:dyDescent="0.2"/>
    <row r="67" spans="18:26" ht="12.75" customHeight="1" x14ac:dyDescent="0.2"/>
    <row r="68" spans="18:26" ht="12.75" customHeight="1" x14ac:dyDescent="0.2"/>
    <row r="69" spans="18:26" ht="12.75" customHeight="1" x14ac:dyDescent="0.2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2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2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Mexico</v>
      </c>
      <c r="T71" s="88" t="str">
        <f>IF(OR(S71="",S71="draw"),INDEX(T,96,lang),S71)</f>
        <v>Mexico</v>
      </c>
    </row>
    <row r="72" spans="18:26" ht="12.75" customHeight="1" x14ac:dyDescent="0.2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Uruguay</v>
      </c>
      <c r="T72" s="88" t="str">
        <f>IF(OR(S72="",S72="draw"),INDEX(T,97,lang),S72)</f>
        <v>Uruguay</v>
      </c>
    </row>
    <row r="73" spans="18:26" ht="12.75" customHeight="1" x14ac:dyDescent="0.2"/>
    <row r="74" spans="18:26" ht="12.75" customHeight="1" x14ac:dyDescent="0.2"/>
    <row r="75" spans="18:26" ht="12.75" customHeight="1" x14ac:dyDescent="0.2"/>
    <row r="76" spans="18:26" ht="12.75" customHeight="1" x14ac:dyDescent="0.2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Brazil</v>
      </c>
      <c r="T76" s="88" t="str">
        <f>IF(OR(S76="",S76="draw"),INDEX(T,98,lang),S76)</f>
        <v>Brazil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Argentina</v>
      </c>
      <c r="Z76" s="88" t="str">
        <f>IF(OR(U76="",U76="draw"),INDEX(T,100,lang),U76)</f>
        <v>Argentina</v>
      </c>
    </row>
    <row r="77" spans="18:26" ht="12.75" customHeight="1" x14ac:dyDescent="0.2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Mexico</v>
      </c>
      <c r="T77" s="88" t="str">
        <f>IF(OR(S77="",S77="draw"),INDEX(T,99,lang),S77)</f>
        <v>Mexico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Uruguay</v>
      </c>
      <c r="Z77" s="88" t="str">
        <f>IF(OR(U77="",U77="draw"),INDEX(T,101,lang),U77)</f>
        <v>Uruguay</v>
      </c>
    </row>
    <row r="79" spans="18:26" ht="12.75" customHeight="1" x14ac:dyDescent="0.2"/>
    <row r="80" spans="18:26" ht="12.75" customHeight="1" x14ac:dyDescent="0.2"/>
    <row r="81" spans="18:20" x14ac:dyDescent="0.2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Argentina</v>
      </c>
    </row>
    <row r="83" spans="18:20" ht="12.75" customHeight="1" x14ac:dyDescent="0.2"/>
    <row r="84" spans="18:20" ht="12.75" customHeight="1" x14ac:dyDescent="0.2"/>
    <row r="85" spans="18:20" x14ac:dyDescent="0.2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Brazil</v>
      </c>
      <c r="T85" s="88" t="str">
        <f>S85</f>
        <v>Brazil</v>
      </c>
    </row>
    <row r="87" spans="18:20" ht="12.75" customHeight="1" x14ac:dyDescent="0.2"/>
    <row r="88" spans="18:20" ht="12.75" customHeight="1" x14ac:dyDescent="0.2"/>
    <row r="96" spans="18:20" ht="12.75" customHeight="1" x14ac:dyDescent="0.2"/>
    <row r="97" ht="12.75" customHeight="1" x14ac:dyDescent="0.2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BT6:BX7"/>
    <mergeCell ref="A1:P1"/>
    <mergeCell ref="O3:P3"/>
    <mergeCell ref="A5:H6"/>
    <mergeCell ref="J5:P6"/>
    <mergeCell ref="AY10:AY11"/>
    <mergeCell ref="BF12:BF13"/>
    <mergeCell ref="AY6:BC7"/>
    <mergeCell ref="BF6:BJ7"/>
    <mergeCell ref="BM6:BQ7"/>
    <mergeCell ref="AY22:AY23"/>
    <mergeCell ref="BT23:BT24"/>
    <mergeCell ref="AY18:AY19"/>
    <mergeCell ref="BF20:BF21"/>
    <mergeCell ref="AY14:AY15"/>
    <mergeCell ref="BM16:BM17"/>
    <mergeCell ref="AY30:AY31"/>
    <mergeCell ref="BT31:BX32"/>
    <mergeCell ref="BM32:BM33"/>
    <mergeCell ref="AY26:AY27"/>
    <mergeCell ref="BF28:BF29"/>
    <mergeCell ref="AY48:BC54"/>
    <mergeCell ref="AY38:AY39"/>
    <mergeCell ref="BL41:BQ42"/>
    <mergeCell ref="AY34:AY35"/>
    <mergeCell ref="BT35:BT36"/>
    <mergeCell ref="BF36:BF37"/>
    <mergeCell ref="BR41:BX42"/>
    <mergeCell ref="AY41:BC4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workbookViewId="0">
      <selection activeCell="B15" sqref="B15"/>
    </sheetView>
  </sheetViews>
  <sheetFormatPr defaultRowHeight="15" x14ac:dyDescent="0.2"/>
  <cols>
    <col min="1" max="1" width="80.30859375" customWidth="1"/>
    <col min="2" max="2" width="63.8984375" customWidth="1"/>
  </cols>
  <sheetData>
    <row r="1" spans="1:2" x14ac:dyDescent="0.2">
      <c r="A1" s="101" t="s">
        <v>2526</v>
      </c>
      <c r="B1" s="102" t="s">
        <v>2527</v>
      </c>
    </row>
    <row r="2" spans="1:2" x14ac:dyDescent="0.2">
      <c r="A2" s="103" t="s">
        <v>2518</v>
      </c>
      <c r="B2" s="100" t="s">
        <v>2530</v>
      </c>
    </row>
    <row r="3" spans="1:2" x14ac:dyDescent="0.2">
      <c r="A3" s="100" t="s">
        <v>2519</v>
      </c>
      <c r="B3" s="103" t="s">
        <v>2531</v>
      </c>
    </row>
    <row r="4" spans="1:2" x14ac:dyDescent="0.2">
      <c r="A4" s="103" t="s">
        <v>2520</v>
      </c>
      <c r="B4" s="100" t="s">
        <v>2532</v>
      </c>
    </row>
    <row r="5" spans="1:2" x14ac:dyDescent="0.2">
      <c r="A5" s="100" t="s">
        <v>2529</v>
      </c>
      <c r="B5" s="145" t="s">
        <v>2538</v>
      </c>
    </row>
    <row r="6" spans="1:2" x14ac:dyDescent="0.2">
      <c r="A6" s="103" t="s">
        <v>2521</v>
      </c>
      <c r="B6" s="100" t="s">
        <v>2533</v>
      </c>
    </row>
    <row r="7" spans="1:2" x14ac:dyDescent="0.2">
      <c r="A7" s="100" t="s">
        <v>2522</v>
      </c>
      <c r="B7" s="103" t="s">
        <v>2534</v>
      </c>
    </row>
    <row r="8" spans="1:2" x14ac:dyDescent="0.2">
      <c r="A8" s="103" t="s">
        <v>2523</v>
      </c>
      <c r="B8" s="100" t="s">
        <v>2539</v>
      </c>
    </row>
    <row r="9" spans="1:2" x14ac:dyDescent="0.2">
      <c r="A9" s="100" t="s">
        <v>2524</v>
      </c>
      <c r="B9" s="103" t="s">
        <v>2535</v>
      </c>
    </row>
    <row r="10" spans="1:2" x14ac:dyDescent="0.2">
      <c r="A10" s="103" t="s">
        <v>2525</v>
      </c>
      <c r="B10" s="100" t="s">
        <v>2536</v>
      </c>
    </row>
    <row r="11" spans="1:2" x14ac:dyDescent="0.2">
      <c r="A11" s="100" t="s">
        <v>2528</v>
      </c>
      <c r="B11" s="103" t="s">
        <v>2537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Töölehed</vt:lpstr>
      </vt:variant>
      <vt:variant>
        <vt:i4>4</vt:i4>
      </vt:variant>
      <vt:variant>
        <vt:lpstr>Nimega vahemikud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kasutaja</cp:lastModifiedBy>
  <cp:lastPrinted>2018-01-03T15:36:04Z</cp:lastPrinted>
  <dcterms:created xsi:type="dcterms:W3CDTF">2017-12-27T19:32:51Z</dcterms:created>
  <dcterms:modified xsi:type="dcterms:W3CDTF">2022-11-15T19:57:54Z</dcterms:modified>
</cp:coreProperties>
</file>