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820c63d2149f051/Desktop/MM/Sander Teder/"/>
    </mc:Choice>
  </mc:AlternateContent>
  <xr:revisionPtr revIDLastSave="11" documentId="13_ncr:1_{317C0CDD-4AE4-478F-AB58-597B54671B26}" xr6:coauthVersionLast="47" xr6:coauthVersionMax="47" xr10:uidLastSave="{FFE7C137-E538-4C34-8A64-AD76B16E8B32}"/>
  <bookViews>
    <workbookView xWindow="-110" yWindow="-110" windowWidth="21820" windowHeight="1390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N8" i="3" l="1"/>
  <c r="N32" i="3"/>
  <c r="O50" i="3"/>
  <c r="AY6" i="3"/>
  <c r="L32" i="3"/>
  <c r="O38" i="3"/>
  <c r="N50" i="3"/>
  <c r="A5" i="3"/>
  <c r="J26" i="3"/>
  <c r="P50" i="3"/>
  <c r="M8" i="3"/>
  <c r="BL41" i="3"/>
  <c r="O44" i="3"/>
  <c r="BF6" i="3"/>
  <c r="L8" i="3"/>
  <c r="L26" i="3"/>
  <c r="N44" i="3"/>
  <c r="M50" i="3"/>
  <c r="O20" i="3"/>
  <c r="J32" i="3"/>
  <c r="N38" i="3"/>
  <c r="M44" i="3"/>
  <c r="L44" i="3"/>
  <c r="K50" i="3"/>
  <c r="K8" i="3"/>
  <c r="R37" i="3"/>
  <c r="R17" i="3"/>
  <c r="R36" i="3"/>
  <c r="R16" i="3"/>
  <c r="R33" i="3"/>
  <c r="R13" i="3"/>
  <c r="R32" i="3"/>
  <c r="R12" i="3"/>
  <c r="R29" i="3"/>
  <c r="R28" i="3"/>
  <c r="R21" i="3"/>
  <c r="R20" i="3"/>
  <c r="P44" i="3"/>
  <c r="B44" i="2"/>
  <c r="B36" i="2"/>
  <c r="B28" i="2"/>
  <c r="B20" i="2"/>
  <c r="AB46" i="3"/>
  <c r="AB41" i="3"/>
  <c r="AB32" i="3"/>
  <c r="AB27" i="3"/>
  <c r="AB22" i="3"/>
  <c r="B35" i="2"/>
  <c r="AB35" i="3"/>
  <c r="B33" i="2"/>
  <c r="AB51" i="3"/>
  <c r="B42" i="2"/>
  <c r="B34" i="2"/>
  <c r="B26" i="2"/>
  <c r="B18" i="2"/>
  <c r="AB45" i="3"/>
  <c r="B17" i="2"/>
  <c r="AB50" i="3"/>
  <c r="B48" i="2"/>
  <c r="B40" i="2"/>
  <c r="B32" i="2"/>
  <c r="B24" i="2"/>
  <c r="AB34" i="3"/>
  <c r="AB15" i="3"/>
  <c r="B47" i="2"/>
  <c r="B31" i="2"/>
  <c r="B38" i="2"/>
  <c r="B22" i="2"/>
  <c r="B29" i="2"/>
  <c r="AB8" i="3"/>
  <c r="B27" i="2"/>
  <c r="AB26" i="3"/>
  <c r="B25" i="2"/>
  <c r="AB53" i="3"/>
  <c r="AB44" i="3"/>
  <c r="AB39" i="3"/>
  <c r="AB29" i="3"/>
  <c r="AB20" i="3"/>
  <c r="AB10" i="3"/>
  <c r="B39" i="2"/>
  <c r="B23" i="2"/>
  <c r="B30" i="2"/>
  <c r="B37" i="2"/>
  <c r="B43" i="2"/>
  <c r="AB40" i="3"/>
  <c r="AB16" i="3"/>
  <c r="B41" i="2"/>
  <c r="B46" i="2"/>
  <c r="AB52" i="3"/>
  <c r="AB47" i="3"/>
  <c r="AB38" i="3"/>
  <c r="AB33" i="3"/>
  <c r="AB28" i="3"/>
  <c r="AB23" i="3"/>
  <c r="AB14" i="3"/>
  <c r="AB9" i="3"/>
  <c r="B45" i="2"/>
  <c r="B21" i="2"/>
  <c r="AB17" i="3"/>
  <c r="B19" i="2"/>
  <c r="AB21" i="3"/>
  <c r="AB11" i="3"/>
  <c r="O26" i="3"/>
  <c r="P32" i="3"/>
  <c r="L50" i="3"/>
  <c r="M32" i="3"/>
  <c r="O8" i="3"/>
  <c r="J20" i="3"/>
  <c r="N26" i="3"/>
  <c r="M26" i="3"/>
  <c r="K44" i="3"/>
  <c r="K26" i="3"/>
  <c r="A1" i="3"/>
  <c r="N14" i="3"/>
  <c r="P26" i="3"/>
  <c r="BT31" i="3"/>
  <c r="M38" i="3"/>
  <c r="L38" i="3"/>
  <c r="N20" i="3"/>
  <c r="J44" i="3"/>
  <c r="K20" i="3"/>
  <c r="O32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40" i="3" l="1"/>
  <c r="AM9" i="3"/>
  <c r="E7" i="3"/>
  <c r="E24" i="3"/>
  <c r="E14" i="3"/>
  <c r="E29" i="3"/>
  <c r="AM26" i="3"/>
  <c r="H44" i="3"/>
  <c r="X44" i="3" s="1"/>
  <c r="E42" i="3"/>
  <c r="AM15" i="3"/>
  <c r="H23" i="3"/>
  <c r="H9" i="3"/>
  <c r="H22" i="3"/>
  <c r="H35" i="3"/>
  <c r="E53" i="3"/>
  <c r="AM45" i="3"/>
  <c r="E26" i="3"/>
  <c r="AM14" i="3"/>
  <c r="E9" i="3"/>
  <c r="H41" i="3"/>
  <c r="X41" i="3" s="1"/>
  <c r="H25" i="3"/>
  <c r="H7" i="3"/>
  <c r="AM10" i="3"/>
  <c r="E39" i="3"/>
  <c r="X39" i="3" s="1"/>
  <c r="E16" i="3"/>
  <c r="AM34" i="3"/>
  <c r="H50" i="3"/>
  <c r="H34" i="3"/>
  <c r="H46" i="3"/>
  <c r="E13" i="3"/>
  <c r="H30" i="3"/>
  <c r="AM22" i="3"/>
  <c r="E25" i="3"/>
  <c r="E40" i="3"/>
  <c r="H8" i="3"/>
  <c r="E45" i="3"/>
  <c r="H13" i="3"/>
  <c r="AM23" i="3"/>
  <c r="E28" i="3"/>
  <c r="AM16" i="3"/>
  <c r="H42" i="3"/>
  <c r="H26" i="3"/>
  <c r="E10" i="3"/>
  <c r="E30" i="3"/>
  <c r="X30" i="3" s="1"/>
  <c r="E11" i="3"/>
  <c r="AM20" i="3"/>
  <c r="H45" i="3"/>
  <c r="E8" i="3"/>
  <c r="AG16" i="3" s="1"/>
  <c r="AM8" i="3"/>
  <c r="H39" i="3"/>
  <c r="H24" i="3"/>
  <c r="H14" i="3"/>
  <c r="X14" i="3" s="1"/>
  <c r="H27" i="3"/>
  <c r="AM27" i="3"/>
  <c r="E43" i="3"/>
  <c r="E46" i="3"/>
  <c r="X46" i="3" s="1"/>
  <c r="H28" i="3"/>
  <c r="AM21" i="3"/>
  <c r="H11" i="3"/>
  <c r="H29" i="3"/>
  <c r="AM28" i="3"/>
  <c r="E12" i="3"/>
  <c r="H43" i="3"/>
  <c r="H48" i="3"/>
  <c r="X48" i="3" s="1"/>
  <c r="E15" i="3"/>
  <c r="AM40" i="3"/>
  <c r="H32" i="3"/>
  <c r="H12" i="3"/>
  <c r="X12" i="3" s="1"/>
  <c r="E44" i="3"/>
  <c r="E27" i="3"/>
  <c r="AM29" i="3"/>
  <c r="E34" i="3"/>
  <c r="X34" i="3" s="1"/>
  <c r="AM32" i="3"/>
  <c r="E17" i="3"/>
  <c r="H49" i="3"/>
  <c r="AM11" i="3"/>
  <c r="E50" i="3"/>
  <c r="H17" i="3"/>
  <c r="H31" i="3"/>
  <c r="H18" i="3"/>
  <c r="H33" i="3"/>
  <c r="E48" i="3"/>
  <c r="AM39" i="3"/>
  <c r="E33" i="3"/>
  <c r="X33" i="3" s="1"/>
  <c r="AM41" i="3"/>
  <c r="H15" i="3"/>
  <c r="E47" i="3"/>
  <c r="X47" i="3" s="1"/>
  <c r="H10" i="3"/>
  <c r="X10" i="3" s="1"/>
  <c r="E41" i="3"/>
  <c r="E23" i="3"/>
  <c r="X23" i="3" s="1"/>
  <c r="AM17" i="3"/>
  <c r="E18" i="3"/>
  <c r="X18" i="3" s="1"/>
  <c r="E32" i="3"/>
  <c r="AM38" i="3"/>
  <c r="H47" i="3"/>
  <c r="H54" i="3"/>
  <c r="E22" i="3"/>
  <c r="AM44" i="3"/>
  <c r="E37" i="3"/>
  <c r="H21" i="3"/>
  <c r="E51" i="3"/>
  <c r="H36" i="3"/>
  <c r="AM51" i="3"/>
  <c r="H53" i="3"/>
  <c r="X53" i="3" s="1"/>
  <c r="E19" i="3"/>
  <c r="H37" i="3"/>
  <c r="AM46" i="3"/>
  <c r="E54" i="3"/>
  <c r="H19" i="3"/>
  <c r="E35" i="3"/>
  <c r="AM47" i="3"/>
  <c r="E52" i="3"/>
  <c r="X52" i="3" s="1"/>
  <c r="E36" i="3"/>
  <c r="AM53" i="3"/>
  <c r="H20" i="3"/>
  <c r="E38" i="3"/>
  <c r="AM50" i="3"/>
  <c r="E21" i="3"/>
  <c r="H52" i="3"/>
  <c r="X7" i="3"/>
  <c r="H38" i="3"/>
  <c r="E20" i="3"/>
  <c r="X20" i="3" s="1"/>
  <c r="H51" i="3"/>
  <c r="AM52" i="3"/>
  <c r="AM33" i="3"/>
  <c r="E49" i="3"/>
  <c r="H16" i="3"/>
  <c r="E31" i="3"/>
  <c r="X31" i="3" s="1"/>
  <c r="AM35" i="3"/>
  <c r="X25" i="3"/>
  <c r="X40" i="3"/>
  <c r="X35" i="3"/>
  <c r="X51" i="3"/>
  <c r="X19" i="3"/>
  <c r="X42" i="3"/>
  <c r="X21" i="3"/>
  <c r="X13" i="3"/>
  <c r="X22" i="3"/>
  <c r="X36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S12" i="3"/>
  <c r="T31" i="3"/>
  <c r="S17" i="3"/>
  <c r="X17" i="3"/>
  <c r="S49" i="3"/>
  <c r="X49" i="3"/>
  <c r="AG40" i="3"/>
  <c r="AG50" i="3"/>
  <c r="T21" i="3"/>
  <c r="T20" i="3"/>
  <c r="X32" i="3"/>
  <c r="S32" i="3"/>
  <c r="X9" i="3"/>
  <c r="S9" i="3"/>
  <c r="S28" i="3"/>
  <c r="X28" i="3"/>
  <c r="S26" i="3"/>
  <c r="X26" i="3"/>
  <c r="AF23" i="3"/>
  <c r="AF33" i="3"/>
  <c r="AG21" i="3"/>
  <c r="T13" i="3"/>
  <c r="T22" i="3"/>
  <c r="T40" i="3"/>
  <c r="S45" i="3"/>
  <c r="X45" i="3"/>
  <c r="X37" i="3"/>
  <c r="S37" i="3"/>
  <c r="S54" i="3"/>
  <c r="X54" i="3"/>
  <c r="X27" i="3"/>
  <c r="S27" i="3"/>
  <c r="T10" i="3"/>
  <c r="AG52" i="3"/>
  <c r="AF14" i="3"/>
  <c r="AG45" i="3"/>
  <c r="T47" i="3"/>
  <c r="T34" i="3"/>
  <c r="S46" i="3"/>
  <c r="S53" i="3"/>
  <c r="X43" i="3"/>
  <c r="S43" i="3"/>
  <c r="T19" i="3"/>
  <c r="AF52" i="3"/>
  <c r="AF26" i="3"/>
  <c r="T48" i="3"/>
  <c r="S24" i="3"/>
  <c r="X24" i="3"/>
  <c r="X38" i="3"/>
  <c r="S38" i="3"/>
  <c r="X50" i="3"/>
  <c r="S50" i="3"/>
  <c r="X16" i="3"/>
  <c r="S16" i="3"/>
  <c r="S29" i="3"/>
  <c r="X29" i="3"/>
  <c r="AG23" i="3"/>
  <c r="AF50" i="3"/>
  <c r="T7" i="3"/>
  <c r="AG44" i="3"/>
  <c r="AF40" i="3"/>
  <c r="T42" i="3"/>
  <c r="T51" i="3"/>
  <c r="T25" i="3"/>
  <c r="S14" i="3"/>
  <c r="S41" i="3"/>
  <c r="AF27" i="3"/>
  <c r="AG14" i="3"/>
  <c r="AG51" i="3"/>
  <c r="AG29" i="3"/>
  <c r="AG46" i="3"/>
  <c r="T36" i="3"/>
  <c r="T8" i="3"/>
  <c r="T52" i="3"/>
  <c r="T23" i="3"/>
  <c r="S39" i="3"/>
  <c r="X11" i="3"/>
  <c r="S11" i="3"/>
  <c r="T35" i="3"/>
  <c r="X15" i="3"/>
  <c r="S15" i="3"/>
  <c r="S30" i="3"/>
  <c r="S18" i="3"/>
  <c r="T33" i="3"/>
  <c r="AF15" i="3"/>
  <c r="AF9" i="3"/>
  <c r="AF51" i="3"/>
  <c r="AF45" i="3"/>
  <c r="T44" i="3"/>
  <c r="AG47" i="3" l="1"/>
  <c r="AG48" i="3" s="1"/>
  <c r="AF22" i="3"/>
  <c r="AF44" i="3"/>
  <c r="AI44" i="3" s="1"/>
  <c r="AF34" i="3"/>
  <c r="AG22" i="3"/>
  <c r="AG39" i="3"/>
  <c r="AG27" i="3"/>
  <c r="AI27" i="3" s="1"/>
  <c r="X8" i="3"/>
  <c r="AG41" i="3"/>
  <c r="AG9" i="3"/>
  <c r="AI9" i="3" s="1"/>
  <c r="AG35" i="3"/>
  <c r="AG32" i="3"/>
  <c r="AF10" i="3"/>
  <c r="AF38" i="3"/>
  <c r="AF53" i="3"/>
  <c r="AF54" i="3" s="1"/>
  <c r="AG8" i="3"/>
  <c r="AF47" i="3"/>
  <c r="AI47" i="3" s="1"/>
  <c r="AF17" i="3"/>
  <c r="AF35" i="3"/>
  <c r="AI35" i="3" s="1"/>
  <c r="AF29" i="3"/>
  <c r="AI29" i="3" s="1"/>
  <c r="AF39" i="3"/>
  <c r="AF28" i="3"/>
  <c r="AG20" i="3"/>
  <c r="AG24" i="3" s="1"/>
  <c r="AG53" i="3"/>
  <c r="AF16" i="3"/>
  <c r="AI16" i="3" s="1"/>
  <c r="AG34" i="3"/>
  <c r="AF8" i="3"/>
  <c r="AF11" i="3"/>
  <c r="AF32" i="3"/>
  <c r="AG26" i="3"/>
  <c r="AI26" i="3" s="1"/>
  <c r="AG17" i="3"/>
  <c r="AF21" i="3"/>
  <c r="AI21" i="3" s="1"/>
  <c r="AG33" i="3"/>
  <c r="AI33" i="3" s="1"/>
  <c r="AG10" i="3"/>
  <c r="AF41" i="3"/>
  <c r="AG15" i="3"/>
  <c r="AI15" i="3" s="1"/>
  <c r="AF20" i="3"/>
  <c r="AG38" i="3"/>
  <c r="AG28" i="3"/>
  <c r="AF46" i="3"/>
  <c r="AG11" i="3"/>
  <c r="AI51" i="3"/>
  <c r="T14" i="3"/>
  <c r="AI40" i="3"/>
  <c r="T38" i="3"/>
  <c r="T46" i="3"/>
  <c r="T45" i="3"/>
  <c r="AI23" i="3"/>
  <c r="AI45" i="3"/>
  <c r="T32" i="3"/>
  <c r="T18" i="3"/>
  <c r="T11" i="3"/>
  <c r="T43" i="3"/>
  <c r="T27" i="3"/>
  <c r="T12" i="3"/>
  <c r="AI14" i="3"/>
  <c r="T26" i="3"/>
  <c r="T29" i="3"/>
  <c r="T24" i="3"/>
  <c r="AI52" i="3"/>
  <c r="T30" i="3"/>
  <c r="T39" i="3"/>
  <c r="T16" i="3"/>
  <c r="T53" i="3"/>
  <c r="T54" i="3"/>
  <c r="T28" i="3"/>
  <c r="T49" i="3"/>
  <c r="T15" i="3"/>
  <c r="T37" i="3"/>
  <c r="T9" i="3"/>
  <c r="T41" i="3"/>
  <c r="AI50" i="3"/>
  <c r="T50" i="3"/>
  <c r="T17" i="3"/>
  <c r="AI17" i="3" l="1"/>
  <c r="AF36" i="3"/>
  <c r="AG42" i="3"/>
  <c r="AI41" i="3"/>
  <c r="AI34" i="3"/>
  <c r="AI28" i="3"/>
  <c r="AI31" i="3" s="1"/>
  <c r="AF30" i="3"/>
  <c r="AF12" i="3"/>
  <c r="AF48" i="3"/>
  <c r="AI53" i="3"/>
  <c r="AI55" i="3" s="1"/>
  <c r="AI54" i="3" s="1"/>
  <c r="AG12" i="3"/>
  <c r="AI10" i="3"/>
  <c r="AI22" i="3"/>
  <c r="AI11" i="3"/>
  <c r="AG36" i="3"/>
  <c r="AF18" i="3"/>
  <c r="AI38" i="3"/>
  <c r="AI20" i="3"/>
  <c r="AF42" i="3"/>
  <c r="AI39" i="3"/>
  <c r="AG18" i="3"/>
  <c r="AI46" i="3"/>
  <c r="AI49" i="3" s="1"/>
  <c r="AI48" i="3" s="1"/>
  <c r="AI32" i="3"/>
  <c r="AF24" i="3"/>
  <c r="AG54" i="3"/>
  <c r="AI8" i="3"/>
  <c r="AG30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I43" i="3" l="1"/>
  <c r="AI42" i="3" s="1"/>
  <c r="AI37" i="3"/>
  <c r="AI36" i="3" s="1"/>
  <c r="AJ33" i="3" s="1"/>
  <c r="AI25" i="3"/>
  <c r="AI24" i="3" s="1"/>
  <c r="AJ22" i="3" s="1"/>
  <c r="AK34" i="3"/>
  <c r="AH34" i="3" s="1"/>
  <c r="AK23" i="3"/>
  <c r="AH23" i="3" s="1"/>
  <c r="AI13" i="3"/>
  <c r="AI12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E42" i="3"/>
  <c r="AK16" i="3"/>
  <c r="AH16" i="3" s="1"/>
  <c r="AJ45" i="3"/>
  <c r="AD30" i="3"/>
  <c r="AJ47" i="3"/>
  <c r="AE48" i="3"/>
  <c r="AE12" i="3"/>
  <c r="AJ46" i="3"/>
  <c r="AJ14" i="3"/>
  <c r="AJ44" i="3"/>
  <c r="AI30" i="3"/>
  <c r="AJ29" i="3" s="1"/>
  <c r="AC18" i="3"/>
  <c r="AK14" i="3"/>
  <c r="AH14" i="3" s="1"/>
  <c r="AJ15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C48" i="3"/>
  <c r="AK44" i="3"/>
  <c r="AE18" i="3"/>
  <c r="AD54" i="3"/>
  <c r="AE36" i="3"/>
  <c r="AC42" i="3"/>
  <c r="AK38" i="3"/>
  <c r="AK47" i="3"/>
  <c r="AC54" i="3"/>
  <c r="AK15" i="3"/>
  <c r="AH15" i="3" s="1"/>
  <c r="AK8" i="3"/>
  <c r="AH8" i="3" s="1"/>
  <c r="AC12" i="3"/>
  <c r="AD24" i="3"/>
  <c r="AD48" i="3"/>
  <c r="AJ51" i="3"/>
  <c r="AK53" i="3"/>
  <c r="AK21" i="3"/>
  <c r="AH21" i="3" s="1"/>
  <c r="AJ52" i="3"/>
  <c r="AK40" i="3"/>
  <c r="AE30" i="3"/>
  <c r="AD42" i="3"/>
  <c r="AD18" i="3"/>
  <c r="AK52" i="3"/>
  <c r="V40" i="3" l="1"/>
  <c r="W40" i="3"/>
  <c r="U39" i="3"/>
  <c r="U24" i="3"/>
  <c r="W24" i="3" s="1"/>
  <c r="AJ34" i="3"/>
  <c r="AJ10" i="3"/>
  <c r="AJ38" i="3"/>
  <c r="AJ39" i="3"/>
  <c r="AJ20" i="3"/>
  <c r="AJ40" i="3"/>
  <c r="AJ41" i="3"/>
  <c r="AJ21" i="3"/>
  <c r="AJ32" i="3"/>
  <c r="AJ35" i="3"/>
  <c r="AJ9" i="3"/>
  <c r="AJ23" i="3"/>
  <c r="AJ11" i="3"/>
  <c r="AJ8" i="3"/>
  <c r="U7" i="3"/>
  <c r="AH13" i="3"/>
  <c r="AH12" i="3" s="1"/>
  <c r="U8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V49" i="3" s="1"/>
  <c r="W39" i="3"/>
  <c r="V39" i="3"/>
  <c r="U20" i="3"/>
  <c r="W20" i="3" s="1"/>
  <c r="V24" i="3"/>
  <c r="V7" i="3"/>
  <c r="W7" i="3"/>
  <c r="W8" i="3"/>
  <c r="V8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16" i="3" l="1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<sst xmlns="http://schemas.openxmlformats.org/spreadsheetml/2006/main" count="4373" uniqueCount="2537">
  <si>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</si>
  <si>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</si>
  <si>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</si>
  <si>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</si>
  <si>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</si>
  <si>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</si>
  <si>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</si>
  <si>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</si>
  <si>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</si>
  <si>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</si>
  <si>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</si>
  <si>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</si>
  <si>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</si>
  <si>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</si>
  <si>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</si>
  <si>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</si>
  <si>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</si>
  <si>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</si>
  <si>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</si>
  <si>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</si>
  <si>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</si>
  <si>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</si>
  <si>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</si>
  <si>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</si>
  <si>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</si>
  <si>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</si>
  <si>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</si>
  <si>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</si>
  <si>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</si>
  <si>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</si>
  <si>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</si>
  <si>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</si>
  <si>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</si>
  <si>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</si>
  <si>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</si>
  <si>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</si>
  <si>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</si>
  <si>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</si>
  <si>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</si>
  <si>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</si>
  <si>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</si>
  <si>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</si>
  <si>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</si>
  <si>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</si>
  <si>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</si>
  <si>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</si>
  <si>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</si>
  <si>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</si>
  <si>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</si>
  <si>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</si>
  <si>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</si>
  <si>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</si>
  <si>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</si>
  <si>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</si>
  <si>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</si>
  <si>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</si>
  <si>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</si>
  <si>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</si>
  <si>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</si>
  <si>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</si>
  <si>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</si>
  <si>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</si>
  <si>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</si>
  <si>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</si>
  <si>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</si>
  <si>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</si>
  <si>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</si>
  <si>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</si>
  <si>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</si>
  <si>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</si>
  <si>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</si>
  <si>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</si>
  <si>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</si>
  <si>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</si>
  <si>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</si>
  <si>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</si>
  <si>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</si>
  <si>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</si>
  <si>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</si>
  <si>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</si>
  <si>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</si>
  <si>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</si>
  <si>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</si>
  <si>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</si>
  <si>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</si>
  <si>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</si>
  <si>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</si>
  <si>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</si>
  <si>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</si>
  <si>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</si>
  <si>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</si>
  <si>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</si>
  <si>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</si>
  <si>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</si>
  <si>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</si>
  <si>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</si>
  <si>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</si>
  <si>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</si>
  <si>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</si>
  <si>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</si>
  <si>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</si>
  <si>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</si>
  <si>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</si>
  <si>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</si>
  <si>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</si>
  <si>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</si>
  <si>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</si>
  <si>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</si>
  <si>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</si>
  <si>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</si>
  <si>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</si>
  <si>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</si>
  <si>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</si>
  <si>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</si>
  <si>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</si>
  <si>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</si>
  <si>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</si>
  <si>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</si>
  <si>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</si>
  <si>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</si>
  <si>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</si>
  <si>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</si>
  <si>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</si>
  <si>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</si>
  <si>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</si>
  <si>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</si>
  <si>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</si>
  <si>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</si>
  <si>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</si>
  <si>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</si>
  <si>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</si>
  <si>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</si>
  <si>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</si>
  <si>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</si>
  <si>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</si>
  <si>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</si>
  <si>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</si>
  <si>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</si>
  <si>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</si>
  <si>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</si>
  <si>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</si>
  <si>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</si>
  <si>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</si>
  <si>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</si>
  <si>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</si>
  <si>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</si>
  <si>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</si>
  <si>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</si>
  <si>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</si>
  <si>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</si>
  <si>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</si>
  <si>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</si>
  <si>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</si>
  <si>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</si>
  <si>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</si>
  <si>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</si>
  <si>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</si>
  <si>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</si>
  <si>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</si>
  <si>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</si>
  <si>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</si>
  <si>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</si>
  <si>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</si>
  <si>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</si>
  <si>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</si>
  <si>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</si>
  <si>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</si>
  <si>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</si>
  <si>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</si>
  <si>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</si>
  <si>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</si>
  <si>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</si>
  <si>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</si>
  <si>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</si>
  <si>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</si>
  <si>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</si>
  <si>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</si>
  <si>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</si>
  <si>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</si>
  <si>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</si>
  <si>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</si>
  <si>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</si>
  <si>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</si>
  <si>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</si>
  <si>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</si>
  <si>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</si>
  <si>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</si>
  <si>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</si>
  <si>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</si>
  <si>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</si>
  <si>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</si>
  <si>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</si>
  <si>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</si>
  <si>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</si>
  <si>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</si>
  <si>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</si>
  <si>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</si>
  <si>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</si>
  <si>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</si>
  <si>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</si>
  <si>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</si>
  <si>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</si>
  <si>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</si>
  <si>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</si>
  <si>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</si>
  <si>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</si>
  <si>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</si>
  <si>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</si>
  <si>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</si>
  <si>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</si>
  <si>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</si>
  <si>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</si>
  <si>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</si>
  <si>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</si>
  <si>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</si>
  <si>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</si>
  <si>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</si>
  <si>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</si>
  <si>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</si>
  <si>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</si>
  <si>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</si>
  <si>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</si>
  <si>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</si>
  <si>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</si>
  <si>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</si>
  <si>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</si>
  <si>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</si>
  <si>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</si>
  <si>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</si>
  <si>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</si>
  <si>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</si>
  <si>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</si>
  <si>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</si>
  <si>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</si>
  <si>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</si>
  <si>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</si>
  <si>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</si>
  <si>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</si>
  <si>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</si>
  <si>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</si>
  <si>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</si>
  <si>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</si>
  <si>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</si>
  <si>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</si>
  <si>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</si>
  <si>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</si>
  <si>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</si>
  <si>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</si>
  <si>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</si>
  <si>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</si>
  <si>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</si>
  <si>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</si>
  <si>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</si>
  <si>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</si>
  <si>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</si>
  <si>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</si>
  <si>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</si>
  <si>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</si>
  <si>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</si>
  <si>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</si>
  <si>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</si>
  <si>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</si>
  <si>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</si>
  <si>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</si>
  <si>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</si>
  <si>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</si>
  <si>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</si>
  <si>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</si>
  <si>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</si>
  <si>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</si>
  <si>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</si>
  <si>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</si>
  <si>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</si>
  <si>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</si>
  <si>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</si>
  <si>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</si>
  <si>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</si>
  <si>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</si>
  <si>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</si>
  <si>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</si>
  <si>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</si>
  <si>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</si>
  <si>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</si>
  <si>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</si>
  <si>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</si>
  <si>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</si>
  <si>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</si>
  <si>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</si>
  <si>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</si>
  <si>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</si>
  <si>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</si>
  <si>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</si>
  <si>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</si>
  <si>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</si>
  <si>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</si>
  <si>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</si>
  <si>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</si>
  <si>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</si>
  <si>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</si>
  <si>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</si>
  <si>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</si>
  <si>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</si>
  <si>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</si>
  <si>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</si>
  <si>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</si>
  <si>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</si>
  <si>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</si>
  <si>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</si>
  <si>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</si>
  <si>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</si>
  <si>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</si>
  <si>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</si>
  <si>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</si>
  <si>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</si>
  <si>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</si>
  <si>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</si>
  <si>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</si>
  <si>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</si>
  <si>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</si>
  <si>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</si>
  <si>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</si>
  <si>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</si>
  <si>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</si>
  <si>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</si>
  <si>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</si>
  <si>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</si>
  <si>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</si>
  <si>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</si>
  <si>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</si>
  <si>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</si>
  <si>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</si>
  <si>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</si>
  <si>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</si>
  <si>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</si>
  <si>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</si>
  <si>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</si>
  <si>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</si>
  <si>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</si>
  <si>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</si>
  <si>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</si>
  <si>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</si>
  <si>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</si>
  <si>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</si>
  <si>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</si>
  <si>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</si>
  <si>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</si>
  <si>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</si>
  <si>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</si>
  <si>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</si>
  <si>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</si>
  <si>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</si>
  <si>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</si>
  <si>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</si>
  <si>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</si>
  <si>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</si>
  <si>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</si>
  <si>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</si>
  <si>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</si>
  <si>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</si>
  <si>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</si>
  <si>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</si>
  <si>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</si>
  <si>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</si>
  <si>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</si>
  <si>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</si>
  <si>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</si>
  <si>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</si>
  <si>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</si>
  <si>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</si>
  <si>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</si>
  <si>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</si>
  <si>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</si>
  <si>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</si>
  <si>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</si>
  <si>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</si>
  <si>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</si>
  <si>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</si>
  <si>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</si>
  <si>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</si>
  <si>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</si>
  <si>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</si>
  <si>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</si>
  <si>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</si>
  <si>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</si>
  <si>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</si>
  <si>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</si>
  <si>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</si>
  <si>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</si>
  <si>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</si>
  <si>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</si>
  <si>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</si>
  <si>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</si>
  <si>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</si>
  <si>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</si>
  <si>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</si>
  <si>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</si>
  <si>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</si>
  <si>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</si>
  <si>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</si>
  <si>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</si>
  <si>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</si>
  <si>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</si>
  <si>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</si>
  <si>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</si>
  <si>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</si>
  <si>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</si>
  <si>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</si>
  <si>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</si>
  <si>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</si>
  <si>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</si>
  <si>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</si>
  <si>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</si>
  <si>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</si>
  <si>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</si>
  <si>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</si>
  <si>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</si>
  <si>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</si>
  <si>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</si>
  <si>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</si>
  <si>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</si>
  <si>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</si>
  <si>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</si>
  <si>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</si>
  <si>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</si>
  <si>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</si>
  <si>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</si>
  <si>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</si>
  <si>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</si>
  <si>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</si>
  <si>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</si>
  <si>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</si>
  <si>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</si>
  <si>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</si>
  <si>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</si>
  <si>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</si>
  <si>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</si>
  <si>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</si>
  <si>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</si>
  <si>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</si>
  <si>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</si>
  <si>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</si>
  <si>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</si>
  <si>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</si>
  <si>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</si>
  <si>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</si>
  <si>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</si>
  <si>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</si>
  <si>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</si>
  <si>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</si>
  <si>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</si>
  <si>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</si>
  <si>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</si>
  <si>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</si>
  <si>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</si>
  <si>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</si>
  <si>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</si>
  <si>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</si>
  <si>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</si>
  <si>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</si>
  <si>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</si>
  <si>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</si>
  <si>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</si>
  <si>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</si>
  <si>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</si>
  <si>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</si>
  <si>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</si>
  <si>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</si>
  <si>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</si>
  <si>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</si>
  <si>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</si>
  <si>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</si>
  <si>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</si>
  <si>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</si>
  <si>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</si>
  <si>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</si>
  <si>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</si>
  <si>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</si>
  <si>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</si>
  <si>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</si>
  <si>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</si>
  <si>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</si>
  <si>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</si>
  <si>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</si>
  <si>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</si>
  <si>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</si>
  <si>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</si>
  <si>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</si>
  <si>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</si>
  <si>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</si>
  <si>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</si>
  <si>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</si>
  <si>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</si>
  <si>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</si>
  <si>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</si>
  <si>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</si>
  <si>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</si>
  <si>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</si>
  <si>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</si>
  <si>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</si>
  <si>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</si>
  <si>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</si>
  <si>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</si>
  <si>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</si>
  <si>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</si>
  <si>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</si>
  <si>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</si>
  <si>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</si>
  <si>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</si>
  <si>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</si>
  <si>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</si>
  <si>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</si>
  <si>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</si>
  <si>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</si>
  <si>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</si>
  <si>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</si>
  <si>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</si>
  <si>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</si>
  <si>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</si>
  <si>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</si>
  <si>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</si>
  <si>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</si>
  <si>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</si>
  <si>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</si>
  <si>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</si>
  <si>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</si>
  <si>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</si>
  <si>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</si>
  <si>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</si>
  <si>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</si>
  <si>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</si>
  <si>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</si>
  <si>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</si>
  <si>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</si>
  <si>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</si>
  <si>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</si>
  <si>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</si>
  <si>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</si>
  <si>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</si>
  <si>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</si>
  <si>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</si>
  <si>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</si>
  <si>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</si>
  <si>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</si>
  <si>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</si>
  <si>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</si>
  <si>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</si>
  <si>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</si>
  <si>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</si>
  <si>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</si>
  <si>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</si>
  <si>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</si>
  <si>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</si>
  <si>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</si>
  <si>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</si>
  <si>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</si>
  <si>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</si>
  <si>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</si>
  <si>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</si>
  <si>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</si>
  <si>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</si>
  <si>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</si>
  <si>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</si>
  <si>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</si>
  <si>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</si>
  <si>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</si>
  <si>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</si>
  <si>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</si>
  <si>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</si>
  <si>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</si>
  <si>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</si>
  <si>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</si>
  <si>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</si>
  <si>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</si>
  <si>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</si>
  <si>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</si>
  <si>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</si>
  <si>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</si>
  <si>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</si>
  <si>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</si>
  <si>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</si>
  <si>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</si>
  <si>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</si>
  <si>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</si>
  <si>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</si>
  <si>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</si>
  <si>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</si>
  <si>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</si>
  <si>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</si>
  <si>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</si>
  <si>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</si>
  <si>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</si>
  <si>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</si>
  <si>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</si>
  <si>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</si>
  <si>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</si>
  <si>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</si>
  <si>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</si>
  <si>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</si>
  <si>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</si>
  <si>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</si>
  <si>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</si>
  <si>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</si>
  <si>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</si>
  <si>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</si>
  <si>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</si>
  <si>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</si>
  <si>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</si>
  <si>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</si>
  <si>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</si>
  <si>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</si>
  <si>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</si>
  <si>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</si>
  <si>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</si>
  <si>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</si>
  <si>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</si>
  <si>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</si>
  <si>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</si>
  <si>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</si>
  <si>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</si>
  <si>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</si>
  <si>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</si>
  <si>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</si>
  <si>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</si>
  <si>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</si>
  <si>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</si>
  <si>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</si>
  <si>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</si>
  <si>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</si>
  <si>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</si>
  <si>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</si>
  <si>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</si>
  <si>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</si>
  <si>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</si>
  <si>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</si>
  <si>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</si>
  <si>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</si>
  <si>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</si>
  <si>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</si>
  <si>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</si>
  <si>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</si>
  <si>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</si>
  <si>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</si>
  <si>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</si>
  <si>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</si>
  <si>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</si>
  <si>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</si>
  <si>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</si>
  <si>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</si>
  <si>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</si>
  <si>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</si>
  <si>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</si>
  <si>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</si>
  <si>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</si>
  <si>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</si>
  <si>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</si>
  <si>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</si>
  <si>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</si>
  <si>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</si>
  <si>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</si>
  <si>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</si>
  <si>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</si>
  <si>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</si>
  <si>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</si>
  <si>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</si>
  <si>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</si>
  <si>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</si>
  <si>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</si>
  <si>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</si>
  <si>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</si>
  <si>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</si>
  <si>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</si>
  <si>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</si>
  <si>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</si>
  <si>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</si>
  <si>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</si>
  <si>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</si>
  <si>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</si>
  <si>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</si>
  <si>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</si>
  <si>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</si>
  <si>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</si>
  <si>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</si>
  <si>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</si>
  <si>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</si>
  <si>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</si>
  <si>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</si>
  <si>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</si>
  <si>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</si>
  <si>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</si>
  <si>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</si>
  <si>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</si>
  <si>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</si>
  <si>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</si>
  <si>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</si>
  <si>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</si>
  <si>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</si>
  <si>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</si>
  <si>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</si>
  <si>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</si>
  <si>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</si>
  <si>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</si>
  <si>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</si>
  <si>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</si>
  <si>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</si>
  <si>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</si>
  <si>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</si>
  <si>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</si>
  <si>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</si>
  <si>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</si>
  <si>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</si>
  <si>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</si>
  <si>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</si>
  <si>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</si>
  <si>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</si>
  <si>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</si>
  <si>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</si>
  <si>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</si>
  <si>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</si>
  <si>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</si>
  <si>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</si>
  <si>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</si>
  <si>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</si>
  <si>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</si>
  <si>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</si>
  <si>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</si>
  <si>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</si>
  <si>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</si>
  <si>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</si>
  <si>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</si>
  <si>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</si>
  <si>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</si>
  <si>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</si>
  <si>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</si>
  <si>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</si>
  <si>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</si>
  <si>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</si>
  <si>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</si>
  <si>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</si>
  <si>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</si>
  <si>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</si>
  <si>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</si>
  <si>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</si>
  <si>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</si>
  <si>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</si>
  <si>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</si>
  <si>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</si>
  <si>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</si>
  <si>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</si>
  <si>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</si>
  <si>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</si>
  <si>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</si>
  <si>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</si>
  <si>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</si>
  <si>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</si>
  <si>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</si>
  <si>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</si>
  <si>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</si>
  <si>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</si>
  <si>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</si>
  <si>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</si>
  <si>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</si>
  <si>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</si>
  <si>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</si>
  <si>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</si>
  <si>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</si>
  <si>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</si>
  <si>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</si>
  <si>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</si>
  <si>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</si>
  <si>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</si>
  <si>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</si>
  <si>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</si>
  <si>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</si>
  <si>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</si>
  <si>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</si>
  <si>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</si>
  <si>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</si>
  <si>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</si>
  <si>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</si>
  <si>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</si>
  <si>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</si>
  <si>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</si>
  <si>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</si>
  <si>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</si>
  <si>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</si>
  <si>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</si>
  <si>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</si>
  <si>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</si>
  <si>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</si>
  <si>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</si>
  <si>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</si>
  <si>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</si>
  <si>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</si>
  <si>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</si>
  <si>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</si>
  <si>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</si>
  <si>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</si>
  <si>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</si>
  <si>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</si>
  <si>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</si>
  <si>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</si>
  <si>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</si>
  <si>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</si>
  <si>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</si>
  <si>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</si>
  <si>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</si>
  <si>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</si>
  <si>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</si>
  <si>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</si>
  <si>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</si>
  <si>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</si>
  <si>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</si>
  <si>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</si>
  <si>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</si>
  <si>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</si>
  <si>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</si>
  <si>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</si>
  <si>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</si>
  <si>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</si>
  <si>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</si>
  <si>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</si>
  <si>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</si>
  <si>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</si>
  <si>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</si>
  <si>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</si>
  <si>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</si>
  <si>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</si>
  <si>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</si>
  <si>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</si>
  <si>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</si>
  <si>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</si>
  <si>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</si>
  <si>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</si>
  <si>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</si>
  <si>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</si>
  <si>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</si>
  <si>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</si>
  <si>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</si>
  <si>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</si>
  <si>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</si>
  <si>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</si>
  <si>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</si>
  <si>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</si>
  <si>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</si>
  <si>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</si>
  <si>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</si>
  <si>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</si>
  <si>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</si>
  <si>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</si>
  <si>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</si>
  <si>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</si>
  <si>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</si>
  <si>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</si>
  <si>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</si>
  <si>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</si>
  <si>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</si>
  <si>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</si>
  <si>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</si>
  <si>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</si>
  <si>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</si>
  <si>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</si>
  <si>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</si>
  <si>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</si>
  <si>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</si>
  <si>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</si>
  <si>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</si>
  <si>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</si>
  <si>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</si>
  <si>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</si>
  <si>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</si>
  <si>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</si>
  <si>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</si>
  <si>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</si>
  <si>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</si>
  <si>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</si>
  <si>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</si>
  <si>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</si>
  <si>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</si>
  <si>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</si>
  <si>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</si>
  <si>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</si>
  <si>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</si>
  <si>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</si>
  <si>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</si>
  <si>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</si>
  <si>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</si>
  <si>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</si>
  <si>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</si>
  <si>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</si>
  <si>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</si>
  <si>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</si>
  <si>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</si>
  <si>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</si>
  <si>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</si>
  <si>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</si>
  <si>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</si>
  <si>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</si>
  <si>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</si>
  <si>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</si>
  <si>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</si>
  <si>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</si>
  <si>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</si>
  <si>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</si>
  <si>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</si>
  <si>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</si>
  <si>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</si>
  <si>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</si>
  <si>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</si>
  <si>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</si>
  <si>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</si>
  <si>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</si>
  <si>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</si>
  <si>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</si>
  <si>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</si>
  <si>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</si>
  <si>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</si>
  <si>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</si>
  <si>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</si>
  <si>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</si>
  <si>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</si>
  <si>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</si>
  <si>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</si>
  <si>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</si>
  <si>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</si>
  <si>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</si>
  <si>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</si>
  <si>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</si>
  <si>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</si>
  <si>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</si>
  <si>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</si>
  <si>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</si>
  <si>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</si>
  <si>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</si>
  <si>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</si>
  <si>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</si>
  <si>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</si>
  <si>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</si>
  <si>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</si>
  <si>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</si>
  <si>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</si>
  <si>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</si>
  <si>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</si>
  <si>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</si>
  <si>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</si>
  <si>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</si>
  <si>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</si>
  <si>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</si>
  <si>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</si>
  <si>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</si>
  <si>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</si>
  <si>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</si>
  <si>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</si>
  <si>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</si>
  <si>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</si>
  <si>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</si>
  <si>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</si>
  <si>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</si>
  <si>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</si>
  <si>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</si>
  <si>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</si>
  <si>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</si>
  <si>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</si>
  <si>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</si>
  <si>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</si>
  <si>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</si>
  <si>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</si>
  <si>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</si>
  <si>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</si>
  <si>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</si>
  <si>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</si>
  <si>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</si>
  <si>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</si>
  <si>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</si>
  <si>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</si>
  <si>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</si>
  <si>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</si>
  <si>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</si>
  <si>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</si>
  <si>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</si>
  <si>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</si>
  <si>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</si>
  <si>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</si>
  <si>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</si>
  <si>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</si>
  <si>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</si>
  <si>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</si>
  <si>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</si>
  <si>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</si>
  <si>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</si>
  <si>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</si>
  <si>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</si>
  <si>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</si>
  <si>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</si>
  <si>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</si>
  <si>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</si>
  <si>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</si>
  <si>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</si>
  <si>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</si>
  <si>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</si>
  <si>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</si>
  <si>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</si>
  <si>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</si>
  <si>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</si>
  <si>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</si>
  <si>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</si>
  <si>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</si>
  <si>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</si>
  <si>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</si>
  <si>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</si>
  <si>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</si>
  <si>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</si>
  <si>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</si>
  <si>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</si>
  <si>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</si>
  <si>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</si>
  <si>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</si>
  <si>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</si>
  <si>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</si>
  <si>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</si>
  <si>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</si>
  <si>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</si>
  <si>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</si>
  <si>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</si>
  <si>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</si>
  <si>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</si>
  <si>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</si>
  <si>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</si>
  <si>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</si>
  <si>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</si>
  <si>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</si>
  <si>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</si>
  <si>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</si>
  <si>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</si>
  <si>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</si>
  <si>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</si>
  <si>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</si>
  <si>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</si>
  <si>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</si>
  <si>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</si>
  <si>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</si>
  <si>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</si>
  <si>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</si>
  <si>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</si>
  <si>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</si>
  <si>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</si>
  <si>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</si>
  <si>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</si>
  <si>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</si>
  <si>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</si>
  <si>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</si>
  <si>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</si>
  <si>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</si>
  <si>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</si>
  <si>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</si>
  <si>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</si>
  <si>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</si>
  <si>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</si>
  <si>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</si>
  <si>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</si>
  <si>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</si>
  <si>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</si>
  <si>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</si>
  <si>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</si>
  <si>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</si>
  <si>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</si>
  <si>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</si>
  <si>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</si>
  <si>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</si>
  <si>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</si>
  <si>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</si>
  <si>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</si>
  <si>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</si>
  <si>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</si>
  <si>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</si>
  <si>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</si>
  <si>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</si>
  <si>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</si>
  <si>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</si>
  <si>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</si>
  <si>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</si>
  <si>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</si>
  <si>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</si>
  <si>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</si>
  <si>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</si>
  <si>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</si>
  <si>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</si>
  <si>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</si>
  <si>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</si>
  <si>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</si>
  <si>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</si>
  <si>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</si>
  <si>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</si>
  <si>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</si>
  <si>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</si>
  <si>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</si>
  <si>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</si>
  <si>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</si>
  <si>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</si>
  <si>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</si>
  <si>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</si>
  <si>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</si>
  <si>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</si>
  <si>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</si>
  <si>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</si>
  <si>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</si>
  <si>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</si>
  <si>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</si>
  <si>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</si>
  <si>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</si>
  <si>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</si>
  <si>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</si>
  <si>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</si>
  <si>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</si>
  <si>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</si>
  <si>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</si>
  <si>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</si>
  <si>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</si>
  <si>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</si>
  <si>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</si>
  <si>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</si>
  <si>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</si>
  <si>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</si>
  <si>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</si>
  <si>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</si>
  <si>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</si>
  <si>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</si>
  <si>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</si>
  <si>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</si>
  <si>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</si>
  <si>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</si>
  <si>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</si>
  <si>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</si>
  <si>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</si>
  <si>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</si>
  <si>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</si>
  <si>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</si>
  <si>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</si>
  <si>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</si>
  <si>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</si>
  <si>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</si>
  <si>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</si>
  <si>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</si>
  <si>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</si>
  <si>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</si>
  <si>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</si>
  <si>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</si>
  <si>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</si>
  <si>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</si>
  <si>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</si>
  <si>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</si>
  <si>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</si>
  <si>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</si>
  <si>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</si>
  <si>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</si>
  <si>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</si>
  <si>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</si>
  <si>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</si>
  <si>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</si>
  <si>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</si>
  <si>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</si>
  <si>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</si>
  <si>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</si>
  <si>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</si>
  <si>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</si>
  <si>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</si>
  <si>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</si>
  <si>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</si>
  <si>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</si>
  <si>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</si>
  <si>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</si>
  <si>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</si>
  <si>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</si>
  <si>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</si>
  <si>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</si>
  <si>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</si>
  <si>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</si>
  <si>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</si>
  <si>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</si>
  <si>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</si>
  <si>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</si>
  <si>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</si>
  <si>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</si>
  <si>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</si>
  <si>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</si>
  <si>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</si>
  <si>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</si>
  <si>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</si>
  <si>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</si>
  <si>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</si>
  <si>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</si>
  <si>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</si>
  <si>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</si>
  <si>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</si>
  <si>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</si>
  <si>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</si>
  <si>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</si>
  <si>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</si>
  <si>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</si>
  <si>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</si>
  <si>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</si>
  <si>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</si>
  <si>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</si>
  <si>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</si>
  <si>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</si>
  <si>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</si>
  <si>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</si>
  <si>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</si>
  <si>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</si>
  <si>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</si>
  <si>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</si>
  <si>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</si>
  <si>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</si>
  <si>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</si>
  <si>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</si>
  <si>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</si>
  <si>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</si>
  <si>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</si>
  <si>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</si>
  <si>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</si>
  <si>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</si>
  <si>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</si>
  <si>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</si>
  <si>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</si>
  <si>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</si>
  <si>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</si>
  <si>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</si>
  <si>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</si>
  <si>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</si>
  <si>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</si>
  <si>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</si>
  <si>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</si>
  <si>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</si>
  <si>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</si>
  <si>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</si>
  <si>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</si>
  <si>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</si>
  <si>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</si>
  <si>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</si>
  <si>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</si>
  <si>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</si>
  <si>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</si>
  <si>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</si>
  <si>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</si>
  <si>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</si>
  <si>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</si>
  <si>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</si>
  <si>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</si>
  <si>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</si>
  <si>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</si>
  <si>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</si>
  <si>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</si>
  <si>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</si>
  <si>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</si>
  <si>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</si>
  <si>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</si>
  <si>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</si>
  <si>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</si>
  <si>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</si>
  <si>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</si>
  <si>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</si>
  <si>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</si>
  <si>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</si>
  <si>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</si>
  <si>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</si>
  <si>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</si>
  <si>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</si>
  <si>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</si>
  <si>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</si>
  <si>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</si>
  <si>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</si>
  <si>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</si>
  <si>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</si>
  <si>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</si>
  <si>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</si>
  <si>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</si>
  <si>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</si>
  <si>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</si>
  <si>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</si>
  <si>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</si>
  <si>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</si>
  <si>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</si>
  <si>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</si>
  <si>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</si>
  <si>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</si>
  <si>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</si>
  <si>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</si>
  <si>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</si>
  <si>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</si>
  <si>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</si>
  <si>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</si>
  <si>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</si>
  <si>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</si>
  <si>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</si>
  <si>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</si>
  <si>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</si>
  <si>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</si>
  <si>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</si>
  <si>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</si>
  <si>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</si>
  <si>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</si>
  <si>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</si>
  <si>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</si>
  <si>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</si>
  <si>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</si>
  <si>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</si>
  <si>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</si>
  <si>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</si>
  <si>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</si>
  <si>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</si>
  <si>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</si>
  <si>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</si>
  <si>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</si>
  <si>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</si>
  <si>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</si>
  <si>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</si>
  <si>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</si>
  <si>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</si>
  <si>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</si>
  <si>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</si>
  <si>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</si>
  <si>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</si>
  <si>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</si>
  <si>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</si>
  <si>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</si>
  <si>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</si>
  <si>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</si>
  <si>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</si>
  <si>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</si>
  <si>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</si>
  <si>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</si>
  <si>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</si>
  <si>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</si>
  <si>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</si>
  <si>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</si>
  <si>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</si>
  <si>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</si>
  <si>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</si>
  <si>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</si>
  <si>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</si>
  <si>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</si>
  <si>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</si>
  <si>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</si>
  <si>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</si>
  <si>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</si>
  <si>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</si>
  <si>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</si>
  <si>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</si>
  <si>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</si>
  <si>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</si>
  <si>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</si>
  <si>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</si>
  <si>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</si>
  <si>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</si>
  <si>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</si>
  <si>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</si>
  <si>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</si>
  <si>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</si>
  <si>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</si>
  <si>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</si>
  <si>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</si>
  <si>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</si>
  <si>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</si>
  <si>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</si>
  <si>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</si>
  <si>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</si>
  <si>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</si>
  <si>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</si>
  <si>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</si>
  <si>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</si>
  <si>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</si>
  <si>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</si>
  <si>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</si>
  <si>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</si>
  <si>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</si>
  <si>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</si>
  <si>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</si>
  <si>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</si>
  <si>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</si>
  <si>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</si>
  <si>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</si>
  <si>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</si>
  <si>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</si>
  <si>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</si>
  <si>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</si>
  <si>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</si>
  <si>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</si>
  <si>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</si>
  <si>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</si>
  <si>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</si>
  <si>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</si>
  <si>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</si>
  <si>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</si>
  <si>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</si>
  <si>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</si>
  <si>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</si>
  <si>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</si>
  <si>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</si>
  <si>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</si>
  <si>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</si>
  <si>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</si>
  <si>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</si>
  <si>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</si>
  <si>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</si>
  <si>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</si>
  <si>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</si>
  <si>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</si>
  <si>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</si>
  <si>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</si>
  <si>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</si>
  <si>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</si>
  <si>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</si>
  <si>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</si>
  <si>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</si>
  <si>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</si>
  <si>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</si>
  <si>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</si>
  <si>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</si>
  <si>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</si>
  <si>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</si>
  <si>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</si>
  <si>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</si>
  <si>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</si>
  <si>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</si>
  <si>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</si>
  <si>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</si>
  <si>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</si>
  <si>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</si>
  <si>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</si>
  <si>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</si>
  <si>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</si>
  <si>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</si>
  <si>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</si>
  <si>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</si>
  <si>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</si>
  <si>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</si>
  <si>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</si>
  <si>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</si>
  <si>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</si>
  <si>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</si>
  <si>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</si>
  <si>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</si>
  <si>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</si>
  <si>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</si>
  <si>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</si>
  <si>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</si>
  <si>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</si>
  <si>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</si>
  <si>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</si>
  <si>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</si>
  <si>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</si>
  <si>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</si>
  <si>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</si>
  <si>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</si>
  <si>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</si>
  <si>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</si>
  <si>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</si>
  <si>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</si>
  <si>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</si>
  <si>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</si>
  <si>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</si>
  <si>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</si>
  <si>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</si>
  <si>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</si>
  <si>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</si>
  <si>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</si>
  <si>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</si>
  <si>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</si>
  <si>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</si>
  <si>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</si>
  <si>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</si>
  <si>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</si>
  <si>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</si>
  <si>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</si>
  <si>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</si>
  <si>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</si>
  <si>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</si>
  <si>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</si>
  <si>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</si>
  <si>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</si>
  <si>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</si>
  <si>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</si>
  <si>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</si>
  <si>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</si>
  <si>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</si>
  <si>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</si>
  <si>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</si>
  <si>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</si>
  <si>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</si>
  <si>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</si>
  <si>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</si>
  <si>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</si>
  <si>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</si>
  <si>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</si>
  <si>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</si>
  <si>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</si>
  <si>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</si>
  <si>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</si>
  <si>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</si>
  <si>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</si>
  <si>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</si>
  <si>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</si>
  <si>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</si>
  <si>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</si>
  <si>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</si>
  <si>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</si>
  <si>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</si>
  <si>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</si>
  <si>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</si>
  <si>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</si>
  <si>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</si>
  <si>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</si>
  <si>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</si>
  <si>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</si>
  <si>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</si>
  <si>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</si>
  <si>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</si>
  <si>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</si>
  <si>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</si>
  <si>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</si>
  <si>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</si>
  <si>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</si>
  <si>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</si>
  <si>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</si>
  <si>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</si>
  <si>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</si>
  <si>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</si>
  <si>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</si>
  <si>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</si>
  <si>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</si>
  <si>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</si>
  <si>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</si>
  <si>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</si>
  <si>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</si>
  <si>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</si>
  <si>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</si>
  <si>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</si>
  <si>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</si>
  <si>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</si>
  <si>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</si>
  <si>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</si>
  <si>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</si>
  <si>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</si>
  <si>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</si>
  <si>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</si>
  <si>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</si>
  <si>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</si>
  <si>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</si>
  <si>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</si>
  <si>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</si>
  <si>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</si>
  <si>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</si>
  <si>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</si>
  <si>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</si>
  <si>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</si>
  <si>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</si>
  <si>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</si>
  <si>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</si>
  <si>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</si>
  <si>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</si>
  <si>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</si>
  <si>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</si>
  <si>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</si>
  <si>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</si>
  <si>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</si>
  <si>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</si>
  <si>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</si>
  <si>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</si>
  <si>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</si>
  <si>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</si>
  <si>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</si>
  <si>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</si>
  <si>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</si>
  <si>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</si>
  <si>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</si>
  <si>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</si>
  <si>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</si>
  <si>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</si>
  <si>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</si>
  <si>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</si>
  <si>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</si>
  <si>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</si>
  <si>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</si>
  <si>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</si>
  <si>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</si>
  <si>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</si>
  <si>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</si>
  <si>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</si>
  <si>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</si>
  <si>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</si>
  <si>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</si>
  <si>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</si>
  <si>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</si>
  <si>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</si>
  <si>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</si>
  <si>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</si>
  <si>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</si>
  <si>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</si>
  <si>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</si>
  <si>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</si>
  <si>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</si>
  <si>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</si>
  <si>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</si>
  <si>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</si>
  <si>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</si>
  <si>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</si>
  <si>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</si>
  <si>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</si>
  <si>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</si>
  <si>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</si>
  <si>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</si>
  <si>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</si>
  <si>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</si>
  <si>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</si>
  <si>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</si>
  <si>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</si>
  <si>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</si>
  <si>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</si>
  <si>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</si>
  <si>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</si>
  <si>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</si>
  <si>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</si>
  <si>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</si>
  <si>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</si>
  <si>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</si>
  <si>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</si>
  <si>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</si>
  <si>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</si>
  <si>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</si>
  <si>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</si>
  <si>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</si>
  <si>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</si>
  <si>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</si>
  <si>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</si>
  <si>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</si>
  <si>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</si>
  <si>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</si>
  <si>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</si>
  <si>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</si>
  <si>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</si>
  <si>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</si>
  <si>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</si>
  <si>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</si>
  <si>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</si>
  <si>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</si>
  <si>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</si>
  <si>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</si>
  <si>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</si>
  <si>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</si>
  <si>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</si>
  <si>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</si>
  <si>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</si>
  <si>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</si>
  <si>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</si>
  <si>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</si>
  <si>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</si>
  <si>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</si>
  <si>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</si>
  <si>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</si>
  <si>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</si>
  <si>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</si>
  <si>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</si>
  <si>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</si>
  <si>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</si>
  <si>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</si>
  <si>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</si>
  <si>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</si>
  <si>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</si>
  <si>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</si>
  <si>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</si>
  <si>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</si>
  <si>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</si>
  <si>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</si>
  <si>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</si>
  <si>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</si>
  <si>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</si>
  <si>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</si>
  <si>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</si>
  <si>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</si>
  <si>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</si>
  <si>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</si>
  <si>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</si>
  <si>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</si>
  <si>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</si>
  <si>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</si>
  <si>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</si>
  <si>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</si>
  <si>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</si>
  <si>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</si>
  <si>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</si>
  <si>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</si>
  <si>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</si>
  <si>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</si>
  <si>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</si>
  <si>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</si>
  <si>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</si>
  <si>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</si>
  <si>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</si>
  <si>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</si>
  <si>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</si>
  <si>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</si>
  <si>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</si>
  <si>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</si>
  <si>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</si>
  <si>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</si>
  <si>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</si>
  <si>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</si>
  <si>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</si>
  <si>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</si>
  <si>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</si>
  <si>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</si>
  <si>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</si>
  <si>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</si>
  <si>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</si>
  <si>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</si>
  <si>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</si>
  <si>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</si>
  <si>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</si>
  <si>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</si>
  <si>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</si>
  <si>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</si>
  <si>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</si>
  <si>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</si>
  <si>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</si>
  <si>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</si>
  <si>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</si>
  <si>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</si>
  <si>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</si>
  <si>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</si>
  <si>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</si>
  <si>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</si>
  <si>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</si>
  <si>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</si>
  <si>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</si>
  <si>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</si>
  <si>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</si>
  <si>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</si>
  <si>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</si>
  <si>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</si>
  <si>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</si>
  <si>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</si>
  <si>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</si>
  <si>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</si>
  <si>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</si>
  <si>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</si>
  <si>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</si>
  <si>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</si>
  <si>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</si>
  <si>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</si>
  <si>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</si>
  <si>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</si>
  <si>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</si>
  <si>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</si>
  <si>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</si>
  <si>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</si>
  <si>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</si>
  <si>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</si>
  <si>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</si>
  <si>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</si>
  <si>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</si>
  <si>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</si>
  <si>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</si>
  <si>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</si>
  <si>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</si>
  <si>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</si>
  <si>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</si>
  <si>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</si>
  <si>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</si>
  <si>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</si>
  <si>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</si>
  <si>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</si>
  <si>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</si>
  <si>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</si>
  <si>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</si>
  <si>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</si>
  <si>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</si>
  <si>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</si>
  <si>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</si>
  <si>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</si>
  <si>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</si>
  <si>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</si>
  <si>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</si>
  <si>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</si>
  <si>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</si>
  <si>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</si>
  <si>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</si>
  <si>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</si>
  <si>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</si>
  <si>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</si>
  <si>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</si>
  <si>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</si>
  <si>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</si>
  <si>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</si>
  <si>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</si>
  <si>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</si>
  <si>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</si>
  <si>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</si>
  <si>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</si>
  <si>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</si>
  <si>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</si>
  <si>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</si>
  <si>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</si>
  <si>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</si>
  <si>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</si>
  <si>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</si>
  <si>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</si>
  <si>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</si>
  <si>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</si>
  <si>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</si>
  <si>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</si>
  <si>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</si>
  <si>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</si>
  <si>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</si>
  <si>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</si>
  <si>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</si>
  <si>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</si>
  <si>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</si>
  <si>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</si>
  <si>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</si>
  <si>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</si>
  <si>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</si>
  <si>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</si>
  <si>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</si>
  <si>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</si>
  <si>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</si>
  <si>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</si>
  <si>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</si>
  <si>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</si>
  <si>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</si>
  <si>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</si>
  <si>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</si>
  <si>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</si>
  <si>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</si>
  <si>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</si>
  <si>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</si>
  <si>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</si>
  <si>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</si>
  <si>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</si>
  <si>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</si>
  <si>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</si>
  <si>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</si>
  <si>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</si>
  <si>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</si>
  <si>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</si>
  <si>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</si>
  <si>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</si>
  <si>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</si>
  <si>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</si>
  <si>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</si>
  <si>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</si>
  <si>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</si>
  <si>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</si>
  <si>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</si>
  <si>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</si>
  <si>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</si>
  <si>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</si>
  <si>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</si>
  <si>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</si>
  <si>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</si>
  <si>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</si>
  <si>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</si>
  <si>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</si>
  <si>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</si>
  <si>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</si>
  <si>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</si>
  <si>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</si>
  <si>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</si>
  <si>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</si>
  <si>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</si>
  <si>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</si>
  <si>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</si>
  <si>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</si>
  <si>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</si>
  <si>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</si>
  <si>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</si>
  <si>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</si>
  <si>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</si>
  <si>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</si>
  <si>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</si>
  <si>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</si>
  <si>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</si>
  <si>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</si>
  <si>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</si>
  <si>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</si>
  <si>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</si>
  <si>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</si>
  <si>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</si>
  <si>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</si>
  <si>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</si>
  <si>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</si>
  <si>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</si>
  <si>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</si>
  <si>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</si>
  <si>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</si>
  <si>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</si>
  <si>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</si>
  <si>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</si>
  <si>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</si>
  <si>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</si>
  <si>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</si>
  <si>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</si>
  <si>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</si>
  <si>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</si>
  <si>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</si>
  <si>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</si>
  <si>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</si>
  <si>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</si>
  <si>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</si>
  <si>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</si>
  <si>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</si>
  <si>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</si>
  <si>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</si>
  <si>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</si>
  <si>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</si>
  <si>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</si>
  <si>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</si>
  <si>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</si>
  <si>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</si>
  <si>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</si>
  <si>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</si>
  <si>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</si>
  <si>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</si>
  <si>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</si>
  <si>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</si>
  <si>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</si>
  <si>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</si>
  <si>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</si>
  <si>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</si>
  <si>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</si>
  <si>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</si>
  <si>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</si>
  <si>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</si>
  <si>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</si>
  <si>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</si>
  <si>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</si>
  <si>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</si>
  <si>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</si>
  <si>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</si>
  <si>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</si>
  <si>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</si>
  <si>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</si>
  <si>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</si>
  <si>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</si>
  <si>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</si>
  <si>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</si>
  <si>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</si>
  <si>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</si>
  <si>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</si>
  <si>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</si>
  <si>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</si>
  <si>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</si>
  <si>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</si>
  <si>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</si>
  <si>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</si>
  <si>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</si>
  <si>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</si>
  <si>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</si>
  <si>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</si>
  <si>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</si>
  <si>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</si>
  <si>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</si>
  <si>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</si>
  <si>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</si>
  <si>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</si>
  <si>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</si>
  <si>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</si>
  <si>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</si>
  <si>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</si>
  <si>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</si>
  <si>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</si>
  <si>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</si>
  <si>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</si>
  <si>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</si>
  <si>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</si>
  <si>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</si>
  <si>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</si>
  <si>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</si>
  <si>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</si>
  <si>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</si>
  <si>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</si>
  <si>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</si>
  <si>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</si>
  <si>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</si>
  <si>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</si>
  <si>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</si>
  <si>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</si>
  <si>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</si>
  <si>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</si>
  <si>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</si>
  <si>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</si>
  <si>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</si>
  <si>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</si>
  <si>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</si>
  <si>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</si>
  <si>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</si>
  <si>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</si>
  <si>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</si>
  <si>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</si>
  <si>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</si>
  <si>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</si>
  <si>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</si>
  <si>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</si>
  <si>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</si>
  <si>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</si>
  <si>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</si>
  <si>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</si>
  <si>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</si>
  <si>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</si>
  <si>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</si>
  <si>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</si>
  <si>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</si>
  <si>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</si>
  <si>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</si>
  <si>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</si>
  <si>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</si>
  <si>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</si>
  <si>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</si>
  <si>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</si>
  <si>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</si>
  <si>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</si>
  <si>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</si>
  <si>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</si>
  <si>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</si>
  <si>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</si>
  <si>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</si>
  <si>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</si>
  <si>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</si>
  <si>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</si>
  <si>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</si>
  <si>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</si>
  <si>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</si>
  <si>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</si>
  <si>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</si>
  <si>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</si>
  <si>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</si>
  <si>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</si>
  <si>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</si>
  <si>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</si>
  <si>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</si>
  <si>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</si>
  <si>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</si>
  <si>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</si>
  <si>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</si>
  <si>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</si>
  <si>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</si>
  <si>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</si>
  <si>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</si>
  <si>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</si>
  <si>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</si>
  <si>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</si>
  <si>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</si>
  <si>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</si>
  <si>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</si>
  <si>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</si>
  <si>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</si>
  <si>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</si>
  <si>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</si>
  <si>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</si>
  <si>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</si>
  <si>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</si>
  <si>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</si>
  <si>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</si>
  <si>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</si>
  <si>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</si>
  <si>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</si>
  <si>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</si>
  <si>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</si>
  <si>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</si>
  <si>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</si>
  <si>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</si>
  <si>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</si>
  <si>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</si>
  <si>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</si>
  <si>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</si>
  <si>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</si>
  <si>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</si>
  <si>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</si>
  <si>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</si>
  <si>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</si>
  <si>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</si>
  <si>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</si>
  <si>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</si>
  <si>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</si>
  <si>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</si>
  <si>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</si>
  <si>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</si>
  <si>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</si>
  <si>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</si>
  <si>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</si>
  <si>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</si>
  <si>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</si>
  <si>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</si>
  <si>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</si>
  <si>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</si>
  <si>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</si>
  <si>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</si>
  <si>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</si>
  <si>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</si>
  <si>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</si>
  <si>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</si>
  <si>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</si>
  <si>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</si>
  <si>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</si>
  <si>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</si>
  <si>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</si>
  <si>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</si>
  <si>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</si>
  <si>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</si>
  <si>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</si>
  <si>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</si>
  <si>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</si>
  <si>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</si>
  <si>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</si>
  <si>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</si>
  <si>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</si>
  <si>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</si>
  <si>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</si>
  <si>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</si>
  <si>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</si>
  <si>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</si>
  <si>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</si>
  <si>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</si>
  <si>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</si>
  <si>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</si>
  <si>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</si>
  <si>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</si>
  <si>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</si>
  <si>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</si>
  <si>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</si>
  <si>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</si>
  <si>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</si>
  <si>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</si>
  <si>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</si>
  <si>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</si>
  <si>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</si>
  <si>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</si>
  <si>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</si>
  <si>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</si>
  <si>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</si>
  <si>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</si>
  <si>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</si>
  <si>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</si>
  <si>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</si>
  <si>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</si>
  <si>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</si>
  <si>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</si>
  <si>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</si>
  <si>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</si>
  <si>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</si>
  <si>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</si>
  <si>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</si>
  <si>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</si>
  <si>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</si>
  <si>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</si>
  <si>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</si>
  <si>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</si>
  <si>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</si>
  <si>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</si>
  <si>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</si>
  <si>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</si>
  <si>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</si>
  <si>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</si>
  <si>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</si>
  <si>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</si>
  <si>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</si>
  <si>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</si>
  <si>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</si>
  <si>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</si>
  <si>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</si>
  <si>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</si>
  <si>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</si>
  <si>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</si>
  <si>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</si>
  <si>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</si>
  <si>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</si>
  <si>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</si>
  <si>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</si>
  <si>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</si>
  <si>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</si>
  <si>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</si>
  <si>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</si>
  <si>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</si>
  <si>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</si>
  <si>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</si>
  <si>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</si>
  <si>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</si>
  <si>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</si>
  <si>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</si>
  <si>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</si>
  <si>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</si>
  <si>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</si>
  <si>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</si>
  <si>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</si>
  <si>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</si>
  <si>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</si>
  <si>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</si>
  <si>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</si>
  <si>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</si>
  <si>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</si>
  <si>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</si>
  <si>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</si>
  <si>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</si>
  <si>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</si>
  <si>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</si>
  <si>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</si>
  <si>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</si>
  <si>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</si>
  <si>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</si>
  <si>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</si>
  <si>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</si>
  <si>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</si>
  <si>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</si>
  <si>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</si>
  <si>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</si>
  <si>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</si>
  <si>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</si>
  <si>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</si>
  <si>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</si>
  <si>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</si>
  <si>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</si>
  <si>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</si>
  <si>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</si>
  <si>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</si>
  <si>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</si>
  <si>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</si>
  <si>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</si>
  <si>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</si>
  <si>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</si>
  <si>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</si>
  <si>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</si>
  <si>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</si>
  <si>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</si>
  <si>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</si>
  <si>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</si>
  <si>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</si>
  <si>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</si>
  <si>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</si>
  <si>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</si>
  <si>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</si>
  <si>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</si>
  <si>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</si>
  <si>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</si>
  <si>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</si>
  <si>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</si>
  <si>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</si>
  <si>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</si>
  <si>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</si>
  <si>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</si>
  <si>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</si>
  <si>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</si>
  <si>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</si>
  <si>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</si>
  <si>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</si>
  <si>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</si>
  <si>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</si>
  <si>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</si>
  <si>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</si>
  <si>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</si>
  <si>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</si>
  <si>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</si>
  <si>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</si>
  <si>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</si>
  <si>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</si>
  <si>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</si>
  <si>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</si>
  <si>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</si>
  <si>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</si>
  <si>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</si>
  <si>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</si>
  <si>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</si>
  <si>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</si>
  <si>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</si>
  <si>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</si>
  <si>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</si>
  <si>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</si>
  <si>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</si>
  <si>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</si>
  <si>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</si>
  <si>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</si>
  <si>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</si>
  <si>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</si>
  <si>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</si>
  <si>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</si>
  <si>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</si>
  <si>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</si>
  <si>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</si>
  <si>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</si>
  <si>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</si>
  <si>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</si>
  <si>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</si>
  <si>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</si>
  <si>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</si>
  <si>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</si>
  <si>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</si>
  <si>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</si>
  <si>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</si>
  <si>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</si>
  <si>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</si>
  <si>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</si>
  <si>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</si>
  <si>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</si>
  <si>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</si>
  <si>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</si>
  <si>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</si>
  <si>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</si>
  <si>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</si>
  <si>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</si>
  <si>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</si>
  <si>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</si>
  <si>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</si>
  <si>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</si>
  <si>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</si>
  <si>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</si>
  <si>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</si>
  <si>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</si>
  <si>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</si>
  <si>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</si>
  <si>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</si>
  <si>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</si>
  <si>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</si>
  <si>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</si>
  <si>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</si>
  <si>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</si>
  <si>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</si>
  <si>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</si>
  <si>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</si>
  <si>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</si>
  <si>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</si>
  <si>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</si>
  <si>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</si>
  <si>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</si>
  <si>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</si>
  <si>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</si>
  <si>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</si>
  <si>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</si>
  <si>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</si>
  <si>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</si>
  <si>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</si>
  <si>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</si>
  <si>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</si>
  <si>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</si>
  <si>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</si>
  <si>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</si>
  <si>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</si>
  <si>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</si>
  <si>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</si>
  <si>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</si>
  <si>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</si>
  <si>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</si>
  <si>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</si>
  <si>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</si>
  <si>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</si>
  <si>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</si>
  <si>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</si>
  <si>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</si>
  <si>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</si>
  <si>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</si>
  <si>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</si>
  <si>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</si>
  <si>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</si>
  <si>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</si>
  <si>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</si>
  <si>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</si>
  <si>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</si>
  <si>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</si>
  <si>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</si>
  <si>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</si>
  <si>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</si>
  <si>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</si>
  <si>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</si>
  <si>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</si>
  <si>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</si>
  <si>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</si>
  <si>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</si>
  <si>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</si>
  <si>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</si>
  <si>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</si>
  <si>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</si>
  <si>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</si>
  <si>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</si>
  <si>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</si>
  <si>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</si>
  <si>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</si>
  <si>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</si>
  <si>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</si>
  <si>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</si>
  <si>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</si>
  <si>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</si>
  <si>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</si>
  <si>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</si>
  <si>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</si>
  <si>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</si>
  <si>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</si>
  <si>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</si>
  <si>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</si>
  <si>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</si>
  <si>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</si>
  <si>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</si>
  <si>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</si>
  <si>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</si>
  <si>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</si>
  <si>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</si>
  <si>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</si>
  <si>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</si>
  <si>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</si>
  <si>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</si>
  <si>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</si>
  <si>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</si>
  <si>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</si>
  <si>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</si>
  <si>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</si>
  <si>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</si>
  <si>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</si>
  <si>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</si>
  <si>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</si>
  <si>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</si>
  <si>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</si>
  <si>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</si>
  <si>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</si>
  <si>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</si>
  <si>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</si>
  <si>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</si>
  <si>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</si>
  <si>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</si>
  <si>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</si>
  <si>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</si>
  <si>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</si>
  <si>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</si>
  <si>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</si>
  <si>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</si>
  <si>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</si>
  <si>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</si>
  <si>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</si>
  <si>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</si>
  <si>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</si>
  <si>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</si>
  <si>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</si>
  <si>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</si>
  <si>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</si>
  <si>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</si>
  <si>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</si>
  <si>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</si>
  <si>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</si>
  <si>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</si>
  <si>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</si>
  <si>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</si>
  <si>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</si>
  <si>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</si>
  <si>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</si>
  <si>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</si>
  <si>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</si>
  <si>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</si>
  <si>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</si>
  <si>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</si>
  <si>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</si>
  <si>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</si>
  <si>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</si>
  <si>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</si>
  <si>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</si>
  <si>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</si>
  <si>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</si>
  <si>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</si>
  <si>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</si>
  <si>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</si>
  <si>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</si>
  <si>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</si>
  <si>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</si>
  <si>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</si>
  <si>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</si>
  <si>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</si>
  <si>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</si>
  <si>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</si>
  <si>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</si>
  <si>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</si>
  <si>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</si>
  <si>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</si>
  <si>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</si>
  <si>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</si>
  <si>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</si>
  <si>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</si>
  <si>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</si>
  <si>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</si>
  <si>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</si>
  <si>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</si>
  <si>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</si>
  <si>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</si>
  <si>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</si>
  <si>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</si>
  <si>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</si>
  <si>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</si>
  <si>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</si>
  <si>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</si>
  <si>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</si>
  <si>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</si>
  <si>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</si>
  <si>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</si>
  <si>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</si>
  <si>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</si>
  <si>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</si>
  <si>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</si>
  <si>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</si>
  <si>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</si>
  <si>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</si>
  <si>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</si>
  <si>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</si>
  <si>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</si>
  <si>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</si>
  <si>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</si>
  <si>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</si>
  <si>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</si>
  <si>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</si>
  <si>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</si>
  <si>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</si>
  <si>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</si>
  <si>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</si>
  <si>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</si>
  <si>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</si>
  <si>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</si>
  <si>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</si>
  <si>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</si>
  <si>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</si>
  <si>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</si>
  <si>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</si>
  <si>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</si>
  <si>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</si>
  <si>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</si>
  <si>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</si>
  <si>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</si>
  <si>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</si>
  <si>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</si>
  <si>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</si>
  <si>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Harry Kane</t>
  </si>
  <si>
    <t>Argentiina</t>
  </si>
  <si>
    <t>Messi</t>
  </si>
  <si>
    <t>Brasiilia</t>
  </si>
  <si>
    <t>Tuneesia</t>
  </si>
  <si>
    <t>Taani</t>
  </si>
  <si>
    <t>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</si>
</sst>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C12" zoomScaleNormal="100" workbookViewId="0">
      <selection activeCell="BV37" sqref="BV37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31" t="str">
        <f>INDEX(T,2,lang)</f>
        <v>2022 World Cup Final Tournament Schedule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2" t="str">
        <f>"Language: " &amp; Settings!C4</f>
        <v>Language: English</v>
      </c>
      <c r="P3" s="13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33" t="str">
        <f>INDEX(T,3,lang)</f>
        <v>Group Stage</v>
      </c>
      <c r="B5" s="134"/>
      <c r="C5" s="134"/>
      <c r="D5" s="134"/>
      <c r="E5" s="134"/>
      <c r="F5" s="134"/>
      <c r="G5" s="134"/>
      <c r="H5" s="135"/>
      <c r="J5" s="139" t="s">
        <v>2006</v>
      </c>
      <c r="K5" s="140"/>
      <c r="L5" s="140"/>
      <c r="M5" s="140"/>
      <c r="N5" s="140"/>
      <c r="O5" s="140"/>
      <c r="P5" s="141"/>
    </row>
    <row r="6" spans="1:76" ht="15" customHeight="1" x14ac:dyDescent="0.35">
      <c r="A6" s="136"/>
      <c r="B6" s="137"/>
      <c r="C6" s="137"/>
      <c r="D6" s="137"/>
      <c r="E6" s="137"/>
      <c r="F6" s="137"/>
      <c r="G6" s="137"/>
      <c r="H6" s="138"/>
      <c r="J6" s="142"/>
      <c r="K6" s="143"/>
      <c r="L6" s="143"/>
      <c r="M6" s="143"/>
      <c r="N6" s="143"/>
      <c r="O6" s="143"/>
      <c r="P6" s="14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5" t="str">
        <f>INDEX(T,4,lang)</f>
        <v>Round of 16</v>
      </c>
      <c r="AZ6" s="126"/>
      <c r="BA6" s="126"/>
      <c r="BB6" s="126"/>
      <c r="BC6" s="127"/>
      <c r="BF6" s="125" t="str">
        <f>INDEX(T,5,lang)</f>
        <v>Quarterfinals</v>
      </c>
      <c r="BG6" s="126"/>
      <c r="BH6" s="126"/>
      <c r="BI6" s="126"/>
      <c r="BJ6" s="127"/>
      <c r="BM6" s="125" t="str">
        <f>INDEX(T,6,lang)</f>
        <v>Semi-Finals</v>
      </c>
      <c r="BN6" s="126"/>
      <c r="BO6" s="126"/>
      <c r="BP6" s="126"/>
      <c r="BQ6" s="127"/>
      <c r="BT6" s="125" t="str">
        <f>INDEX(T,8,lang)</f>
        <v>Final</v>
      </c>
      <c r="BU6" s="126"/>
      <c r="BV6" s="126"/>
      <c r="BW6" s="126"/>
      <c r="BX6" s="127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28"/>
      <c r="AZ7" s="129"/>
      <c r="BA7" s="129"/>
      <c r="BB7" s="129"/>
      <c r="BC7" s="130"/>
      <c r="BF7" s="128"/>
      <c r="BG7" s="129"/>
      <c r="BH7" s="129"/>
      <c r="BI7" s="129"/>
      <c r="BJ7" s="130"/>
      <c r="BM7" s="128"/>
      <c r="BN7" s="129"/>
      <c r="BO7" s="129"/>
      <c r="BP7" s="129"/>
      <c r="BQ7" s="130"/>
      <c r="BT7" s="128"/>
      <c r="BU7" s="129"/>
      <c r="BV7" s="129"/>
      <c r="BW7" s="129"/>
      <c r="BX7" s="130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3</v>
      </c>
      <c r="AH8" s="47">
        <f>(AF8-AG8)*100+AK8*10000+AF8</f>
        <v>60205</v>
      </c>
      <c r="AI8" s="47">
        <f>AF8-AG8</f>
        <v>2</v>
      </c>
      <c r="AJ8" s="47">
        <f>(AI8-AI13)/AI12</f>
        <v>0.6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666.25079208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8</v>
      </c>
      <c r="AH9" s="47">
        <f>(AF9-AG9)*100+AK9*10000+AF9</f>
        <v>-699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1.2507204999999999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5</v>
      </c>
      <c r="AH10" s="47">
        <f>(AF10-AG10)*100+AK10*10000+AF10</f>
        <v>29803</v>
      </c>
      <c r="AI10" s="47">
        <f>AF10-AG10</f>
        <v>-2</v>
      </c>
      <c r="AJ10" s="47">
        <f>(AI10-AI13)/AI12</f>
        <v>0.33333333333333331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337.0840598333333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13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0.93333333333333335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1003.3341626633334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4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1 - 8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8</v>
      </c>
      <c r="AG12" s="47">
        <f t="shared" si="10"/>
        <v>8</v>
      </c>
      <c r="AH12" s="47">
        <f>MAX(AH8:AH11)-AH13+1</f>
        <v>91408</v>
      </c>
      <c r="AI12" s="47">
        <f>MAX(AI8:AI11)-AI13+1</f>
        <v>15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3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-699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4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0.90909090909090906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999.65997190909093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3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5</v>
      </c>
      <c r="AH15" s="47">
        <f>(AF15-AG15)*100+AK15*10000+AF15</f>
        <v>-500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4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1</v>
      </c>
      <c r="G16" s="22">
        <v>1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4 - 2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Germany_draw</v>
      </c>
      <c r="T16" s="88" t="str">
        <f t="shared" si="4"/>
        <v>Japan_draw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0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0</v>
      </c>
      <c r="AE16" s="47">
        <f>COUNTIF($S$7:$T$54,"=" &amp; AB16 &amp; "_lose")</f>
        <v>2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4</v>
      </c>
      <c r="AH16" s="47">
        <f>(AF16-AG16)*100+AK16*10000+AF16</f>
        <v>29802</v>
      </c>
      <c r="AI16" s="47">
        <f>AF16-AG16</f>
        <v>-2</v>
      </c>
      <c r="AJ16" s="47">
        <f>(AI16-AI19)/AI18</f>
        <v>0.27272727272727271</v>
      </c>
      <c r="AK16" s="47">
        <f>AC16*3+AD16</f>
        <v>3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329.77354413272724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3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2 - 4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0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2</v>
      </c>
      <c r="AH17" s="47">
        <f>(AF17-AG17)*100+AK17*10000+AF17</f>
        <v>60204</v>
      </c>
      <c r="AI17" s="47">
        <f>AF17-AG17</f>
        <v>2</v>
      </c>
      <c r="AJ17" s="47">
        <f>(AI17-AI19)/AI18</f>
        <v>0.63636363636363635</v>
      </c>
      <c r="AK17" s="47">
        <f>AC17*3+AD17</f>
        <v>6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668.63715470136367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4"/>
      <c r="BN17" s="28" t="str">
        <f>T70</f>
        <v>Brazil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0 - 5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8</v>
      </c>
      <c r="AG18" s="47">
        <f t="shared" si="11"/>
        <v>4</v>
      </c>
      <c r="AH18" s="47">
        <f>MAX(AH14:AH17)-AH19+1</f>
        <v>91008</v>
      </c>
      <c r="AI18" s="47">
        <f>MAX(AI14:AI17)-AI19+1</f>
        <v>11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3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-500</v>
      </c>
      <c r="AI19" s="47">
        <f>MIN(AI14:AI17)</f>
        <v>-5</v>
      </c>
      <c r="AY19" s="114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1</v>
      </c>
      <c r="AH20" s="47">
        <f>(AF20-AG20)*100+AK20*10000+AF20</f>
        <v>90708</v>
      </c>
      <c r="AI20" s="47">
        <f>AF20-AG20</f>
        <v>7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1001.7469142460318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3">
        <v>58</v>
      </c>
      <c r="BG20" s="26" t="str">
        <f>T62</f>
        <v>Spain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2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4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4 - 3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3</v>
      </c>
      <c r="AH22" s="47">
        <f>(AF22-AG22)*100+AK22*10000+AF22</f>
        <v>40104</v>
      </c>
      <c r="AI22" s="47">
        <f>AF22-AG22</f>
        <v>1</v>
      </c>
      <c r="AJ22" s="47">
        <f>(AI22-AI25)/AI24</f>
        <v>0.5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454.44527385444445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3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2 - 4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2</v>
      </c>
      <c r="AG23" s="47">
        <f>SUMIF($E$7:$E$54,$AB23,$G$7:$G$54) + SUMIF($H$7:$H$54,$AB23,$F$7:$F$54)</f>
        <v>4</v>
      </c>
      <c r="AH23" s="47">
        <f>(AF23-AG23)*100+AK23*10000+AF23</f>
        <v>39802</v>
      </c>
      <c r="AI23" s="47">
        <f>AF23-AG23</f>
        <v>-2</v>
      </c>
      <c r="AJ23" s="47">
        <f>(AI23-AI25)/AI24</f>
        <v>0.2857142857142857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430.79442279365077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4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3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9</v>
      </c>
      <c r="AG24" s="47">
        <f t="shared" si="12"/>
        <v>6</v>
      </c>
      <c r="AH24" s="47">
        <f>MAX(AH20:AH23)-AH25+1</f>
        <v>91309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4"/>
      <c r="BU24" s="28" t="str">
        <f>T77</f>
        <v>Germany</v>
      </c>
      <c r="BV24" s="85">
        <v>0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2</v>
      </c>
      <c r="AH26" s="47">
        <f>(AF26-AG26)*100+AK26*10000+AF26</f>
        <v>90608</v>
      </c>
      <c r="AI26" s="47">
        <f>AF26-AG26</f>
        <v>6</v>
      </c>
      <c r="AJ26" s="47">
        <f>(AI26-AI31)/AI30</f>
        <v>0.91666666666666663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1100.5564505555556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3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8 - 2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6</v>
      </c>
      <c r="AH27" s="47">
        <f>(AF27-AG27)*100+AK27*10000+AF27</f>
        <v>9602</v>
      </c>
      <c r="AI27" s="47">
        <f>AF27-AG27</f>
        <v>-4</v>
      </c>
      <c r="AJ27" s="47">
        <f>(AI27-AI31)/AI30</f>
        <v>8.3333333333333329E-2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121.66740853166667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4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6 - 3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3</v>
      </c>
      <c r="AH28" s="47">
        <f>(AF28-AG28)*100+AK28*10000+AF28</f>
        <v>60306</v>
      </c>
      <c r="AI28" s="47">
        <f>AF28-AG28</f>
        <v>3</v>
      </c>
      <c r="AJ28" s="47">
        <f>(AI28-AI31)/AI30</f>
        <v>0.66666666666666663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740.00082679999991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3">
        <v>59</v>
      </c>
      <c r="BG28" s="26" t="str">
        <f>T60</f>
        <v>England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2 - 6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5</v>
      </c>
      <c r="AH29" s="47">
        <f>(AF29-AG29)*100+AK29*10000+AF29</f>
        <v>9500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111.11186101111112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4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5</v>
      </c>
      <c r="AH30" s="47">
        <f>MAX(AH26:AH29)-AH31+1</f>
        <v>81109</v>
      </c>
      <c r="AI30" s="47">
        <f>MAX(AI26:AI29)-AI31+1</f>
        <v>12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3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9500</v>
      </c>
      <c r="AI31" s="47">
        <f>MIN(AI26:AI29)</f>
        <v>-5</v>
      </c>
      <c r="AY31" s="114"/>
      <c r="AZ31" s="28" t="str">
        <f>AO21</f>
        <v>Mexico</v>
      </c>
      <c r="BA31" s="85">
        <v>2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9" t="str">
        <f>INDEX(T,7,lang)</f>
        <v>Third-Place Play-Off</v>
      </c>
      <c r="BU31" s="120"/>
      <c r="BV31" s="120"/>
      <c r="BW31" s="120"/>
      <c r="BX31" s="121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3</v>
      </c>
      <c r="AH32" s="47">
        <f>(AF32-AG32)*100+AK32*10000+AF32</f>
        <v>70407</v>
      </c>
      <c r="AI32" s="47">
        <f>AF32-AG32</f>
        <v>4</v>
      </c>
      <c r="AJ32" s="47">
        <f>(AI32-AI37)/AI36</f>
        <v>0.9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975.00085449999995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3">
        <v>62</v>
      </c>
      <c r="BN32" s="26" t="str">
        <f>T71</f>
        <v>France</v>
      </c>
      <c r="BO32" s="84">
        <v>1</v>
      </c>
      <c r="BP32" s="86">
        <v>1</v>
      </c>
      <c r="BQ32" s="27">
        <v>0</v>
      </c>
      <c r="BR32" s="35"/>
      <c r="BS32" s="23"/>
      <c r="BT32" s="122"/>
      <c r="BU32" s="123"/>
      <c r="BV32" s="123"/>
      <c r="BW32" s="123"/>
      <c r="BX32" s="124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7 - 3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6</v>
      </c>
      <c r="AH33" s="47">
        <f>(AF33-AG33)*100+AK33*10000+AF33</f>
        <v>-499</v>
      </c>
      <c r="AI33" s="47">
        <f>AF33-AG33</f>
        <v>-5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1.4293214585714287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4"/>
      <c r="BN33" s="28" t="str">
        <f>T72</f>
        <v>Germany</v>
      </c>
      <c r="BO33" s="85">
        <v>1</v>
      </c>
      <c r="BP33" s="87">
        <v>1</v>
      </c>
      <c r="BQ33" s="30">
        <v>1</v>
      </c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1</v>
      </c>
      <c r="M34" s="25">
        <f>VLOOKUP(2,AA32:AK35,4,FALSE)</f>
        <v>2</v>
      </c>
      <c r="N34" s="25">
        <f>VLOOKUP(2,AA32:AK35,5,FALSE)</f>
        <v>0</v>
      </c>
      <c r="O34" s="25" t="str">
        <f>VLOOKUP(2,AA32:AK35,6,FALSE) &amp; " - " &amp; VLOOKUP(2,AA32:AK35,7,FALSE)</f>
        <v>5 - 3</v>
      </c>
      <c r="P34" s="54">
        <f>L34*3+M34</f>
        <v>5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1</v>
      </c>
      <c r="AD34" s="47">
        <f>COUNTIF($S$7:$T$54,"=" &amp; AB34 &amp; "_draw")</f>
        <v>2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3</v>
      </c>
      <c r="AH34" s="47">
        <f>(AF34-AG34)*100+AK34*10000+AF34</f>
        <v>50205</v>
      </c>
      <c r="AI34" s="47">
        <f>AF34-AG34</f>
        <v>2</v>
      </c>
      <c r="AJ34" s="47">
        <f>(AI34-AI37)/AI36</f>
        <v>0.7</v>
      </c>
      <c r="AK34" s="47">
        <f>AC34*3+AD34</f>
        <v>5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702.14368240785711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13">
        <v>55</v>
      </c>
      <c r="AZ34" s="26" t="str">
        <f>AO38</f>
        <v>Belgium</v>
      </c>
      <c r="BA34" s="84">
        <v>0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1</v>
      </c>
      <c r="N35" s="25">
        <f>VLOOKUP(3,AA32:AK35,5,FALSE)</f>
        <v>1</v>
      </c>
      <c r="O35" s="25" t="str">
        <f>VLOOKUP(3,AA32:AK35,6,FALSE) &amp; " - " &amp; VLOOKUP(3,AA32:AK35,7,FALSE)</f>
        <v>4 - 5</v>
      </c>
      <c r="P35" s="54">
        <f>L35*3+M35</f>
        <v>4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1</v>
      </c>
      <c r="AE35" s="47">
        <f>COUNTIF($S$7:$T$54,"=" &amp; AB35 &amp; "_lose")</f>
        <v>1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5</v>
      </c>
      <c r="AH35" s="47">
        <f>(AF35-AG35)*100+AK35*10000+AF35</f>
        <v>39904</v>
      </c>
      <c r="AI35" s="47">
        <f>AF35-AG35</f>
        <v>-1</v>
      </c>
      <c r="AJ35" s="47">
        <f>(AI35-AI37)/AI36</f>
        <v>0.4</v>
      </c>
      <c r="AK35" s="47">
        <f>AC35*3+AD35</f>
        <v>4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545.71506243428564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4"/>
      <c r="AZ35" s="28" t="str">
        <f>AO33</f>
        <v>Germany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3">
        <v>63</v>
      </c>
      <c r="BU35" s="26" t="str">
        <f>Z76</f>
        <v>Brazil</v>
      </c>
      <c r="BV35" s="84">
        <v>3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1 - 6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3</v>
      </c>
      <c r="AE36" s="47">
        <f t="shared" si="14"/>
        <v>4</v>
      </c>
      <c r="AF36" s="47">
        <f t="shared" si="14"/>
        <v>7</v>
      </c>
      <c r="AG36" s="47">
        <f t="shared" si="14"/>
        <v>4</v>
      </c>
      <c r="AH36" s="47">
        <f>MAX(AH32:AH35)-AH37+1</f>
        <v>70907</v>
      </c>
      <c r="AI36" s="47">
        <f>MAX(AI32:AI35)-AI37+1</f>
        <v>10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3">
        <v>60</v>
      </c>
      <c r="BG36" s="26" t="str">
        <f>T64</f>
        <v>Germany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4"/>
      <c r="BU36" s="28" t="str">
        <f>Z77</f>
        <v>France</v>
      </c>
      <c r="BV36" s="85">
        <v>2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2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-499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4"/>
      <c r="BG37" s="28" t="str">
        <f>T65</f>
        <v>Serbia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4</v>
      </c>
      <c r="AH38" s="47">
        <f>(AF38-AG38)*100+AK38*10000+AF38</f>
        <v>70307</v>
      </c>
      <c r="AI38" s="47">
        <f>AF38-AG38</f>
        <v>3</v>
      </c>
      <c r="AJ38" s="47">
        <f>(AI38-AI43)/AI42</f>
        <v>0.88888888888888884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973.88980238888894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3">
        <v>56</v>
      </c>
      <c r="AZ38" s="26" t="str">
        <f>AO50</f>
        <v>Korea Republic</v>
      </c>
      <c r="BA38" s="84">
        <v>1</v>
      </c>
      <c r="BB38" s="86">
        <v>1</v>
      </c>
      <c r="BC38" s="27">
        <v>0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7 - 4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5</v>
      </c>
      <c r="AH39" s="47">
        <f>(AF39-AG39)*100+AK39*10000+AF39</f>
        <v>29904</v>
      </c>
      <c r="AI39" s="47">
        <f>AF39-AG39</f>
        <v>-1</v>
      </c>
      <c r="AJ39" s="47">
        <f>(AI39-AI43)/AI42</f>
        <v>0.44444444444444442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425.15946965873019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4"/>
      <c r="AZ39" s="28" t="str">
        <f>AO45</f>
        <v>Serbia</v>
      </c>
      <c r="BA39" s="85">
        <v>1</v>
      </c>
      <c r="BB39" s="87">
        <v>1</v>
      </c>
      <c r="BC39" s="30">
        <v>1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6 - 3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6</v>
      </c>
      <c r="AH40" s="47">
        <f>(AF40-AG40)*100+AK40*10000+AF40</f>
        <v>-499</v>
      </c>
      <c r="AI40" s="47">
        <f>AF40-AG40</f>
        <v>-5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1.4293473685714286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3</v>
      </c>
      <c r="AH41" s="47">
        <f>(AF41-AG41)*100+AK41*10000+AF41</f>
        <v>70306</v>
      </c>
      <c r="AI41" s="47">
        <f>AF41-AG41</f>
        <v>3</v>
      </c>
      <c r="AJ41" s="47">
        <f>(AI41-AI43)/AI42</f>
        <v>0.88888888888888884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972.46112801531751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4" t="s">
        <v>2515</v>
      </c>
      <c r="AZ41" s="105"/>
      <c r="BA41" s="105"/>
      <c r="BB41" s="105"/>
      <c r="BC41" s="106"/>
      <c r="BL41" s="115" t="str">
        <f>INDEX(T,102,lang)</f>
        <v>World Champion 2022</v>
      </c>
      <c r="BM41" s="115"/>
      <c r="BN41" s="115"/>
      <c r="BO41" s="115"/>
      <c r="BP41" s="115"/>
      <c r="BQ41" s="115"/>
      <c r="BR41" s="117" t="str">
        <f>S85</f>
        <v>Argentina</v>
      </c>
      <c r="BS41" s="117"/>
      <c r="BT41" s="117"/>
      <c r="BU41" s="117"/>
      <c r="BV41" s="117"/>
      <c r="BW41" s="117"/>
      <c r="BX41" s="117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1 - 6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7</v>
      </c>
      <c r="AG42" s="47">
        <f t="shared" si="15"/>
        <v>4</v>
      </c>
      <c r="AH42" s="47">
        <f>MAX(AH38:AH41)-AH43+1</f>
        <v>70807</v>
      </c>
      <c r="AI42" s="47">
        <f>MAX(AI38:AI41)-AI43+1</f>
        <v>9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7"/>
      <c r="AZ42" s="108"/>
      <c r="BA42" s="108"/>
      <c r="BB42" s="108"/>
      <c r="BC42" s="109"/>
      <c r="BL42" s="116"/>
      <c r="BM42" s="116"/>
      <c r="BN42" s="116"/>
      <c r="BO42" s="116"/>
      <c r="BP42" s="116"/>
      <c r="BQ42" s="116"/>
      <c r="BR42" s="118"/>
      <c r="BS42" s="118"/>
      <c r="BT42" s="118"/>
      <c r="BU42" s="118"/>
      <c r="BV42" s="118"/>
      <c r="BW42" s="118"/>
      <c r="BX42" s="118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-499</v>
      </c>
      <c r="AI43" s="47">
        <f>MIN(AI38:AI41)</f>
        <v>-5</v>
      </c>
      <c r="AY43" s="107"/>
      <c r="AZ43" s="108"/>
      <c r="BA43" s="108"/>
      <c r="BB43" s="108"/>
      <c r="BC43" s="109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8</v>
      </c>
      <c r="AG44" s="47">
        <f>SUMIF($E$7:$E$54,$AB44,$G$7:$G$54) + SUMIF($H$7:$H$54,$AB44,$F$7:$F$54)</f>
        <v>2</v>
      </c>
      <c r="AH44" s="47">
        <f>(AF44-AG44)*100+AK44*10000+AF44</f>
        <v>90608</v>
      </c>
      <c r="AI44" s="47">
        <f>AF44-AG44</f>
        <v>6</v>
      </c>
      <c r="AJ44" s="47">
        <f>(AI44-AI49)/AI48</f>
        <v>0.90909090909090906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1000.9100072540908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7"/>
      <c r="AZ44" s="108"/>
      <c r="BA44" s="108"/>
      <c r="BB44" s="108"/>
      <c r="BC44" s="109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8 - 2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4</v>
      </c>
      <c r="AH45" s="47">
        <f>(AF45-AG45)*100+AK45*10000+AF45</f>
        <v>59903</v>
      </c>
      <c r="AI45" s="47">
        <f>AF45-AG45</f>
        <v>-1</v>
      </c>
      <c r="AJ45" s="47">
        <f>(AI45-AI49)/AI48</f>
        <v>0.27272727272727271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631.02350103772721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7"/>
      <c r="AZ45" s="108"/>
      <c r="BA45" s="108"/>
      <c r="BB45" s="108"/>
      <c r="BC45" s="109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3 - 4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0</v>
      </c>
      <c r="AE46" s="47">
        <f>COUNTIF($S$7:$T$54,"=" &amp; AB46 &amp; "_lose")</f>
        <v>2</v>
      </c>
      <c r="AF46" s="47">
        <f>SUMIF($E$7:$E$54,$AB46,$F$7:$F$54) + SUMIF($H$7:$H$54,$AB46,$G$7:$G$54)</f>
        <v>5</v>
      </c>
      <c r="AG46" s="47">
        <f>SUMIF($E$7:$E$54,$AB46,$G$7:$G$54) + SUMIF($H$7:$H$54,$AB46,$F$7:$F$54)</f>
        <v>6</v>
      </c>
      <c r="AH46" s="47">
        <f>(AF46-AG46)*100+AK46*10000+AF46</f>
        <v>29905</v>
      </c>
      <c r="AI46" s="47">
        <f>AF46-AG46</f>
        <v>-1</v>
      </c>
      <c r="AJ46" s="47">
        <f>(AI46-AI49)/AI48</f>
        <v>0.27272727272727271</v>
      </c>
      <c r="AK46" s="47">
        <f>AC46*3+AD46</f>
        <v>3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333.52354493272725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0"/>
      <c r="AZ46" s="111"/>
      <c r="BA46" s="111"/>
      <c r="BB46" s="111"/>
      <c r="BC46" s="112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5 - 6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5</v>
      </c>
      <c r="AH47" s="47">
        <f>(AF47-AG47)*100+AK47*10000+AF47</f>
        <v>-399</v>
      </c>
      <c r="AI47" s="47">
        <f>AF47-AG47</f>
        <v>-4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1.2507402400000001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8</v>
      </c>
      <c r="AG48" s="47">
        <f t="shared" si="16"/>
        <v>5</v>
      </c>
      <c r="AH48" s="47">
        <f>MAX(AH44:AH47)-AH49+1</f>
        <v>91008</v>
      </c>
      <c r="AI48" s="47">
        <f>MAX(AI44:AI47)-AI49+1</f>
        <v>11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4" t="s">
        <v>2516</v>
      </c>
      <c r="AZ48" s="105"/>
      <c r="BA48" s="105"/>
      <c r="BB48" s="105"/>
      <c r="BC48" s="106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-399</v>
      </c>
      <c r="AI49" s="47">
        <f>MIN(AI44:AI47)</f>
        <v>-4</v>
      </c>
      <c r="AY49" s="107"/>
      <c r="AZ49" s="108"/>
      <c r="BA49" s="108"/>
      <c r="BB49" s="108"/>
      <c r="BC49" s="109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3</v>
      </c>
      <c r="AB50" s="48" t="str">
        <f>VLOOKUP("Portugal",T,lang,FALSE)</f>
        <v>Portugal</v>
      </c>
      <c r="AC50" s="47">
        <f>COUNTIF($S$7:$T$54,"=" &amp; AB50 &amp; "_win")</f>
        <v>1</v>
      </c>
      <c r="AD50" s="47">
        <f>COUNTIF($S$7:$T$54,"=" &amp; AB50 &amp; "_draw")</f>
        <v>1</v>
      </c>
      <c r="AE50" s="47">
        <f>COUNTIF($S$7:$T$54,"=" &amp; AB50 &amp; "_lose")</f>
        <v>1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6</v>
      </c>
      <c r="AH50" s="47">
        <f>(AF50-AG50)*100+AK50*10000+AF50</f>
        <v>40006</v>
      </c>
      <c r="AI50" s="47">
        <f>AF50-AG50</f>
        <v>0</v>
      </c>
      <c r="AJ50" s="47">
        <f>(AI50-AI55)/AI54</f>
        <v>0.5</v>
      </c>
      <c r="AK50" s="47">
        <f>AC50*3+AD50</f>
        <v>4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870.00083739000002</v>
      </c>
      <c r="AO50" s="48" t="str">
        <f>IF(SUM(AC50:AE53)=12,J51,INDEX(T,84,lang))</f>
        <v>Korea Republic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7"/>
      <c r="AZ50" s="108"/>
      <c r="BA50" s="108"/>
      <c r="BB50" s="108"/>
      <c r="BC50" s="109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1</v>
      </c>
      <c r="H51" s="90" t="str">
        <f>AB52</f>
        <v>Uruguay</v>
      </c>
      <c r="J51" s="50" t="str">
        <f>VLOOKUP(1,AA50:AK53,2,FALSE)</f>
        <v>Korea Republic</v>
      </c>
      <c r="K51" s="51">
        <f>L51+M51+N51</f>
        <v>3</v>
      </c>
      <c r="L51" s="51">
        <f>VLOOKUP(1,AA50:AK53,3,FALSE)</f>
        <v>1</v>
      </c>
      <c r="M51" s="51">
        <f>VLOOKUP(1,AA50:AK53,4,FALSE)</f>
        <v>2</v>
      </c>
      <c r="N51" s="51">
        <f>VLOOKUP(1,AA50:AK53,5,FALSE)</f>
        <v>0</v>
      </c>
      <c r="O51" s="51" t="str">
        <f>VLOOKUP(1,AA50:AK53,6,FALSE) &amp; " - " &amp; VLOOKUP(1,AA50:AK53,7,FALSE)</f>
        <v>6 - 5</v>
      </c>
      <c r="P51" s="52">
        <f>L51*3+M51</f>
        <v>5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6</v>
      </c>
      <c r="AH51" s="47">
        <f>(AF51-AG51)*100+AK51*10000+AF51</f>
        <v>9804</v>
      </c>
      <c r="AI51" s="47">
        <f>AF51-AG51</f>
        <v>-2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213.33402701333335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7"/>
      <c r="AZ51" s="108"/>
      <c r="BA51" s="108"/>
      <c r="BB51" s="108"/>
      <c r="BC51" s="109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2</v>
      </c>
      <c r="G52" s="22">
        <v>1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5 - 4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Republic_win</v>
      </c>
      <c r="T52" s="88" t="str">
        <f t="shared" si="4"/>
        <v>Portugal_lose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2</v>
      </c>
      <c r="AE52" s="47">
        <f>COUNTIF($S$7:$T$54,"=" &amp; AB52 &amp; "_lose")</f>
        <v>0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4</v>
      </c>
      <c r="AH52" s="47">
        <f>(AF52-AG52)*100+AK52*10000+AF52</f>
        <v>50105</v>
      </c>
      <c r="AI52" s="47">
        <f>AF52-AG52</f>
        <v>1</v>
      </c>
      <c r="AJ52" s="47">
        <f>(AI52-AI55)/AI54</f>
        <v>0.75</v>
      </c>
      <c r="AK52" s="47">
        <f>AC52*3+AD52</f>
        <v>5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1091.6674845316668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7"/>
      <c r="AZ52" s="108"/>
      <c r="BA52" s="108"/>
      <c r="BB52" s="108"/>
      <c r="BC52" s="109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1</v>
      </c>
      <c r="H53" s="90" t="str">
        <f>AB46</f>
        <v>Switzerland</v>
      </c>
      <c r="J53" s="53" t="str">
        <f>VLOOKUP(3,AA50:AK53,2,FALSE)</f>
        <v>Portugal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6 - 6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1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2</v>
      </c>
      <c r="AE53" s="47">
        <f>COUNTIF($S$7:$T$54,"=" &amp; AB53 &amp; "_lose")</f>
        <v>0</v>
      </c>
      <c r="AF53" s="47">
        <f>SUMIF($E$7:$E$54,$AB53,$F$7:$F$54) + SUMIF($H$7:$H$54,$AB53,$G$7:$G$54)</f>
        <v>6</v>
      </c>
      <c r="AG53" s="47">
        <f>SUMIF($E$7:$E$54,$AB53,$G$7:$G$54) + SUMIF($H$7:$H$54,$AB53,$F$7:$F$54)</f>
        <v>5</v>
      </c>
      <c r="AH53" s="47">
        <f>(AF53-AG53)*100+AK53*10000+AF53</f>
        <v>50106</v>
      </c>
      <c r="AI53" s="47">
        <f>AF53-AG53</f>
        <v>1</v>
      </c>
      <c r="AJ53" s="47">
        <f>(AI53-AI55)/AI54</f>
        <v>0.75</v>
      </c>
      <c r="AK53" s="47">
        <f>AC53*3+AD53</f>
        <v>5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1095.0007597700001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7"/>
      <c r="AZ53" s="108"/>
      <c r="BA53" s="108"/>
      <c r="BB53" s="108"/>
      <c r="BC53" s="109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4 - 6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2</v>
      </c>
      <c r="AD54" s="47">
        <f t="shared" si="17"/>
        <v>2</v>
      </c>
      <c r="AE54" s="47">
        <f t="shared" si="17"/>
        <v>3</v>
      </c>
      <c r="AF54" s="47">
        <f t="shared" si="17"/>
        <v>3</v>
      </c>
      <c r="AG54" s="47">
        <f t="shared" si="17"/>
        <v>3</v>
      </c>
      <c r="AH54" s="47">
        <f>MAX(AH50:AH53)-AH55+1</f>
        <v>40303</v>
      </c>
      <c r="AI54" s="47">
        <f>MAX(AI50:AI53)-AI55+1</f>
        <v>4</v>
      </c>
      <c r="AK54" s="47">
        <f t="shared" si="17"/>
        <v>5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0"/>
      <c r="AZ54" s="111"/>
      <c r="BA54" s="111"/>
      <c r="BB54" s="111"/>
      <c r="BC54" s="112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9804</v>
      </c>
      <c r="AI55" s="47">
        <f>MIN(AI50:AI53)</f>
        <v>-2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Serbia</v>
      </c>
      <c r="T65" s="88" t="str">
        <f>IF(OR(S65="",S65="draw"),INDEX(T,93,lang),S65)</f>
        <v>Serbia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Germany</v>
      </c>
      <c r="T72" s="88" t="str">
        <f>IF(OR(S72="",S72="draw"),INDEX(T,97,lang),S72)</f>
        <v>Germany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Germany</v>
      </c>
      <c r="T77" s="88" t="str">
        <f>IF(OR(S77="",S77="draw"),INDEX(T,99,lang),S77)</f>
        <v>Germany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2" sqref="B12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2001</v>
      </c>
    </row>
    <row r="4" spans="1:2" x14ac:dyDescent="0.35">
      <c r="A4" s="103" t="s">
        <v>2520</v>
      </c>
      <c r="B4" s="100" t="s">
        <v>2531</v>
      </c>
    </row>
    <row r="5" spans="1:2" x14ac:dyDescent="0.35">
      <c r="A5" s="100" t="s">
        <v>2529</v>
      </c>
      <c r="B5" s="103">
        <v>2</v>
      </c>
    </row>
    <row r="6" spans="1:2" x14ac:dyDescent="0.35">
      <c r="A6" s="103" t="s">
        <v>2521</v>
      </c>
      <c r="B6" s="100" t="s">
        <v>2532</v>
      </c>
    </row>
    <row r="7" spans="1:2" x14ac:dyDescent="0.35">
      <c r="A7" s="100" t="s">
        <v>2522</v>
      </c>
      <c r="B7" s="103" t="s">
        <v>2533</v>
      </c>
    </row>
    <row r="8" spans="1:2" x14ac:dyDescent="0.35">
      <c r="A8" s="103" t="s">
        <v>2523</v>
      </c>
      <c r="B8" s="100" t="s">
        <v>2534</v>
      </c>
    </row>
    <row r="9" spans="1:2" x14ac:dyDescent="0.35">
      <c r="A9" s="100" t="s">
        <v>2524</v>
      </c>
      <c r="B9" s="103" t="s">
        <v>2535</v>
      </c>
    </row>
    <row r="10" spans="1:2" x14ac:dyDescent="0.35">
      <c r="A10" s="103" t="s">
        <v>2525</v>
      </c>
      <c r="B10" s="100" t="s">
        <v>2532</v>
      </c>
    </row>
    <row r="11" spans="1:2" x14ac:dyDescent="0.35">
      <c r="A11" s="100" t="s">
        <v>2528</v>
      </c>
      <c r="B11" s="103" t="s">
        <v>2536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Sander Teder</cp:lastModifiedBy>
  <cp:lastPrinted>2018-01-03T15:36:04Z</cp:lastPrinted>
  <dcterms:created xsi:type="dcterms:W3CDTF">2017-12-27T19:32:51Z</dcterms:created>
  <dcterms:modified xsi:type="dcterms:W3CDTF">2022-11-17T18:38:23Z</dcterms:modified>
</cp:coreProperties>
</file>