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sutaja\Desktop\MM 2022 Ennustus\"/>
    </mc:Choice>
  </mc:AlternateContent>
  <bookViews>
    <workbookView xWindow="-120" yWindow="-120" windowWidth="29040" windowHeight="15840" firstSheet="1" activeTab="2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Y54" i="3"/>
  <c r="AB53" i="3"/>
  <c r="Y53" i="3"/>
  <c r="AB52" i="3"/>
  <c r="H38" i="3" s="1"/>
  <c r="Y52" i="3"/>
  <c r="AB51" i="3"/>
  <c r="H21" i="3" s="1"/>
  <c r="Y51" i="3"/>
  <c r="AB50" i="3"/>
  <c r="E38" i="3" s="1"/>
  <c r="Y50" i="3"/>
  <c r="Y49" i="3"/>
  <c r="Y48" i="3"/>
  <c r="AB47" i="3"/>
  <c r="E54" i="3" s="1"/>
  <c r="Y47" i="3"/>
  <c r="AB46" i="3"/>
  <c r="H53" i="3" s="1"/>
  <c r="Y46" i="3"/>
  <c r="AB45" i="3"/>
  <c r="Y45" i="3"/>
  <c r="AB44" i="3"/>
  <c r="H54" i="3" s="1"/>
  <c r="Y44" i="3"/>
  <c r="Y43" i="3"/>
  <c r="Y42" i="3"/>
  <c r="AB41" i="3"/>
  <c r="E33" i="3" s="1"/>
  <c r="Y41" i="3"/>
  <c r="AB40" i="3"/>
  <c r="H48" i="3" s="1"/>
  <c r="Y40" i="3"/>
  <c r="AB39" i="3"/>
  <c r="H18" i="3" s="1"/>
  <c r="Y39" i="3"/>
  <c r="AB38" i="3"/>
  <c r="E18" i="3" s="1"/>
  <c r="Y38" i="3"/>
  <c r="Y37" i="3"/>
  <c r="Y36" i="3"/>
  <c r="AB35" i="3"/>
  <c r="E49" i="3" s="1"/>
  <c r="Y35" i="3"/>
  <c r="AB34" i="3"/>
  <c r="E16" i="3" s="1"/>
  <c r="Y34" i="3"/>
  <c r="AB33" i="3"/>
  <c r="E50" i="3" s="1"/>
  <c r="Y33" i="3"/>
  <c r="AB32" i="3"/>
  <c r="E34" i="3" s="1"/>
  <c r="Y32" i="3"/>
  <c r="Y31" i="3"/>
  <c r="Y30" i="3"/>
  <c r="AB29" i="3"/>
  <c r="H12" i="3" s="1"/>
  <c r="Y29" i="3"/>
  <c r="AB28" i="3"/>
  <c r="H29" i="3" s="1"/>
  <c r="Y28" i="3"/>
  <c r="AB27" i="3"/>
  <c r="H14" i="3" s="1"/>
  <c r="Y27" i="3"/>
  <c r="AB26" i="3"/>
  <c r="E14" i="3" s="1"/>
  <c r="Y26" i="3"/>
  <c r="Y25" i="3"/>
  <c r="Y24" i="3"/>
  <c r="AB23" i="3"/>
  <c r="Y23" i="3"/>
  <c r="AB22" i="3"/>
  <c r="H46" i="3" s="1"/>
  <c r="Y22" i="3"/>
  <c r="AB21" i="3"/>
  <c r="E46" i="3" s="1"/>
  <c r="Y21" i="3"/>
  <c r="AB20" i="3"/>
  <c r="E30" i="3" s="1"/>
  <c r="Y20" i="3"/>
  <c r="Y19" i="3"/>
  <c r="Y18" i="3"/>
  <c r="AB17" i="3"/>
  <c r="H10" i="3" s="1"/>
  <c r="Y17" i="3"/>
  <c r="AB16" i="3"/>
  <c r="Y16" i="3"/>
  <c r="AB15" i="3"/>
  <c r="E42" i="3" s="1"/>
  <c r="Y15" i="3"/>
  <c r="AB14" i="3"/>
  <c r="E26" i="3" s="1"/>
  <c r="Y14" i="3"/>
  <c r="Y13" i="3"/>
  <c r="Y12" i="3"/>
  <c r="AB11" i="3"/>
  <c r="E25" i="3" s="1"/>
  <c r="Y11" i="3"/>
  <c r="AB10" i="3"/>
  <c r="H25" i="3" s="1"/>
  <c r="Y10" i="3"/>
  <c r="AB9" i="3"/>
  <c r="H40" i="3" s="1"/>
  <c r="Y9" i="3"/>
  <c r="AB8" i="3"/>
  <c r="E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AM11" i="3" s="1"/>
  <c r="B18" i="2"/>
  <c r="B17" i="2"/>
  <c r="AM33" i="3" s="1"/>
  <c r="AM16" i="3" l="1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U39" i="3" s="1"/>
  <c r="V39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W39" i="3"/>
  <c r="U7" i="3"/>
  <c r="V7" i="3" s="1"/>
  <c r="U24" i="3"/>
  <c r="AH13" i="3"/>
  <c r="AH12" i="3" s="1"/>
  <c r="U8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U20" i="3" s="1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W49" i="3" s="1"/>
  <c r="V40" i="3"/>
  <c r="W40" i="3"/>
  <c r="W7" i="3"/>
  <c r="W24" i="3"/>
  <c r="V24" i="3"/>
  <c r="W8" i="3"/>
  <c r="V8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V49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A17" i="3" s="1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 l="1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J39" i="3"/>
  <c r="O15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AO45" i="3"/>
  <c r="L9" i="3"/>
  <c r="O52" i="3"/>
  <c r="N53" i="3"/>
  <c r="J51" i="3"/>
  <c r="K15" i="3" l="1"/>
  <c r="P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<sst xmlns="http://schemas.openxmlformats.org/spreadsheetml/2006/main" count="4374" uniqueCount="2540">
  <si>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</si>
  <si>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</si>
  <si>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</si>
  <si>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</si>
  <si>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</si>
  <si>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</si>
  <si>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</si>
  <si>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</si>
  <si>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</si>
  <si>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</si>
  <si>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</si>
  <si>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</si>
  <si>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</si>
  <si>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</si>
  <si>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</si>
  <si>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</si>
  <si>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</si>
  <si>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</si>
  <si>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</si>
  <si>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</si>
  <si>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</si>
  <si>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</si>
  <si>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</si>
  <si>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</si>
  <si>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</si>
  <si>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</si>
  <si>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</si>
  <si>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</si>
  <si>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</si>
  <si>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</si>
  <si>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</si>
  <si>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</si>
  <si>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</si>
  <si>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</si>
  <si>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</si>
  <si>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</si>
  <si>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</si>
  <si>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</si>
  <si>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</si>
  <si>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</si>
  <si>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</si>
  <si>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</si>
  <si>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</si>
  <si>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</si>
  <si>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</si>
  <si>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</si>
  <si>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</si>
  <si>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</si>
  <si>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</si>
  <si>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</si>
  <si>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</si>
  <si>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</si>
  <si>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</si>
  <si>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</si>
  <si>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</si>
  <si>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</si>
  <si>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</si>
  <si>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</si>
  <si>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</si>
  <si>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</si>
  <si>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</si>
  <si>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</si>
  <si>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</si>
  <si>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</si>
  <si>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</si>
  <si>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</si>
  <si>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</si>
  <si>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</si>
  <si>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</si>
  <si>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</si>
  <si>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</si>
  <si>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</si>
  <si>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</si>
  <si>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</si>
  <si>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</si>
  <si>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</si>
  <si>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</si>
  <si>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</si>
  <si>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</si>
  <si>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</si>
  <si>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</si>
  <si>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</si>
  <si>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</si>
  <si>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</si>
  <si>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</si>
  <si>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</si>
  <si>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</si>
  <si>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</si>
  <si>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</si>
  <si>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</si>
  <si>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</si>
  <si>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</si>
  <si>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</si>
  <si>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</si>
  <si>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</si>
  <si>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</si>
  <si>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</si>
  <si>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</si>
  <si>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</si>
  <si>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</si>
  <si>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</si>
  <si>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</si>
  <si>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</si>
  <si>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</si>
  <si>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</si>
  <si>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</si>
  <si>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</si>
  <si>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</si>
  <si>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</si>
  <si>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</si>
  <si>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</si>
  <si>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</si>
  <si>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</si>
  <si>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</si>
  <si>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</si>
  <si>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</si>
  <si>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</si>
  <si>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</si>
  <si>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</si>
  <si>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</si>
  <si>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</si>
  <si>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</si>
  <si>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</si>
  <si>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</si>
  <si>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</si>
  <si>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</si>
  <si>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</si>
  <si>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</si>
  <si>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</si>
  <si>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</si>
  <si>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</si>
  <si>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</si>
  <si>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</si>
  <si>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</si>
  <si>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</si>
  <si>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</si>
  <si>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</si>
  <si>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</si>
  <si>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</si>
  <si>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</si>
  <si>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</si>
  <si>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</si>
  <si>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</si>
  <si>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</si>
  <si>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</si>
  <si>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</si>
  <si>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</si>
  <si>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</si>
  <si>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</si>
  <si>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</si>
  <si>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</si>
  <si>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</si>
  <si>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</si>
  <si>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</si>
  <si>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</si>
  <si>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</si>
  <si>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</si>
  <si>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</si>
  <si>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</si>
  <si>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</si>
  <si>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</si>
  <si>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</si>
  <si>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</si>
  <si>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</si>
  <si>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</si>
  <si>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</si>
  <si>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</si>
  <si>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</si>
  <si>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</si>
  <si>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</si>
  <si>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</si>
  <si>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</si>
  <si>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</si>
  <si>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</si>
  <si>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</si>
  <si>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</si>
  <si>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</si>
  <si>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</si>
  <si>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</si>
  <si>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</si>
  <si>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</si>
  <si>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</si>
  <si>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</si>
  <si>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</si>
  <si>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</si>
  <si>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</si>
  <si>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</si>
  <si>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</si>
  <si>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</si>
  <si>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</si>
  <si>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</si>
  <si>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</si>
  <si>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</si>
  <si>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</si>
  <si>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</si>
  <si>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</si>
  <si>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</si>
  <si>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</si>
  <si>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</si>
  <si>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</si>
  <si>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</si>
  <si>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</si>
  <si>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</si>
  <si>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</si>
  <si>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</si>
  <si>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</si>
  <si>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</si>
  <si>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</si>
  <si>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</si>
  <si>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</si>
  <si>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</si>
  <si>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</si>
  <si>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</si>
  <si>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</si>
  <si>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</si>
  <si>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</si>
  <si>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</si>
  <si>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</si>
  <si>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</si>
  <si>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</si>
  <si>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</si>
  <si>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</si>
  <si>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</si>
  <si>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</si>
  <si>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</si>
  <si>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</si>
  <si>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</si>
  <si>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</si>
  <si>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</si>
  <si>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</si>
  <si>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</si>
  <si>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</si>
  <si>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</si>
  <si>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</si>
  <si>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</si>
  <si>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</si>
  <si>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</si>
  <si>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</si>
  <si>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</si>
  <si>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</si>
  <si>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</si>
  <si>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</si>
  <si>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</si>
  <si>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</si>
  <si>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</si>
  <si>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</si>
  <si>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</si>
  <si>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</si>
  <si>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</si>
  <si>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</si>
  <si>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</si>
  <si>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</si>
  <si>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</si>
  <si>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</si>
  <si>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</si>
  <si>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</si>
  <si>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</si>
  <si>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</si>
  <si>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</si>
  <si>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</si>
  <si>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</si>
  <si>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</si>
  <si>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</si>
  <si>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</si>
  <si>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</si>
  <si>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</si>
  <si>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</si>
  <si>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</si>
  <si>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</si>
  <si>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</si>
  <si>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</si>
  <si>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</si>
  <si>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</si>
  <si>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</si>
  <si>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</si>
  <si>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</si>
  <si>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</si>
  <si>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</si>
  <si>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</si>
  <si>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</si>
  <si>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</si>
  <si>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</si>
  <si>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</si>
  <si>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</si>
  <si>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</si>
  <si>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</si>
  <si>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</si>
  <si>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</si>
  <si>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</si>
  <si>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</si>
  <si>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</si>
  <si>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</si>
  <si>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</si>
  <si>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</si>
  <si>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</si>
  <si>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</si>
  <si>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</si>
  <si>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</si>
  <si>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</si>
  <si>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</si>
  <si>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</si>
  <si>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</si>
  <si>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</si>
  <si>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</si>
  <si>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</si>
  <si>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</si>
  <si>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</si>
  <si>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</si>
  <si>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</si>
  <si>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</si>
  <si>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</si>
  <si>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</si>
  <si>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</si>
  <si>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</si>
  <si>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</si>
  <si>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</si>
  <si>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</si>
  <si>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</si>
  <si>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</si>
  <si>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</si>
  <si>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</si>
  <si>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</si>
  <si>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</si>
  <si>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</si>
  <si>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</si>
  <si>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</si>
  <si>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</si>
  <si>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</si>
  <si>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</si>
  <si>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</si>
  <si>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</si>
  <si>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</si>
  <si>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</si>
  <si>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</si>
  <si>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</si>
  <si>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</si>
  <si>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</si>
  <si>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</si>
  <si>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</si>
  <si>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</si>
  <si>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</si>
  <si>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</si>
  <si>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</si>
  <si>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</si>
  <si>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</si>
  <si>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</si>
  <si>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</si>
  <si>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</si>
  <si>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</si>
  <si>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</si>
  <si>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</si>
  <si>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</si>
  <si>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</si>
  <si>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</si>
  <si>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</si>
  <si>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</si>
  <si>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</si>
  <si>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</si>
  <si>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</si>
  <si>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</si>
  <si>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</si>
  <si>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</si>
  <si>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</si>
  <si>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</si>
  <si>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</si>
  <si>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</si>
  <si>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</si>
  <si>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</si>
  <si>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</si>
  <si>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</si>
  <si>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</si>
  <si>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</si>
  <si>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</si>
  <si>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</si>
  <si>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</si>
  <si>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</si>
  <si>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</si>
  <si>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</si>
  <si>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</si>
  <si>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</si>
  <si>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</si>
  <si>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</si>
  <si>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</si>
  <si>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</si>
  <si>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</si>
  <si>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</si>
  <si>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</si>
  <si>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</si>
  <si>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</si>
  <si>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</si>
  <si>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</si>
  <si>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</si>
  <si>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</si>
  <si>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</si>
  <si>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</si>
  <si>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</si>
  <si>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</si>
  <si>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</si>
  <si>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</si>
  <si>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</si>
  <si>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</si>
  <si>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</si>
  <si>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</si>
  <si>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</si>
  <si>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</si>
  <si>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</si>
  <si>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</si>
  <si>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</si>
  <si>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</si>
  <si>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</si>
  <si>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</si>
  <si>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</si>
  <si>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</si>
  <si>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</si>
  <si>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</si>
  <si>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</si>
  <si>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</si>
  <si>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</si>
  <si>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</si>
  <si>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</si>
  <si>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</si>
  <si>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</si>
  <si>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</si>
  <si>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</si>
  <si>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</si>
  <si>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</si>
  <si>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</si>
  <si>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</si>
  <si>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</si>
  <si>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</si>
  <si>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</si>
  <si>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</si>
  <si>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</si>
  <si>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</si>
  <si>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</si>
  <si>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</si>
  <si>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</si>
  <si>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</si>
  <si>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</si>
  <si>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</si>
  <si>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</si>
  <si>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</si>
  <si>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</si>
  <si>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</si>
  <si>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</si>
  <si>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</si>
  <si>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</si>
  <si>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</si>
  <si>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</si>
  <si>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</si>
  <si>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</si>
  <si>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</si>
  <si>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</si>
  <si>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</si>
  <si>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</si>
  <si>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</si>
  <si>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</si>
  <si>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</si>
  <si>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</si>
  <si>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</si>
  <si>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</si>
  <si>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</si>
  <si>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</si>
  <si>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</si>
  <si>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</si>
  <si>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</si>
  <si>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</si>
  <si>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</si>
  <si>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</si>
  <si>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</si>
  <si>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</si>
  <si>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</si>
  <si>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</si>
  <si>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</si>
  <si>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</si>
  <si>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</si>
  <si>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</si>
  <si>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</si>
  <si>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</si>
  <si>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</si>
  <si>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</si>
  <si>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</si>
  <si>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</si>
  <si>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</si>
  <si>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</si>
  <si>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</si>
  <si>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</si>
  <si>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</si>
  <si>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</si>
  <si>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</si>
  <si>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</si>
  <si>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</si>
  <si>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</si>
  <si>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</si>
  <si>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</si>
  <si>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</si>
  <si>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</si>
  <si>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</si>
  <si>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</si>
  <si>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</si>
  <si>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</si>
  <si>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</si>
  <si>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</si>
  <si>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</si>
  <si>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</si>
  <si>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</si>
  <si>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</si>
  <si>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</si>
  <si>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</si>
  <si>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</si>
  <si>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</si>
  <si>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</si>
  <si>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</si>
  <si>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</si>
  <si>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</si>
  <si>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</si>
  <si>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</si>
  <si>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</si>
  <si>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</si>
  <si>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</si>
  <si>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</si>
  <si>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</si>
  <si>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</si>
  <si>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</si>
  <si>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</si>
  <si>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</si>
  <si>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</si>
  <si>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</si>
  <si>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</si>
  <si>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</si>
  <si>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</si>
  <si>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</si>
  <si>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</si>
  <si>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</si>
  <si>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</si>
  <si>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</si>
  <si>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</si>
  <si>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</si>
  <si>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</si>
  <si>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</si>
  <si>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</si>
  <si>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</si>
  <si>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</si>
  <si>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</si>
  <si>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</si>
  <si>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</si>
  <si>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</si>
  <si>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</si>
  <si>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</si>
  <si>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</si>
  <si>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</si>
  <si>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</si>
  <si>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</si>
  <si>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</si>
  <si>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</si>
  <si>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</si>
  <si>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</si>
  <si>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</si>
  <si>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</si>
  <si>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</si>
  <si>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</si>
  <si>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</si>
  <si>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</si>
  <si>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</si>
  <si>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</si>
  <si>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</si>
  <si>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</si>
  <si>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</si>
  <si>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</si>
  <si>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</si>
  <si>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</si>
  <si>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</si>
  <si>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</si>
  <si>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</si>
  <si>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</si>
  <si>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</si>
  <si>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</si>
  <si>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</si>
  <si>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</si>
  <si>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</si>
  <si>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</si>
  <si>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</si>
  <si>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</si>
  <si>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</si>
  <si>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</si>
  <si>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</si>
  <si>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</si>
  <si>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</si>
  <si>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</si>
  <si>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</si>
  <si>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</si>
  <si>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</si>
  <si>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</si>
  <si>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</si>
  <si>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</si>
  <si>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</si>
  <si>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</si>
  <si>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</si>
  <si>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</si>
  <si>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</si>
  <si>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</si>
  <si>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</si>
  <si>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</si>
  <si>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</si>
  <si>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</si>
  <si>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</si>
  <si>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</si>
  <si>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</si>
  <si>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</si>
  <si>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</si>
  <si>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</si>
  <si>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</si>
  <si>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</si>
  <si>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</si>
  <si>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</si>
  <si>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</si>
  <si>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</si>
  <si>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</si>
  <si>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</si>
  <si>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</si>
  <si>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</si>
  <si>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</si>
  <si>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</si>
  <si>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</si>
  <si>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</si>
  <si>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</si>
  <si>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</si>
  <si>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</si>
  <si>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</si>
  <si>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</si>
  <si>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</si>
  <si>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</si>
  <si>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</si>
  <si>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</si>
  <si>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</si>
  <si>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</si>
  <si>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</si>
  <si>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</si>
  <si>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</si>
  <si>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</si>
  <si>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</si>
  <si>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</si>
  <si>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</si>
  <si>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</si>
  <si>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</si>
  <si>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</si>
  <si>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</si>
  <si>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</si>
  <si>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</si>
  <si>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</si>
  <si>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</si>
  <si>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</si>
  <si>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</si>
  <si>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</si>
  <si>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</si>
  <si>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</si>
  <si>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</si>
  <si>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</si>
  <si>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</si>
  <si>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</si>
  <si>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</si>
  <si>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</si>
  <si>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</si>
  <si>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</si>
  <si>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</si>
  <si>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</si>
  <si>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</si>
  <si>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</si>
  <si>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</si>
  <si>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</si>
  <si>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</si>
  <si>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</si>
  <si>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</si>
  <si>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</si>
  <si>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</si>
  <si>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</si>
  <si>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</si>
  <si>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</si>
  <si>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</si>
  <si>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</si>
  <si>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</si>
  <si>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</si>
  <si>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</si>
  <si>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</si>
  <si>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</si>
  <si>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</si>
  <si>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</si>
  <si>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</si>
  <si>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</si>
  <si>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</si>
  <si>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</si>
  <si>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</si>
  <si>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</si>
  <si>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</si>
  <si>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</si>
  <si>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</si>
  <si>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</si>
  <si>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</si>
  <si>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</si>
  <si>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</si>
  <si>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</si>
  <si>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</si>
  <si>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</si>
  <si>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</si>
  <si>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</si>
  <si>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</si>
  <si>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</si>
  <si>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</si>
  <si>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</si>
  <si>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</si>
  <si>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</si>
  <si>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</si>
  <si>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</si>
  <si>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</si>
  <si>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</si>
  <si>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</si>
  <si>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</si>
  <si>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</si>
  <si>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</si>
  <si>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</si>
  <si>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</si>
  <si>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</si>
  <si>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</si>
  <si>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</si>
  <si>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</si>
  <si>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</si>
  <si>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</si>
  <si>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</si>
  <si>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</si>
  <si>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</si>
  <si>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</si>
  <si>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</si>
  <si>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</si>
  <si>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</si>
  <si>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</si>
  <si>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</si>
  <si>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</si>
  <si>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</si>
  <si>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</si>
  <si>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</si>
  <si>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</si>
  <si>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</si>
  <si>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</si>
  <si>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</si>
  <si>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</si>
  <si>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</si>
  <si>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</si>
  <si>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</si>
  <si>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</si>
  <si>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</si>
  <si>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</si>
  <si>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</si>
  <si>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</si>
  <si>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</si>
  <si>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</si>
  <si>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</si>
  <si>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</si>
  <si>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</si>
  <si>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</si>
  <si>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</si>
  <si>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</si>
  <si>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</si>
  <si>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</si>
  <si>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</si>
  <si>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</si>
  <si>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</si>
  <si>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</si>
  <si>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</si>
  <si>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</si>
  <si>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</si>
  <si>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</si>
  <si>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</si>
  <si>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</si>
  <si>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</si>
  <si>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</si>
  <si>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</si>
  <si>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</si>
  <si>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</si>
  <si>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</si>
  <si>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</si>
  <si>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</si>
  <si>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</si>
  <si>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</si>
  <si>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</si>
  <si>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</si>
  <si>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</si>
  <si>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</si>
  <si>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</si>
  <si>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</si>
  <si>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</si>
  <si>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</si>
  <si>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</si>
  <si>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</si>
  <si>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</si>
  <si>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</si>
  <si>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</si>
  <si>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</si>
  <si>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</si>
  <si>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</si>
  <si>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</si>
  <si>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</si>
  <si>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</si>
  <si>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</si>
  <si>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</si>
  <si>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</si>
  <si>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</si>
  <si>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</si>
  <si>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</si>
  <si>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</si>
  <si>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</si>
  <si>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</si>
  <si>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</si>
  <si>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</si>
  <si>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</si>
  <si>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</si>
  <si>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</si>
  <si>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</si>
  <si>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</si>
  <si>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</si>
  <si>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</si>
  <si>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</si>
  <si>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</si>
  <si>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</si>
  <si>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</si>
  <si>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</si>
  <si>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</si>
  <si>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</si>
  <si>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</si>
  <si>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</si>
  <si>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</si>
  <si>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</si>
  <si>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</si>
  <si>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</si>
  <si>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</si>
  <si>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</si>
  <si>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</si>
  <si>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</si>
  <si>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</si>
  <si>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</si>
  <si>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</si>
  <si>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</si>
  <si>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</si>
  <si>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</si>
  <si>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</si>
  <si>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</si>
  <si>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</si>
  <si>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</si>
  <si>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</si>
  <si>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</si>
  <si>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</si>
  <si>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</si>
  <si>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</si>
  <si>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</si>
  <si>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</si>
  <si>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</si>
  <si>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</si>
  <si>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</si>
  <si>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</si>
  <si>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</si>
  <si>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</si>
  <si>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</si>
  <si>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</si>
  <si>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</si>
  <si>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</si>
  <si>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</si>
  <si>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</si>
  <si>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</si>
  <si>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</si>
  <si>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</si>
  <si>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</si>
  <si>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</si>
  <si>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</si>
  <si>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</si>
  <si>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</si>
  <si>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</si>
  <si>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</si>
  <si>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</si>
  <si>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</si>
  <si>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</si>
  <si>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</si>
  <si>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</si>
  <si>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</si>
  <si>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</si>
  <si>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</si>
  <si>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</si>
  <si>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</si>
  <si>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</si>
  <si>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</si>
  <si>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</si>
  <si>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</si>
  <si>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</si>
  <si>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</si>
  <si>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</si>
  <si>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</si>
  <si>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</si>
  <si>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</si>
  <si>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</si>
  <si>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</si>
  <si>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</si>
  <si>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</si>
  <si>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</si>
  <si>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</si>
  <si>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</si>
  <si>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</si>
  <si>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</si>
  <si>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</si>
  <si>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</si>
  <si>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</si>
  <si>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</si>
  <si>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</si>
  <si>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</si>
  <si>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</si>
  <si>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</si>
  <si>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</si>
  <si>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</si>
  <si>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</si>
  <si>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</si>
  <si>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</si>
  <si>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</si>
  <si>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</si>
  <si>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</si>
  <si>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</si>
  <si>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</si>
  <si>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</si>
  <si>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</si>
  <si>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</si>
  <si>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</si>
  <si>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</si>
  <si>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</si>
  <si>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</si>
  <si>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</si>
  <si>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</si>
  <si>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</si>
  <si>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</si>
  <si>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</si>
  <si>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</si>
  <si>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</si>
  <si>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</si>
  <si>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</si>
  <si>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</si>
  <si>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</si>
  <si>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</si>
  <si>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</si>
  <si>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</si>
  <si>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</si>
  <si>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</si>
  <si>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</si>
  <si>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</si>
  <si>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</si>
  <si>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</si>
  <si>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</si>
  <si>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</si>
  <si>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</si>
  <si>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</si>
  <si>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</si>
  <si>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</si>
  <si>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</si>
  <si>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</si>
  <si>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</si>
  <si>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</si>
  <si>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</si>
  <si>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</si>
  <si>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</si>
  <si>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</si>
  <si>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</si>
  <si>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</si>
  <si>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</si>
  <si>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</si>
  <si>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</si>
  <si>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</si>
  <si>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</si>
  <si>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</si>
  <si>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</si>
  <si>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</si>
  <si>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</si>
  <si>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</si>
  <si>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</si>
  <si>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</si>
  <si>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</si>
  <si>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</si>
  <si>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</si>
  <si>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</si>
  <si>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</si>
  <si>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</si>
  <si>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</si>
  <si>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</si>
  <si>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</si>
  <si>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</si>
  <si>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</si>
  <si>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</si>
  <si>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</si>
  <si>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</si>
  <si>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</si>
  <si>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</si>
  <si>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</si>
  <si>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</si>
  <si>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</si>
  <si>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</si>
  <si>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</si>
  <si>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</si>
  <si>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</si>
  <si>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</si>
  <si>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</si>
  <si>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</si>
  <si>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</si>
  <si>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</si>
  <si>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</si>
  <si>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</si>
  <si>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</si>
  <si>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</si>
  <si>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</si>
  <si>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</si>
  <si>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</si>
  <si>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</si>
  <si>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</si>
  <si>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</si>
  <si>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</si>
  <si>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</si>
  <si>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</si>
  <si>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</si>
  <si>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</si>
  <si>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</si>
  <si>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</si>
  <si>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</si>
  <si>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</si>
  <si>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</si>
  <si>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</si>
  <si>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</si>
  <si>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</si>
  <si>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</si>
  <si>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</si>
  <si>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</si>
  <si>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</si>
  <si>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</si>
  <si>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</si>
  <si>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</si>
  <si>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</si>
  <si>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</si>
  <si>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</si>
  <si>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</si>
  <si>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</si>
  <si>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</si>
  <si>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</si>
  <si>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</si>
  <si>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</si>
  <si>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</si>
  <si>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</si>
  <si>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</si>
  <si>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</si>
  <si>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</si>
  <si>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</si>
  <si>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</si>
  <si>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</si>
  <si>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</si>
  <si>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</si>
  <si>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</si>
  <si>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</si>
  <si>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</si>
  <si>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</si>
  <si>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</si>
  <si>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</si>
  <si>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</si>
  <si>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</si>
  <si>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</si>
  <si>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</si>
  <si>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</si>
  <si>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</si>
  <si>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</si>
  <si>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</si>
  <si>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</si>
  <si>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</si>
  <si>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</si>
  <si>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</si>
  <si>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</si>
  <si>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</si>
  <si>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</si>
  <si>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</si>
  <si>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</si>
  <si>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</si>
  <si>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</si>
  <si>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</si>
  <si>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</si>
  <si>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</si>
  <si>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</si>
  <si>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</si>
  <si>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</si>
  <si>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</si>
  <si>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</si>
  <si>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</si>
  <si>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</si>
  <si>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</si>
  <si>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</si>
  <si>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</si>
  <si>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</si>
  <si>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</si>
  <si>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</si>
  <si>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</si>
  <si>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</si>
  <si>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</si>
  <si>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</si>
  <si>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</si>
  <si>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</si>
  <si>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</si>
  <si>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</si>
  <si>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</si>
  <si>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</si>
  <si>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</si>
  <si>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</si>
  <si>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</si>
  <si>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</si>
  <si>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</si>
  <si>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</si>
  <si>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</si>
  <si>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</si>
  <si>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</si>
  <si>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</si>
  <si>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</si>
  <si>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</si>
  <si>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</si>
  <si>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</si>
  <si>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</si>
  <si>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</si>
  <si>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</si>
  <si>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</si>
  <si>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</si>
  <si>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</si>
  <si>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</si>
  <si>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</si>
  <si>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</si>
  <si>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</si>
  <si>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</si>
  <si>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</si>
  <si>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</si>
  <si>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</si>
  <si>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</si>
  <si>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</si>
  <si>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</si>
  <si>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</si>
  <si>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</si>
  <si>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</si>
  <si>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</si>
  <si>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</si>
  <si>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</si>
  <si>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</si>
  <si>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</si>
  <si>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</si>
  <si>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</si>
  <si>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</si>
  <si>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</si>
  <si>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</si>
  <si>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</si>
  <si>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</si>
  <si>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</si>
  <si>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</si>
  <si>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</si>
  <si>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</si>
  <si>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</si>
  <si>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</si>
  <si>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</si>
  <si>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</si>
  <si>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</si>
  <si>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</si>
  <si>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</si>
  <si>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</si>
  <si>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</si>
  <si>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</si>
  <si>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</si>
  <si>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</si>
  <si>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</si>
  <si>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</si>
  <si>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</si>
  <si>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</si>
  <si>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</si>
  <si>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</si>
  <si>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</si>
  <si>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</si>
  <si>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</si>
  <si>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</si>
  <si>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</si>
  <si>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</si>
  <si>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</si>
  <si>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</si>
  <si>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</si>
  <si>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</si>
  <si>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</si>
  <si>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</si>
  <si>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</si>
  <si>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</si>
  <si>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</si>
  <si>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</si>
  <si>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</si>
  <si>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</si>
  <si>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</si>
  <si>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</si>
  <si>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</si>
  <si>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</si>
  <si>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</si>
  <si>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</si>
  <si>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</si>
  <si>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</si>
  <si>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</si>
  <si>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</si>
  <si>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</si>
  <si>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</si>
  <si>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</si>
  <si>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</si>
  <si>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</si>
  <si>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</si>
  <si>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</si>
  <si>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</si>
  <si>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</si>
  <si>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</si>
  <si>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</si>
  <si>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</si>
  <si>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</si>
  <si>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</si>
  <si>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</si>
  <si>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</si>
  <si>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</si>
  <si>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</si>
  <si>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</si>
  <si>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</si>
  <si>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</si>
  <si>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</si>
  <si>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</si>
  <si>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</si>
  <si>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</si>
  <si>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</si>
  <si>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</si>
  <si>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</si>
  <si>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</si>
  <si>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</si>
  <si>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</si>
  <si>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</si>
  <si>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</si>
  <si>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</si>
  <si>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</si>
  <si>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</si>
  <si>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</si>
  <si>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</si>
  <si>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</si>
  <si>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</si>
  <si>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</si>
  <si>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</si>
  <si>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</si>
  <si>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</si>
  <si>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</si>
  <si>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</si>
  <si>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</si>
  <si>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</si>
  <si>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</si>
  <si>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</si>
  <si>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</si>
  <si>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</si>
  <si>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</si>
  <si>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</si>
  <si>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</si>
  <si>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</si>
  <si>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</si>
  <si>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</si>
  <si>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</si>
  <si>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</si>
  <si>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</si>
  <si>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</si>
  <si>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</si>
  <si>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</si>
  <si>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</si>
  <si>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</si>
  <si>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</si>
  <si>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</si>
  <si>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</si>
  <si>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</si>
  <si>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</si>
  <si>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</si>
  <si>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</si>
  <si>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</si>
  <si>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</si>
  <si>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</si>
  <si>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</si>
  <si>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</si>
  <si>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</si>
  <si>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</si>
  <si>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</si>
  <si>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</si>
  <si>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</si>
  <si>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</si>
  <si>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</si>
  <si>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</si>
  <si>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</si>
  <si>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</si>
  <si>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</si>
  <si>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</si>
  <si>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</si>
  <si>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</si>
  <si>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</si>
  <si>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</si>
  <si>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</si>
  <si>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</si>
  <si>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</si>
  <si>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</si>
  <si>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</si>
  <si>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</si>
  <si>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</si>
  <si>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</si>
  <si>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</si>
  <si>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</si>
  <si>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</si>
  <si>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</si>
  <si>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</si>
  <si>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</si>
  <si>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</si>
  <si>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</si>
  <si>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</si>
  <si>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</si>
  <si>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</si>
  <si>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</si>
  <si>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</si>
  <si>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</si>
  <si>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</si>
  <si>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</si>
  <si>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</si>
  <si>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</si>
  <si>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</si>
  <si>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</si>
  <si>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</si>
  <si>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</si>
  <si>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</si>
  <si>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</si>
  <si>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</si>
  <si>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</si>
  <si>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</si>
  <si>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</si>
  <si>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</si>
  <si>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</si>
  <si>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</si>
  <si>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</si>
  <si>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</si>
  <si>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</si>
  <si>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</si>
  <si>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</si>
  <si>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</si>
  <si>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</si>
  <si>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</si>
  <si>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</si>
  <si>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</si>
  <si>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</si>
  <si>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</si>
  <si>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</si>
  <si>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</si>
  <si>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</si>
  <si>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</si>
  <si>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</si>
  <si>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</si>
  <si>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</si>
  <si>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</si>
  <si>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</si>
  <si>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</si>
  <si>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</si>
  <si>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</si>
  <si>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</si>
  <si>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</si>
  <si>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</si>
  <si>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</si>
  <si>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</si>
  <si>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</si>
  <si>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</si>
  <si>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</si>
  <si>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</si>
  <si>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</si>
  <si>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</si>
  <si>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</si>
  <si>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</si>
  <si>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</si>
  <si>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</si>
  <si>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</si>
  <si>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</si>
  <si>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</si>
  <si>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</si>
  <si>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</si>
  <si>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</si>
  <si>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</si>
  <si>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</si>
  <si>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</si>
  <si>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</si>
  <si>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</si>
  <si>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</si>
  <si>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</si>
  <si>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</si>
  <si>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</si>
  <si>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</si>
  <si>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</si>
  <si>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</si>
  <si>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</si>
  <si>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</si>
  <si>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</si>
  <si>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</si>
  <si>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</si>
  <si>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</si>
  <si>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</si>
  <si>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</si>
  <si>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</si>
  <si>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</si>
  <si>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</si>
  <si>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</si>
  <si>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</si>
  <si>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</si>
  <si>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</si>
  <si>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</si>
  <si>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</si>
  <si>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</si>
  <si>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</si>
  <si>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</si>
  <si>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</si>
  <si>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</si>
  <si>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</si>
  <si>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</si>
  <si>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</si>
  <si>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</si>
  <si>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</si>
  <si>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</si>
  <si>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</si>
  <si>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</si>
  <si>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</si>
  <si>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</si>
  <si>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</si>
  <si>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</si>
  <si>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</si>
  <si>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</si>
  <si>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</si>
  <si>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</si>
  <si>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</si>
  <si>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</si>
  <si>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</si>
  <si>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</si>
  <si>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</si>
  <si>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</si>
  <si>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</si>
  <si>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</si>
  <si>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</si>
  <si>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</si>
  <si>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</si>
  <si>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</si>
  <si>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</si>
  <si>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</si>
  <si>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</si>
  <si>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</si>
  <si>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</si>
  <si>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</si>
  <si>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</si>
  <si>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</si>
  <si>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</si>
  <si>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</si>
  <si>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</si>
  <si>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</si>
  <si>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</si>
  <si>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</si>
  <si>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</si>
  <si>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</si>
  <si>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</si>
  <si>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</si>
  <si>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</si>
  <si>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</si>
  <si>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</si>
  <si>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</si>
  <si>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</si>
  <si>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</si>
  <si>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</si>
  <si>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</si>
  <si>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</si>
  <si>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</si>
  <si>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</si>
  <si>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</si>
  <si>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</si>
  <si>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</si>
  <si>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</si>
  <si>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</si>
  <si>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</si>
  <si>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</si>
  <si>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</si>
  <si>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</si>
  <si>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</si>
  <si>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</si>
  <si>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</si>
  <si>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</si>
  <si>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</si>
  <si>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</si>
  <si>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</si>
  <si>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</si>
  <si>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</si>
  <si>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</si>
  <si>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</si>
  <si>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</si>
  <si>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</si>
  <si>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</si>
  <si>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</si>
  <si>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</si>
  <si>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</si>
  <si>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</si>
  <si>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</si>
  <si>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</si>
  <si>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</si>
  <si>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</si>
  <si>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</si>
  <si>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</si>
  <si>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</si>
  <si>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</si>
  <si>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</si>
  <si>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</si>
  <si>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</si>
  <si>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</si>
  <si>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</si>
  <si>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</si>
  <si>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</si>
  <si>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</si>
  <si>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</si>
  <si>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</si>
  <si>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</si>
  <si>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</si>
  <si>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</si>
  <si>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</si>
  <si>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</si>
  <si>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</si>
  <si>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</si>
  <si>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</si>
  <si>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</si>
  <si>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</si>
  <si>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</si>
  <si>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</si>
  <si>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</si>
  <si>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</si>
  <si>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</si>
  <si>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</si>
  <si>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</si>
  <si>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</si>
  <si>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</si>
  <si>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</si>
  <si>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</si>
  <si>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</si>
  <si>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</si>
  <si>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</si>
  <si>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</si>
  <si>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</si>
  <si>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</si>
  <si>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</si>
  <si>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</si>
  <si>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</si>
  <si>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</si>
  <si>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</si>
  <si>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</si>
  <si>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</si>
  <si>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</si>
  <si>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</si>
  <si>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</si>
  <si>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</si>
  <si>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</si>
  <si>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</si>
  <si>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</si>
  <si>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</si>
  <si>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</si>
  <si>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</si>
  <si>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</si>
  <si>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</si>
  <si>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</si>
  <si>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</si>
  <si>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</si>
  <si>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</si>
  <si>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</si>
  <si>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</si>
  <si>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</si>
  <si>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</si>
  <si>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</si>
  <si>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</si>
  <si>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</si>
  <si>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</si>
  <si>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</si>
  <si>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</si>
  <si>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</si>
  <si>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</si>
  <si>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</si>
  <si>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</si>
  <si>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</si>
  <si>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</si>
  <si>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</si>
  <si>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</si>
  <si>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</si>
  <si>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</si>
  <si>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</si>
  <si>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</si>
  <si>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</si>
  <si>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</si>
  <si>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</si>
  <si>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</si>
  <si>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</si>
  <si>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</si>
  <si>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</si>
  <si>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</si>
  <si>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</si>
  <si>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</si>
  <si>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</si>
  <si>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</si>
  <si>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</si>
  <si>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</si>
  <si>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</si>
  <si>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</si>
  <si>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</si>
  <si>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</si>
  <si>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</si>
  <si>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</si>
  <si>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</si>
  <si>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</si>
  <si>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</si>
  <si>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</si>
  <si>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</si>
  <si>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</si>
  <si>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</si>
  <si>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</si>
  <si>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</si>
  <si>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</si>
  <si>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</si>
  <si>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</si>
  <si>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</si>
  <si>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</si>
  <si>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</si>
  <si>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</si>
  <si>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</si>
  <si>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</si>
  <si>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</si>
  <si>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</si>
  <si>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</si>
  <si>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</si>
  <si>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</si>
  <si>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</si>
  <si>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</si>
  <si>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</si>
  <si>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</si>
  <si>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</si>
  <si>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</si>
  <si>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</si>
  <si>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</si>
  <si>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</si>
  <si>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</si>
  <si>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</si>
  <si>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</si>
  <si>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</si>
  <si>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</si>
  <si>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</si>
  <si>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</si>
  <si>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</si>
  <si>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</si>
  <si>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</si>
  <si>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</si>
  <si>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</si>
  <si>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</si>
  <si>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</si>
  <si>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</si>
  <si>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</si>
  <si>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</si>
  <si>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</si>
  <si>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</si>
  <si>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</si>
  <si>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</si>
  <si>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</si>
  <si>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</si>
  <si>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</si>
  <si>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</si>
  <si>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</si>
  <si>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</si>
  <si>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</si>
  <si>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</si>
  <si>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</si>
  <si>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</si>
  <si>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</si>
  <si>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</si>
  <si>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</si>
  <si>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</si>
  <si>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</si>
  <si>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</si>
  <si>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</si>
  <si>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</si>
  <si>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</si>
  <si>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</si>
  <si>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</si>
  <si>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</si>
  <si>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</si>
  <si>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</si>
  <si>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</si>
  <si>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</si>
  <si>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</si>
  <si>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</si>
  <si>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</si>
  <si>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</si>
  <si>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</si>
  <si>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</si>
  <si>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</si>
  <si>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</si>
  <si>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</si>
  <si>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</si>
  <si>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</si>
  <si>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</si>
  <si>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</si>
  <si>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</si>
  <si>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</si>
  <si>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</si>
  <si>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</si>
  <si>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</si>
  <si>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</si>
  <si>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</si>
  <si>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</si>
  <si>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</si>
  <si>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</si>
  <si>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</si>
  <si>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</si>
  <si>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</si>
  <si>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</si>
  <si>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</si>
  <si>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</si>
  <si>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</si>
  <si>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</si>
  <si>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</si>
  <si>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</si>
  <si>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</si>
  <si>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</si>
  <si>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</si>
  <si>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</si>
  <si>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</si>
  <si>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</si>
  <si>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</si>
  <si>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</si>
  <si>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</si>
  <si>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</si>
  <si>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</si>
  <si>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</si>
  <si>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</si>
  <si>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</si>
  <si>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</si>
  <si>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</si>
  <si>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</si>
  <si>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</si>
  <si>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</si>
  <si>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</si>
  <si>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</si>
  <si>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</si>
  <si>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</si>
  <si>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</si>
  <si>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</si>
  <si>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</si>
  <si>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</si>
  <si>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</si>
  <si>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</si>
  <si>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</si>
  <si>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</si>
  <si>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</si>
  <si>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</si>
  <si>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</si>
  <si>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</si>
  <si>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</si>
  <si>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</si>
  <si>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</si>
  <si>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</si>
  <si>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</si>
  <si>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</si>
  <si>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</si>
  <si>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</si>
  <si>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</si>
  <si>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</si>
  <si>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</si>
  <si>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</si>
  <si>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</si>
  <si>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</si>
  <si>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</si>
  <si>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</si>
  <si>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</si>
  <si>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</si>
  <si>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</si>
  <si>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</si>
  <si>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</si>
  <si>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</si>
  <si>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</si>
  <si>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</si>
  <si>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</si>
  <si>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</si>
  <si>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</si>
  <si>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</si>
  <si>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</si>
  <si>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</si>
  <si>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</si>
  <si>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</si>
  <si>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</si>
  <si>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</si>
  <si>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</si>
  <si>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</si>
  <si>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</si>
  <si>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</si>
  <si>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</si>
  <si>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</si>
  <si>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</si>
  <si>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</si>
  <si>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</si>
  <si>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</si>
  <si>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</si>
  <si>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</si>
  <si>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</si>
  <si>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</si>
  <si>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</si>
  <si>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</si>
  <si>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</si>
  <si>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</si>
  <si>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</si>
  <si>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</si>
  <si>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</si>
  <si>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</si>
  <si>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</si>
  <si>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</si>
  <si>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</si>
  <si>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</si>
  <si>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</si>
  <si>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</si>
  <si>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</si>
  <si>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</si>
  <si>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</si>
  <si>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</si>
  <si>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</si>
  <si>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</si>
  <si>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</si>
  <si>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</si>
  <si>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</si>
  <si>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</si>
  <si>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</si>
  <si>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</si>
  <si>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</si>
  <si>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</si>
  <si>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</si>
  <si>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</si>
  <si>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</si>
  <si>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</si>
  <si>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</si>
  <si>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</si>
  <si>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</si>
  <si>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</si>
  <si>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</si>
  <si>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</si>
  <si>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</si>
  <si>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</si>
  <si>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</si>
  <si>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</si>
  <si>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</si>
  <si>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</si>
  <si>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</si>
  <si>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</si>
  <si>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</si>
  <si>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</si>
  <si>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</si>
  <si>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</si>
  <si>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</si>
  <si>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</si>
  <si>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</si>
  <si>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</si>
  <si>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</si>
  <si>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</si>
  <si>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</si>
  <si>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</si>
  <si>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</si>
  <si>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</si>
  <si>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</si>
  <si>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</si>
  <si>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</si>
  <si>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</si>
  <si>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</si>
  <si>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</si>
  <si>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</si>
  <si>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</si>
  <si>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</si>
  <si>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</si>
  <si>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</si>
  <si>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</si>
  <si>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</si>
  <si>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</si>
  <si>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</si>
  <si>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</si>
  <si>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</si>
  <si>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</si>
  <si>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</si>
  <si>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</si>
  <si>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</si>
  <si>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</si>
  <si>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</si>
  <si>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</si>
  <si>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</si>
  <si>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</si>
  <si>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</si>
  <si>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</si>
  <si>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</si>
  <si>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</si>
  <si>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</si>
  <si>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</si>
  <si>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</si>
  <si>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</si>
  <si>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</si>
  <si>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</si>
  <si>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</si>
  <si>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</si>
  <si>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</si>
  <si>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</si>
  <si>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</si>
  <si>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</si>
  <si>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</si>
  <si>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</si>
  <si>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</si>
  <si>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</si>
  <si>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</si>
  <si>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</si>
  <si>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</si>
  <si>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</si>
  <si>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</si>
  <si>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</si>
  <si>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</si>
  <si>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</si>
  <si>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</si>
  <si>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</si>
  <si>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</si>
  <si>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</si>
  <si>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</si>
  <si>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</si>
  <si>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</si>
  <si>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</si>
  <si>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</si>
  <si>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</si>
  <si>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</si>
  <si>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</si>
  <si>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</si>
  <si>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</si>
  <si>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</si>
  <si>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</si>
  <si>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</si>
  <si>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</si>
  <si>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</si>
  <si>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</si>
  <si>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</si>
  <si>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</si>
  <si>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</si>
  <si>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</si>
  <si>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</si>
  <si>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</si>
  <si>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</si>
  <si>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</si>
  <si>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</si>
  <si>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</si>
  <si>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</si>
  <si>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</si>
  <si>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</si>
  <si>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</si>
  <si>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</si>
  <si>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</si>
  <si>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</si>
  <si>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</si>
  <si>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</si>
  <si>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</si>
  <si>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</si>
  <si>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</si>
  <si>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</si>
  <si>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</si>
  <si>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</si>
  <si>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</si>
  <si>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</si>
  <si>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</si>
  <si>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</si>
  <si>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</si>
  <si>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</si>
  <si>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</si>
  <si>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</si>
  <si>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</si>
  <si>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</si>
  <si>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</si>
  <si>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</si>
  <si>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</si>
  <si>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</si>
  <si>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</si>
  <si>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</si>
  <si>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</si>
  <si>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</si>
  <si>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</si>
  <si>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</si>
  <si>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</si>
  <si>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</si>
  <si>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</si>
  <si>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</si>
  <si>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</si>
  <si>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</si>
  <si>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</si>
  <si>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</si>
  <si>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</si>
  <si>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</si>
  <si>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</si>
  <si>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</si>
  <si>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</si>
  <si>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</si>
  <si>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</si>
  <si>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</si>
  <si>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</si>
  <si>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</si>
  <si>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</si>
  <si>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</si>
  <si>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</si>
  <si>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</si>
  <si>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</si>
  <si>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</si>
  <si>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</si>
  <si>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</si>
  <si>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</si>
  <si>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</si>
  <si>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</si>
  <si>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</si>
  <si>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</si>
  <si>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</si>
  <si>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</si>
  <si>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</si>
  <si>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</si>
  <si>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</si>
  <si>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</si>
  <si>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</si>
  <si>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</si>
  <si>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</si>
  <si>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</si>
  <si>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</si>
  <si>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</si>
  <si>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</si>
  <si>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</si>
  <si>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</si>
  <si>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</si>
  <si>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</si>
  <si>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</si>
  <si>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</si>
  <si>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</si>
  <si>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</si>
  <si>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</si>
  <si>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</si>
  <si>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</si>
  <si>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</si>
  <si>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</si>
  <si>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</si>
  <si>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</si>
  <si>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</si>
  <si>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</si>
  <si>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</si>
  <si>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</si>
  <si>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</si>
  <si>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</si>
  <si>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</si>
  <si>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</si>
  <si>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</si>
  <si>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</si>
  <si>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</si>
  <si>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</si>
  <si>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</si>
  <si>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</si>
  <si>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</si>
  <si>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</si>
  <si>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</si>
  <si>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</si>
  <si>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</si>
  <si>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</si>
  <si>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</si>
  <si>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</si>
  <si>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</si>
  <si>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</si>
  <si>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</si>
  <si>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</si>
  <si>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</si>
  <si>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</si>
  <si>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</si>
  <si>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</si>
  <si>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</si>
  <si>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</si>
  <si>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</si>
  <si>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</si>
  <si>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</si>
  <si>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</si>
  <si>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</si>
  <si>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</si>
  <si>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</si>
  <si>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</si>
  <si>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</si>
  <si>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</si>
  <si>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</si>
  <si>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</si>
  <si>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</si>
  <si>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</si>
  <si>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</si>
  <si>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</si>
  <si>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</si>
  <si>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</si>
  <si>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</si>
  <si>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</si>
  <si>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</si>
  <si>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</si>
  <si>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</si>
  <si>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</si>
  <si>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</si>
  <si>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</si>
  <si>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</si>
  <si>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</si>
  <si>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</si>
  <si>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</si>
  <si>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</si>
  <si>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</si>
  <si>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</si>
  <si>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</si>
  <si>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</si>
  <si>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</si>
  <si>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</si>
  <si>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</si>
  <si>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</si>
  <si>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</si>
  <si>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</si>
  <si>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</si>
  <si>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</si>
  <si>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</si>
  <si>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</si>
  <si>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</si>
  <si>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</si>
  <si>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</si>
  <si>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</si>
  <si>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</si>
  <si>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</si>
  <si>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</si>
  <si>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</si>
  <si>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</si>
  <si>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</si>
  <si>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</si>
  <si>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</si>
  <si>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</si>
  <si>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</si>
  <si>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</si>
  <si>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</si>
  <si>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</si>
  <si>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</si>
  <si>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</si>
  <si>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</si>
  <si>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</si>
  <si>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</si>
  <si>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</si>
  <si>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</si>
  <si>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</si>
  <si>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</si>
  <si>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</si>
  <si>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</si>
  <si>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</si>
  <si>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</si>
  <si>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</si>
  <si>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</si>
  <si>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</si>
  <si>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</si>
  <si>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</si>
  <si>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</si>
  <si>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</si>
  <si>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</si>
  <si>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</si>
  <si>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</si>
  <si>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</si>
  <si>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</si>
  <si>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</si>
  <si>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</si>
  <si>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</si>
  <si>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</si>
  <si>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</si>
  <si>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</si>
  <si>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</si>
  <si>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</si>
  <si>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</si>
  <si>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</si>
  <si>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</si>
  <si>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</si>
  <si>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</si>
  <si>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</si>
  <si>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</si>
  <si>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</si>
  <si>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</si>
  <si>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</si>
  <si>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</si>
  <si>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</si>
  <si>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</si>
  <si>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</si>
  <si>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</si>
  <si>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</si>
  <si>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</si>
  <si>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</si>
  <si>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</si>
  <si>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</si>
  <si>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</si>
  <si>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</si>
  <si>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</si>
  <si>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</si>
  <si>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</si>
  <si>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</si>
  <si>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</si>
  <si>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</si>
  <si>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</si>
  <si>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</si>
  <si>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</si>
  <si>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</si>
  <si>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</si>
  <si>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</si>
  <si>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</si>
  <si>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</si>
  <si>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</si>
  <si>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</si>
  <si>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</si>
  <si>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</si>
  <si>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</si>
  <si>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</si>
  <si>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</si>
  <si>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</si>
  <si>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</si>
  <si>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</si>
  <si>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</si>
  <si>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</si>
  <si>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</si>
  <si>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</si>
  <si>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</si>
  <si>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</si>
  <si>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</si>
  <si>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</si>
  <si>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</si>
  <si>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</si>
  <si>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</si>
  <si>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</si>
  <si>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</si>
  <si>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</si>
  <si>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</si>
  <si>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</si>
  <si>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</si>
  <si>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</si>
  <si>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</si>
  <si>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</si>
  <si>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</si>
  <si>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</si>
  <si>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</si>
  <si>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</si>
  <si>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</si>
  <si>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</si>
  <si>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</si>
  <si>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</si>
  <si>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</si>
  <si>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</si>
  <si>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</si>
  <si>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</si>
  <si>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</si>
  <si>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</si>
  <si>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</si>
  <si>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</si>
  <si>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</si>
  <si>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</si>
  <si>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</si>
  <si>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</si>
  <si>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</si>
  <si>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</si>
  <si>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</si>
  <si>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</si>
  <si>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</si>
  <si>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</si>
  <si>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</si>
  <si>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</si>
  <si>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</si>
  <si>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</si>
  <si>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</si>
  <si>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</si>
  <si>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</si>
  <si>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</si>
  <si>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</si>
  <si>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</si>
  <si>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</si>
  <si>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</si>
  <si>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</si>
  <si>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</si>
  <si>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</si>
  <si>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</si>
  <si>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</si>
  <si>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</si>
  <si>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</si>
  <si>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</si>
  <si>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</si>
  <si>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</si>
  <si>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</si>
  <si>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</si>
  <si>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</si>
  <si>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</si>
  <si>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</si>
  <si>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</si>
  <si>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</si>
  <si>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</si>
  <si>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</si>
  <si>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</si>
  <si>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</si>
  <si>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</si>
  <si>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</si>
  <si>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</si>
  <si>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</si>
  <si>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</si>
  <si>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</si>
  <si>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</si>
  <si>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</si>
  <si>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</si>
  <si>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</si>
  <si>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</si>
  <si>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</si>
  <si>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</si>
  <si>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</si>
  <si>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</si>
  <si>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</si>
  <si>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</si>
  <si>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</si>
  <si>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</si>
  <si>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</si>
  <si>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</si>
  <si>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</si>
  <si>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</si>
  <si>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</si>
  <si>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</si>
  <si>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</si>
  <si>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</si>
  <si>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</si>
  <si>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</si>
  <si>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</si>
  <si>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</si>
  <si>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</si>
  <si>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</si>
  <si>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</si>
  <si>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</si>
  <si>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</si>
  <si>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</si>
  <si>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</si>
  <si>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</si>
  <si>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</si>
  <si>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</si>
  <si>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</si>
  <si>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</si>
  <si>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</si>
  <si>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</si>
  <si>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</si>
  <si>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</si>
  <si>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</si>
  <si>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</si>
  <si>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</si>
  <si>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</si>
  <si>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</si>
  <si>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</si>
  <si>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</si>
  <si>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</si>
  <si>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</si>
  <si>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</si>
  <si>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</si>
  <si>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</si>
  <si>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</si>
  <si>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</si>
  <si>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</si>
  <si>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</si>
  <si>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</si>
  <si>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</si>
  <si>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</si>
  <si>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</si>
  <si>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</si>
  <si>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</si>
  <si>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</si>
  <si>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</si>
  <si>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</si>
  <si>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</si>
  <si>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</si>
  <si>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</si>
  <si>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</si>
  <si>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</si>
  <si>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</si>
  <si>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</si>
  <si>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</si>
  <si>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</si>
  <si>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</si>
  <si>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</si>
  <si>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</si>
  <si>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</si>
  <si>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</si>
  <si>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</si>
  <si>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</si>
  <si>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</si>
  <si>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</si>
  <si>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</si>
  <si>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</si>
  <si>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</si>
  <si>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</si>
  <si>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</si>
  <si>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</si>
  <si>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</si>
  <si>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</si>
  <si>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</si>
  <si>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</si>
  <si>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</si>
  <si>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</si>
  <si>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</si>
  <si>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</si>
  <si>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</si>
  <si>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</si>
  <si>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</si>
  <si>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</si>
  <si>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</si>
  <si>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</si>
  <si>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</si>
  <si>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</si>
  <si>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</si>
  <si>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</si>
  <si>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</si>
  <si>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</si>
  <si>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</si>
  <si>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</si>
  <si>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</si>
  <si>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</si>
  <si>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</si>
  <si>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</si>
  <si>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</si>
  <si>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</si>
  <si>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</si>
  <si>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</si>
  <si>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</si>
  <si>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</si>
  <si>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</si>
  <si>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</si>
  <si>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</si>
  <si>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</si>
  <si>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</si>
  <si>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</si>
  <si>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</si>
  <si>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</si>
  <si>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</si>
  <si>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</si>
  <si>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</si>
  <si>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</si>
  <si>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</si>
  <si>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</si>
  <si>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</si>
  <si>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</si>
  <si>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</si>
  <si>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</si>
  <si>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</si>
  <si>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</si>
  <si>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</si>
  <si>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</si>
  <si>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</si>
  <si>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</si>
  <si>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</si>
  <si>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</si>
  <si>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</si>
  <si>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</si>
  <si>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</si>
  <si>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</si>
  <si>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</si>
  <si>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</si>
  <si>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</si>
  <si>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</si>
  <si>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</si>
  <si>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</si>
  <si>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</si>
  <si>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</si>
  <si>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</si>
  <si>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</si>
  <si>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</si>
  <si>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</si>
  <si>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</si>
  <si>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</si>
  <si>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</si>
  <si>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</si>
  <si>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</si>
  <si>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</si>
  <si>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</si>
  <si>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</si>
  <si>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</si>
  <si>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</si>
  <si>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</si>
  <si>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</si>
  <si>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</si>
  <si>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</si>
  <si>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</si>
  <si>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</si>
  <si>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</si>
  <si>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</si>
  <si>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</si>
  <si>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</si>
  <si>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</si>
  <si>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</si>
  <si>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</si>
  <si>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</si>
  <si>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</si>
  <si>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</si>
  <si>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</si>
  <si>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</si>
  <si>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</si>
  <si>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</si>
  <si>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</si>
  <si>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</si>
  <si>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</si>
  <si>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</si>
  <si>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</si>
  <si>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</si>
  <si>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</si>
  <si>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</si>
  <si>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</si>
  <si>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</si>
  <si>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</si>
  <si>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</si>
  <si>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</si>
  <si>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</si>
  <si>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</si>
  <si>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</si>
  <si>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</si>
  <si>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</si>
  <si>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</si>
  <si>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</si>
  <si>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</si>
  <si>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</si>
  <si>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</si>
  <si>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</si>
  <si>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</si>
  <si>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</si>
  <si>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</si>
  <si>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</si>
  <si>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</si>
  <si>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</si>
  <si>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</si>
  <si>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</si>
  <si>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</si>
  <si>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</si>
  <si>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</si>
  <si>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</si>
  <si>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</si>
  <si>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Ronaldo</t>
  </si>
  <si>
    <t>2. USA</t>
  </si>
  <si>
    <t>3. Mehhiko</t>
  </si>
  <si>
    <t>4. Seitse</t>
  </si>
  <si>
    <t>5. Ronaldo</t>
  </si>
  <si>
    <t>6. Argentina</t>
  </si>
  <si>
    <t>7. USA</t>
  </si>
  <si>
    <t>8. Portugal</t>
  </si>
  <si>
    <t>9. Messi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</si>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</sst>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25.png"/><Relationship Id="rId50" Type="http://schemas.openxmlformats.org/officeDocument/2006/relationships/image" Target="../media/image51.svg"/><Relationship Id="rId55" Type="http://schemas.openxmlformats.org/officeDocument/2006/relationships/image" Target="../media/image29.png"/><Relationship Id="rId63" Type="http://schemas.openxmlformats.org/officeDocument/2006/relationships/image" Target="../media/image33.png"/><Relationship Id="rId7" Type="http://schemas.openxmlformats.org/officeDocument/2006/relationships/image" Target="../media/image5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16.png"/><Relationship Id="rId11" Type="http://schemas.openxmlformats.org/officeDocument/2006/relationships/image" Target="../media/image7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20.png"/><Relationship Id="rId40" Type="http://schemas.openxmlformats.org/officeDocument/2006/relationships/image" Target="../media/image41.svg"/><Relationship Id="rId45" Type="http://schemas.openxmlformats.org/officeDocument/2006/relationships/image" Target="../media/image24.png"/><Relationship Id="rId53" Type="http://schemas.openxmlformats.org/officeDocument/2006/relationships/image" Target="../media/image28.png"/><Relationship Id="rId58" Type="http://schemas.openxmlformats.org/officeDocument/2006/relationships/image" Target="../media/image59.svg"/><Relationship Id="rId5" Type="http://schemas.openxmlformats.org/officeDocument/2006/relationships/image" Target="../media/image4.png"/><Relationship Id="rId61" Type="http://schemas.openxmlformats.org/officeDocument/2006/relationships/image" Target="../media/image32.png"/><Relationship Id="rId19" Type="http://schemas.openxmlformats.org/officeDocument/2006/relationships/image" Target="../media/image11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15.png"/><Relationship Id="rId30" Type="http://schemas.openxmlformats.org/officeDocument/2006/relationships/image" Target="../media/image31.svg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27.png"/><Relationship Id="rId3" Type="http://schemas.openxmlformats.org/officeDocument/2006/relationships/image" Target="../media/image3.png"/><Relationship Id="rId12" Type="http://schemas.openxmlformats.org/officeDocument/2006/relationships/image" Target="../media/image13.svg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31.png"/><Relationship Id="rId20" Type="http://schemas.openxmlformats.org/officeDocument/2006/relationships/image" Target="../media/image21.svg"/><Relationship Id="rId41" Type="http://schemas.openxmlformats.org/officeDocument/2006/relationships/image" Target="../media/image2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image" Target="../media/image11.svg"/><Relationship Id="rId31" Type="http://schemas.openxmlformats.org/officeDocument/2006/relationships/image" Target="../media/image17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showGridLines="0" workbookViewId="0">
      <selection activeCell="C4" sqref="C4"/>
    </sheetView>
  </sheetViews>
  <sheetFormatPr defaultColWidth="9.1796875" defaultRowHeight="14.5" x14ac:dyDescent="0.35"/>
  <cols>
    <col min="1" max="1" width="1.1796875" style="10" customWidth="1"/>
    <col min="2" max="2" width="18.81640625" style="10" bestFit="1" customWidth="1"/>
    <col min="3" max="3" width="20.26953125" style="10" customWidth="1"/>
    <col min="4" max="4" width="9.1796875" style="10"/>
    <col min="5" max="5" width="1.1796875" style="10" customWidth="1"/>
    <col min="6" max="6" width="9.1796875" style="10"/>
    <col min="7" max="7" width="27.54296875" style="10" bestFit="1" customWidth="1"/>
    <col min="8" max="8" width="2.7265625" style="10" customWidth="1"/>
    <col min="9" max="9" width="1.1796875" style="10" customWidth="1"/>
    <col min="10" max="16384" width="9.179687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X97"/>
  <sheetViews>
    <sheetView showGridLines="0" tabSelected="1" topLeftCell="J19" zoomScaleNormal="100" workbookViewId="0">
      <selection activeCell="BV30" sqref="BV30"/>
    </sheetView>
  </sheetViews>
  <sheetFormatPr defaultColWidth="9.1796875" defaultRowHeight="14.5" x14ac:dyDescent="0.35"/>
  <cols>
    <col min="1" max="1" width="4.81640625" style="3" customWidth="1"/>
    <col min="2" max="2" width="6.1796875" style="3" customWidth="1"/>
    <col min="3" max="3" width="11.7265625" style="3" bestFit="1" customWidth="1"/>
    <col min="4" max="4" width="7.26953125" style="4" customWidth="1"/>
    <col min="5" max="5" width="22.54296875" style="5" customWidth="1"/>
    <col min="6" max="7" width="4.26953125" style="6" customWidth="1"/>
    <col min="8" max="8" width="22.54296875" style="7" customWidth="1"/>
    <col min="9" max="9" width="3.453125" style="2" customWidth="1"/>
    <col min="10" max="10" width="14" style="8" customWidth="1"/>
    <col min="11" max="14" width="5.453125" style="9" customWidth="1"/>
    <col min="15" max="15" width="7.7265625" style="9" customWidth="1"/>
    <col min="16" max="16" width="6.7265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26953125" style="48" hidden="1" customWidth="1"/>
    <col min="27" max="27" width="5.453125" style="47" hidden="1" customWidth="1"/>
    <col min="28" max="28" width="13.453125" style="48" hidden="1" customWidth="1"/>
    <col min="29" max="33" width="5.453125" style="47" hidden="1" customWidth="1"/>
    <col min="34" max="36" width="6" style="47" hidden="1" customWidth="1"/>
    <col min="37" max="37" width="5.453125" style="47" hidden="1" customWidth="1"/>
    <col min="38" max="38" width="6" style="47" hidden="1" customWidth="1"/>
    <col min="39" max="39" width="7.1796875" style="48" hidden="1" customWidth="1"/>
    <col min="40" max="40" width="10" style="48" hidden="1" customWidth="1"/>
    <col min="41" max="41" width="15.26953125" style="48" hidden="1" customWidth="1"/>
    <col min="42" max="46" width="4.7265625" style="47" hidden="1" customWidth="1"/>
    <col min="47" max="49" width="9.1796875" style="48" hidden="1" customWidth="1"/>
    <col min="50" max="50" width="9.1796875" style="49" hidden="1" customWidth="1"/>
    <col min="51" max="51" width="3.26953125" style="2" customWidth="1"/>
    <col min="52" max="52" width="19.7265625" style="2" customWidth="1"/>
    <col min="53" max="55" width="3" style="2" customWidth="1"/>
    <col min="56" max="57" width="2" style="2" customWidth="1"/>
    <col min="58" max="58" width="3.26953125" style="2" customWidth="1"/>
    <col min="59" max="59" width="19.7265625" style="2" customWidth="1"/>
    <col min="60" max="62" width="3" style="2" customWidth="1"/>
    <col min="63" max="64" width="2" style="2" customWidth="1"/>
    <col min="65" max="65" width="3.26953125" style="2" customWidth="1"/>
    <col min="66" max="66" width="19.7265625" style="2" customWidth="1"/>
    <col min="67" max="69" width="3" style="2" customWidth="1"/>
    <col min="70" max="71" width="2" style="2" customWidth="1"/>
    <col min="72" max="72" width="3.26953125" style="2" customWidth="1"/>
    <col min="73" max="73" width="19.7265625" style="2" customWidth="1"/>
    <col min="74" max="76" width="3" style="2" customWidth="1"/>
    <col min="77" max="16384" width="9.1796875" style="2"/>
  </cols>
  <sheetData>
    <row r="1" spans="1:76" ht="46" x14ac:dyDescent="0.3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3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2</v>
      </c>
      <c r="G8" s="22">
        <v>1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Senegal_win</v>
      </c>
      <c r="T8" s="88" t="str">
        <f t="shared" si="4"/>
        <v>Netherlands_lose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4</v>
      </c>
      <c r="AG8" s="47">
        <f>SUMIF($E$7:$E$54,$AB8,$G$7:$G$54) + SUMIF($H$7:$H$54,$AB8,$F$7:$F$54)</f>
        <v>4</v>
      </c>
      <c r="AH8" s="47">
        <f>(AF8-AG8)*100+AK8*10000+AF8</f>
        <v>60004</v>
      </c>
      <c r="AI8" s="47">
        <f>AF8-AG8</f>
        <v>0</v>
      </c>
      <c r="AJ8" s="47">
        <f>(AI8-AI13)/AI12</f>
        <v>0.375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1544.1674587466669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0</v>
      </c>
      <c r="G9" s="22">
        <v>2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2</v>
      </c>
      <c r="M9" s="51">
        <f>VLOOKUP(1,AA8:AK11,4,FALSE)</f>
        <v>0</v>
      </c>
      <c r="N9" s="51">
        <f>VLOOKUP(1,AA8:AK11,5,FALSE)</f>
        <v>1</v>
      </c>
      <c r="O9" s="51" t="str">
        <f>VLOOKUP(1,AA8:AK11,6,FALSE) &amp; " - " &amp; VLOOKUP(1,AA8:AK11,7,FALSE)</f>
        <v>9 - 5</v>
      </c>
      <c r="P9" s="52">
        <f>L9*3+M9</f>
        <v>6</v>
      </c>
      <c r="R9" s="47">
        <f>DATE(2022,11,21)+TIME(2,0,0)+gmt_delta</f>
        <v>44886.666666666672</v>
      </c>
      <c r="S9" s="88" t="str">
        <f t="shared" si="3"/>
        <v>England_lose</v>
      </c>
      <c r="T9" s="88" t="str">
        <f t="shared" si="4"/>
        <v>Iran_win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-1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1</v>
      </c>
      <c r="AD9" s="47">
        <f>COUNTIF($S$7:$T$54,"=" &amp; AB9 &amp; "_draw")</f>
        <v>0</v>
      </c>
      <c r="AE9" s="47">
        <f>COUNTIF($S$7:$T$54,"=" &amp; AB9 &amp; "_lose")</f>
        <v>2</v>
      </c>
      <c r="AF9" s="47">
        <f>SUMIF($E$7:$E$54,$AB9,$F$7:$F$54) + SUMIF($H$7:$H$54,$AB9,$G$7:$G$54)</f>
        <v>5</v>
      </c>
      <c r="AG9" s="47">
        <f>SUMIF($E$7:$E$54,$AB9,$G$7:$G$54) + SUMIF($H$7:$H$54,$AB9,$F$7:$F$54)</f>
        <v>8</v>
      </c>
      <c r="AH9" s="47">
        <f>(AF9-AG9)*100+AK9*10000+AF9</f>
        <v>29705</v>
      </c>
      <c r="AI9" s="47">
        <f>AF9-AG9</f>
        <v>-3</v>
      </c>
      <c r="AJ9" s="47">
        <f>(AI9-AI13)/AI12</f>
        <v>0</v>
      </c>
      <c r="AK9" s="47">
        <f>AC9*3+AD9</f>
        <v>3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758.33405383333343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2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4 - 4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5</v>
      </c>
      <c r="AH10" s="47">
        <f>(AF10-AG10)*100+AK10*10000+AF10</f>
        <v>29904</v>
      </c>
      <c r="AI10" s="47">
        <f>AF10-AG10</f>
        <v>-1</v>
      </c>
      <c r="AJ10" s="47">
        <f>(AI10-AI13)/AI12</f>
        <v>0.25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781.66739316666667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2</v>
      </c>
      <c r="G11" s="22">
        <v>1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4 - 5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2</v>
      </c>
      <c r="AD11" s="47">
        <f>COUNTIF($S$7:$T$54,"=" &amp; AB11 &amp; "_draw")</f>
        <v>0</v>
      </c>
      <c r="AE11" s="47">
        <f>COUNTIF($S$7:$T$54,"=" &amp; AB11 &amp; "_lose")</f>
        <v>1</v>
      </c>
      <c r="AF11" s="47">
        <f>SUMIF($E$7:$E$54,$AB11,$F$7:$F$54) + SUMIF($H$7:$H$54,$AB11,$G$7:$G$54)</f>
        <v>9</v>
      </c>
      <c r="AG11" s="47">
        <f>SUMIF($E$7:$E$54,$AB11,$G$7:$G$54) + SUMIF($H$7:$H$54,$AB11,$F$7:$F$54)</f>
        <v>5</v>
      </c>
      <c r="AH11" s="47">
        <f>(AF11-AG11)*100+AK11*10000+AF11</f>
        <v>60409</v>
      </c>
      <c r="AI11" s="47">
        <f>AF11-AG11</f>
        <v>4</v>
      </c>
      <c r="AJ11" s="47">
        <f>(AI11-AI13)/AI12</f>
        <v>0.875</v>
      </c>
      <c r="AK11" s="47">
        <f>AC11*3+AD11</f>
        <v>6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1602.50082933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Iran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0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1</v>
      </c>
      <c r="M12" s="56">
        <f>VLOOKUP(4,AA8:AK11,4,FALSE)</f>
        <v>0</v>
      </c>
      <c r="N12" s="56">
        <f>VLOOKUP(4,AA8:AK11,5,FALSE)</f>
        <v>2</v>
      </c>
      <c r="O12" s="56" t="str">
        <f>VLOOKUP(4,AA8:AK11,6,FALSE) &amp; " - " &amp; VLOOKUP(4,AA8:AK11,7,FALSE)</f>
        <v>5 - 8</v>
      </c>
      <c r="P12" s="57">
        <f>L12*3+M12</f>
        <v>3</v>
      </c>
      <c r="R12" s="47">
        <f>DATE(2022,11,22)+TIME(2,0,0)+gmt_delta</f>
        <v>44887.666666666672</v>
      </c>
      <c r="S12" s="88" t="str">
        <f t="shared" si="3"/>
        <v>Denmark_draw</v>
      </c>
      <c r="T12" s="88" t="str">
        <f t="shared" si="4"/>
        <v>Tunisia_draw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0</v>
      </c>
      <c r="AC12" s="47">
        <f t="shared" ref="AC12:AL12" si="10">MAX(AC8:AC11)-MIN(AC8:AC11)+1</f>
        <v>2</v>
      </c>
      <c r="AD12" s="47">
        <f t="shared" si="10"/>
        <v>1</v>
      </c>
      <c r="AE12" s="47">
        <f t="shared" si="10"/>
        <v>2</v>
      </c>
      <c r="AF12" s="47">
        <f t="shared" si="10"/>
        <v>6</v>
      </c>
      <c r="AG12" s="47">
        <f t="shared" si="10"/>
        <v>5</v>
      </c>
      <c r="AH12" s="47">
        <f>MAX(AH8:AH11)-AH13+1</f>
        <v>30705</v>
      </c>
      <c r="AI12" s="47">
        <f>MAX(AI8:AI11)-AI13+1</f>
        <v>8</v>
      </c>
      <c r="AK12" s="47">
        <f t="shared" si="10"/>
        <v>4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3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29705</v>
      </c>
      <c r="AI13" s="47">
        <f>MIN(AI8:AI11)</f>
        <v>-3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Mexico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1</v>
      </c>
      <c r="G14" s="22">
        <v>2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France_lose</v>
      </c>
      <c r="T14" s="88" t="str">
        <f t="shared" si="4"/>
        <v>Australia_win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-1</v>
      </c>
      <c r="AA14" s="47">
        <f>COUNTIF(AN14:AN17,CONCATENATE("&gt;=",AN14))</f>
        <v>3</v>
      </c>
      <c r="AB14" s="48" t="str">
        <f>VLOOKUP("England",T,lang,FALSE)</f>
        <v>England</v>
      </c>
      <c r="AC14" s="47">
        <f>COUNTIF($S$7:$T$54,"=" &amp; AB14 &amp; "_win")</f>
        <v>1</v>
      </c>
      <c r="AD14" s="47">
        <f>COUNTIF($S$7:$T$54,"=" &amp; AB14 &amp; "_draw")</f>
        <v>1</v>
      </c>
      <c r="AE14" s="47">
        <f>COUNTIF($S$7:$T$54,"=" &amp; AB14 &amp; "_lose")</f>
        <v>1</v>
      </c>
      <c r="AF14" s="47">
        <f>SUMIF($E$7:$E$54,$AB14,$F$7:$F$54) + SUMIF($H$7:$H$54,$AB14,$G$7:$G$54)</f>
        <v>4</v>
      </c>
      <c r="AG14" s="47">
        <f>SUMIF($E$7:$E$54,$AB14,$G$7:$G$54) + SUMIF($H$7:$H$54,$AB14,$F$7:$F$54)</f>
        <v>3</v>
      </c>
      <c r="AH14" s="47">
        <f>(AF14-AG14)*100+AK14*10000+AF14</f>
        <v>40104</v>
      </c>
      <c r="AI14" s="47">
        <f>AF14-AG14</f>
        <v>1</v>
      </c>
      <c r="AJ14" s="47">
        <f>(AI14-AI19)/AI18</f>
        <v>0.8</v>
      </c>
      <c r="AK14" s="47">
        <f>AC14*3+AD14</f>
        <v>4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1426.6675476666665</v>
      </c>
      <c r="AO14" s="48" t="str">
        <f>IF(SUM(AC14:AE17)=12,J15,INDEX(T,72,lang))</f>
        <v>United States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Mexico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1</v>
      </c>
      <c r="H15" s="90" t="str">
        <f>AB41</f>
        <v>Croatia</v>
      </c>
      <c r="J15" s="50" t="str">
        <f>VLOOKUP(1,AA14:AK17,2,FALSE)</f>
        <v>United States</v>
      </c>
      <c r="K15" s="51">
        <f>L15+M15+N15</f>
        <v>3</v>
      </c>
      <c r="L15" s="51">
        <f>VLOOKUP(1,AA14:AK17,3,FALSE)</f>
        <v>1</v>
      </c>
      <c r="M15" s="51">
        <f>VLOOKUP(1,AA14:AK17,4,FALSE)</f>
        <v>2</v>
      </c>
      <c r="N15" s="51">
        <f>VLOOKUP(1,AA14:AK17,5,FALSE)</f>
        <v>0</v>
      </c>
      <c r="O15" s="51" t="str">
        <f>VLOOKUP(1,AA14:AK17,6,FALSE) &amp; " - " &amp; VLOOKUP(1,AA14:AK17,7,FALSE)</f>
        <v>5 - 4</v>
      </c>
      <c r="P15" s="52">
        <f>L15*3+M15</f>
        <v>5</v>
      </c>
      <c r="R15" s="47">
        <f>DATE(2022,11,22)+TIME(23,0,0)+gmt_delta</f>
        <v>44888.541666666672</v>
      </c>
      <c r="S15" s="88" t="str">
        <f t="shared" si="3"/>
        <v>Morocco_draw</v>
      </c>
      <c r="T15" s="88" t="str">
        <f t="shared" si="4"/>
        <v>Croatia_draw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0</v>
      </c>
      <c r="AA15" s="47">
        <f>COUNTIF(AN14:AN17,CONCATENATE("&gt;=",AN15))</f>
        <v>2</v>
      </c>
      <c r="AB15" s="48" t="str">
        <f>VLOOKUP("Iran",T,lang,FALSE)</f>
        <v>Iran</v>
      </c>
      <c r="AC15" s="47">
        <f>COUNTIF($S$7:$T$54,"=" &amp; AB15 &amp; "_win")</f>
        <v>1</v>
      </c>
      <c r="AD15" s="47">
        <f>COUNTIF($S$7:$T$54,"=" &amp; AB15 &amp; "_draw")</f>
        <v>1</v>
      </c>
      <c r="AE15" s="47">
        <f>COUNTIF($S$7:$T$54,"=" &amp; AB15 &amp; "_lose")</f>
        <v>1</v>
      </c>
      <c r="AF15" s="47">
        <f>SUMIF($E$7:$E$54,$AB15,$F$7:$F$54) + SUMIF($H$7:$H$54,$AB15,$G$7:$G$54)</f>
        <v>5</v>
      </c>
      <c r="AG15" s="47">
        <f>SUMIF($E$7:$E$54,$AB15,$G$7:$G$54) + SUMIF($H$7:$H$54,$AB15,$F$7:$F$54)</f>
        <v>4</v>
      </c>
      <c r="AH15" s="47">
        <f>(AF15-AG15)*100+AK15*10000+AF15</f>
        <v>40105</v>
      </c>
      <c r="AI15" s="47">
        <f>AF15-AG15</f>
        <v>1</v>
      </c>
      <c r="AJ15" s="47">
        <f>(AI15-AI19)/AI18</f>
        <v>0.8</v>
      </c>
      <c r="AK15" s="47">
        <f>AC15*3+AD15</f>
        <v>4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1430.0007820000001</v>
      </c>
      <c r="AO15" s="48" t="str">
        <f>IF(SUM(AC14:AE17)=12,J16,INDEX(T,73,lang))</f>
        <v>Iran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Tunisia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1</v>
      </c>
      <c r="G16" s="22">
        <v>3</v>
      </c>
      <c r="H16" s="90" t="str">
        <f>AB35</f>
        <v>Japan</v>
      </c>
      <c r="J16" s="53" t="str">
        <f>VLOOKUP(2,AA14:AK17,2,FALSE)</f>
        <v>Iran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5 - 4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Germany_lose</v>
      </c>
      <c r="T16" s="88" t="str">
        <f t="shared" si="4"/>
        <v>Japan_win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-1</v>
      </c>
      <c r="AA16" s="47">
        <f>COUNTIF(AN14:AN17,CONCATENATE("&gt;=",AN16))</f>
        <v>1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2</v>
      </c>
      <c r="AE16" s="47">
        <f>COUNTIF($S$7:$T$54,"=" &amp; AB16 &amp; "_lose")</f>
        <v>0</v>
      </c>
      <c r="AF16" s="47">
        <f>SUMIF($E$7:$E$54,$AB16,$F$7:$F$54) + SUMIF($H$7:$H$54,$AB16,$G$7:$G$54)</f>
        <v>5</v>
      </c>
      <c r="AG16" s="47">
        <f>SUMIF($E$7:$E$54,$AB16,$G$7:$G$54) + SUMIF($H$7:$H$54,$AB16,$F$7:$F$54)</f>
        <v>4</v>
      </c>
      <c r="AH16" s="47">
        <f>(AF16-AG16)*100+AK16*10000+AF16</f>
        <v>50105</v>
      </c>
      <c r="AI16" s="47">
        <f>AF16-AG16</f>
        <v>1</v>
      </c>
      <c r="AJ16" s="47">
        <f>(AI16-AI19)/AI18</f>
        <v>0.8</v>
      </c>
      <c r="AK16" s="47">
        <f>AC16*3+AD16</f>
        <v>5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1763.3341501933335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Netherlands</v>
      </c>
      <c r="BO16" s="84">
        <v>0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4</v>
      </c>
      <c r="G17" s="22">
        <v>1</v>
      </c>
      <c r="H17" s="90" t="str">
        <f>AB33</f>
        <v>Costa Rica</v>
      </c>
      <c r="J17" s="53" t="str">
        <f>VLOOKUP(3,AA14:AK17,2,FALSE)</f>
        <v>England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4 - 3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4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0</v>
      </c>
      <c r="AE17" s="47">
        <f>COUNTIF($S$7:$T$54,"=" &amp; AB17 &amp; "_lose")</f>
        <v>2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6</v>
      </c>
      <c r="AH17" s="47">
        <f>(AF17-AG17)*100+AK17*10000+AF17</f>
        <v>29703</v>
      </c>
      <c r="AI17" s="47">
        <f>AF17-AG17</f>
        <v>-3</v>
      </c>
      <c r="AJ17" s="47">
        <f>(AI17-AI19)/AI18</f>
        <v>0</v>
      </c>
      <c r="AK17" s="47">
        <f>AC17*3+AD17</f>
        <v>3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1010.000791065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Belgium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0</v>
      </c>
      <c r="H18" s="90" t="str">
        <f>AB39</f>
        <v>Canada</v>
      </c>
      <c r="J18" s="55" t="str">
        <f>VLOOKUP(4,AA14:AK17,2,FALSE)</f>
        <v>Wales</v>
      </c>
      <c r="K18" s="56">
        <f>L18+M18+N18</f>
        <v>3</v>
      </c>
      <c r="L18" s="56">
        <f>VLOOKUP(4,AA14:AK17,3,FALSE)</f>
        <v>1</v>
      </c>
      <c r="M18" s="56">
        <f>VLOOKUP(4,AA14:AK17,4,FALSE)</f>
        <v>0</v>
      </c>
      <c r="N18" s="56">
        <f>VLOOKUP(4,AA14:AK17,5,FALSE)</f>
        <v>2</v>
      </c>
      <c r="O18" s="56" t="str">
        <f>VLOOKUP(4,AA14:AK17,6,FALSE) &amp; " - " &amp; VLOOKUP(4,AA14:AK17,7,FALSE)</f>
        <v>3 - 6</v>
      </c>
      <c r="P18" s="57">
        <f>L18*3+M18</f>
        <v>3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1</v>
      </c>
      <c r="AD18" s="47">
        <f t="shared" si="11"/>
        <v>3</v>
      </c>
      <c r="AE18" s="47">
        <f t="shared" si="11"/>
        <v>3</v>
      </c>
      <c r="AF18" s="47">
        <f t="shared" si="11"/>
        <v>3</v>
      </c>
      <c r="AG18" s="47">
        <f t="shared" si="11"/>
        <v>4</v>
      </c>
      <c r="AH18" s="47">
        <f>MAX(AH14:AH17)-AH19+1</f>
        <v>20403</v>
      </c>
      <c r="AI18" s="47">
        <f>MAX(AI14:AI17)-AI19+1</f>
        <v>5</v>
      </c>
      <c r="AK18" s="47">
        <f t="shared" si="11"/>
        <v>3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Japan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0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29703</v>
      </c>
      <c r="AI19" s="47">
        <f>MIN(AI14:AI17)</f>
        <v>-3</v>
      </c>
      <c r="AY19" s="125"/>
      <c r="AZ19" s="28" t="str">
        <f>AO39</f>
        <v>Belgium</v>
      </c>
      <c r="BA19" s="85">
        <v>3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3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Uruguay_lose</v>
      </c>
      <c r="T20" s="88" t="str">
        <f t="shared" si="4"/>
        <v>Korea Republic_win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-1</v>
      </c>
      <c r="AA20" s="47">
        <f>COUNTIF(AN20:AN23,CONCATENATE("&gt;=",AN20))</f>
        <v>3</v>
      </c>
      <c r="AB20" s="48" t="str">
        <f>VLOOKUP("Argentina",T,lang,FALSE)</f>
        <v>Argentina</v>
      </c>
      <c r="AC20" s="47">
        <f>COUNTIF($S$7:$T$54,"=" &amp; AB20 &amp; "_win")</f>
        <v>1</v>
      </c>
      <c r="AD20" s="47">
        <f>COUNTIF($S$7:$T$54,"=" &amp; AB20 &amp; "_draw")</f>
        <v>1</v>
      </c>
      <c r="AE20" s="47">
        <f>COUNTIF($S$7:$T$54,"=" &amp; AB20 &amp; "_lose")</f>
        <v>1</v>
      </c>
      <c r="AF20" s="47">
        <f>SUMIF($E$7:$E$54,$AB20,$F$7:$F$54) + SUMIF($H$7:$H$54,$AB20,$G$7:$G$54)</f>
        <v>3</v>
      </c>
      <c r="AG20" s="47">
        <f>SUMIF($E$7:$E$54,$AB20,$G$7:$G$54) + SUMIF($H$7:$H$54,$AB20,$F$7:$F$54)</f>
        <v>4</v>
      </c>
      <c r="AH20" s="47">
        <f>(AF20-AG20)*100+AK20*10000+AF20</f>
        <v>39903</v>
      </c>
      <c r="AI20" s="47">
        <f>AF20-AG20</f>
        <v>-1</v>
      </c>
      <c r="AJ20" s="47">
        <f>(AI20-AI25)/AI24</f>
        <v>0.375</v>
      </c>
      <c r="AK20" s="47">
        <f>AC20*3+AD20</f>
        <v>4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547.50088249999999</v>
      </c>
      <c r="AO20" s="48" t="str">
        <f>IF(SUM(AC20:AE23)=12,J21,INDEX(T,74,lang))</f>
        <v>Mexico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Belgium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Mexico</v>
      </c>
      <c r="K21" s="51">
        <f>L21+M21+N21</f>
        <v>3</v>
      </c>
      <c r="L21" s="51">
        <f>VLOOKUP(1,AA20:AK23,3,FALSE)</f>
        <v>2</v>
      </c>
      <c r="M21" s="51">
        <f>VLOOKUP(1,AA20:AK23,4,FALSE)</f>
        <v>1</v>
      </c>
      <c r="N21" s="51">
        <f>VLOOKUP(1,AA20:AK23,5,FALSE)</f>
        <v>0</v>
      </c>
      <c r="O21" s="51" t="str">
        <f>VLOOKUP(1,AA20:AK23,6,FALSE) &amp; " - " &amp; VLOOKUP(1,AA20:AK23,7,FALSE)</f>
        <v>5 - 2</v>
      </c>
      <c r="P21" s="52">
        <f>L21*3+M21</f>
        <v>7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3</v>
      </c>
      <c r="AG21" s="47">
        <f>SUMIF($E$7:$E$54,$AB21,$G$7:$G$54) + SUMIF($H$7:$H$54,$AB21,$F$7:$F$54)</f>
        <v>7</v>
      </c>
      <c r="AH21" s="47">
        <f>(AF21-AG21)*100+AK21*10000+AF21</f>
        <v>-397</v>
      </c>
      <c r="AI21" s="47">
        <f>AF21-AG21</f>
        <v>-4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10.0007225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Switzerland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1</v>
      </c>
      <c r="G22" s="22">
        <v>0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2</v>
      </c>
      <c r="N22" s="25">
        <f>VLOOKUP(2,AA20:AK23,5,FALSE)</f>
        <v>0</v>
      </c>
      <c r="O22" s="25" t="str">
        <f>VLOOKUP(2,AA20:AK23,6,FALSE) &amp; " - " &amp; VLOOKUP(2,AA20:AK23,7,FALSE)</f>
        <v>5 - 3</v>
      </c>
      <c r="P22" s="54">
        <f>L22*3+M22</f>
        <v>5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1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1</v>
      </c>
      <c r="AE22" s="47">
        <f>COUNTIF($S$7:$T$54,"=" &amp; AB22 &amp; "_lose")</f>
        <v>0</v>
      </c>
      <c r="AF22" s="47">
        <f>SUMIF($E$7:$E$54,$AB22,$F$7:$F$54) + SUMIF($H$7:$H$54,$AB22,$G$7:$G$54)</f>
        <v>5</v>
      </c>
      <c r="AG22" s="47">
        <f>SUMIF($E$7:$E$54,$AB22,$G$7:$G$54) + SUMIF($H$7:$H$54,$AB22,$F$7:$F$54)</f>
        <v>2</v>
      </c>
      <c r="AH22" s="47">
        <f>(AF22-AG22)*100+AK22*10000+AF22</f>
        <v>70305</v>
      </c>
      <c r="AI22" s="47">
        <f>AF22-AG22</f>
        <v>3</v>
      </c>
      <c r="AJ22" s="47">
        <f>(AI22-AI25)/AI24</f>
        <v>0.875</v>
      </c>
      <c r="AK22" s="47">
        <f>AC22*3+AD22</f>
        <v>7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979.16749607666668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Switzerland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1</v>
      </c>
      <c r="H23" s="90" t="str">
        <f>AB15</f>
        <v>Iran</v>
      </c>
      <c r="J23" s="53" t="str">
        <f>VLOOKUP(3,AA20:AK23,2,FALSE)</f>
        <v>Argentina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3 - 4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2</v>
      </c>
      <c r="AE23" s="47">
        <f>COUNTIF($S$7:$T$54,"=" &amp; AB23 &amp; "_lose")</f>
        <v>0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3</v>
      </c>
      <c r="AH23" s="47">
        <f>(AF23-AG23)*100+AK23*10000+AF23</f>
        <v>50205</v>
      </c>
      <c r="AI23" s="47">
        <f>AF23-AG23</f>
        <v>2</v>
      </c>
      <c r="AJ23" s="47">
        <f>(AI23-AI25)/AI24</f>
        <v>0.75</v>
      </c>
      <c r="AK23" s="47">
        <f>AC23*3+AD23</f>
        <v>5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716.66743866666661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Korea Republic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Belgium</v>
      </c>
      <c r="BV23" s="84">
        <v>1</v>
      </c>
      <c r="BW23" s="86"/>
      <c r="BX23" s="27"/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2</v>
      </c>
      <c r="G24" s="22">
        <v>0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3 - 7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Qatar_win</v>
      </c>
      <c r="T24" s="88" t="str">
        <f t="shared" si="4"/>
        <v>Senegal_lose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1</v>
      </c>
      <c r="AC24" s="47">
        <f t="shared" ref="AC24:AL24" si="12">MAX(AC20:AC23)-MIN(AC20:AC23)+1</f>
        <v>3</v>
      </c>
      <c r="AD24" s="47">
        <f t="shared" si="12"/>
        <v>3</v>
      </c>
      <c r="AE24" s="47">
        <f t="shared" si="12"/>
        <v>4</v>
      </c>
      <c r="AF24" s="47">
        <f t="shared" si="12"/>
        <v>3</v>
      </c>
      <c r="AG24" s="47">
        <f t="shared" si="12"/>
        <v>6</v>
      </c>
      <c r="AH24" s="47">
        <f>MAX(AH20:AH23)-AH25+1</f>
        <v>70703</v>
      </c>
      <c r="AI24" s="47">
        <f>MAX(AI20:AI23)-AI25+1</f>
        <v>8</v>
      </c>
      <c r="AK24" s="47">
        <f t="shared" si="12"/>
        <v>8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Senegal</v>
      </c>
      <c r="BV24" s="85">
        <v>2</v>
      </c>
      <c r="BW24" s="87"/>
      <c r="BX24" s="30"/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-397</v>
      </c>
      <c r="AI25" s="47">
        <f>MIN(AI20:AI23)</f>
        <v>-4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1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England_draw</v>
      </c>
      <c r="T26" s="88" t="str">
        <f t="shared" si="4"/>
        <v>United States_draw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0</v>
      </c>
      <c r="AA26" s="47">
        <f>COUNTIF(AN26:AN29,CONCATENATE("&gt;=",AN26))</f>
        <v>4</v>
      </c>
      <c r="AB26" s="48" t="str">
        <f>VLOOKUP("France",T,lang,FALSE)</f>
        <v>France</v>
      </c>
      <c r="AC26" s="47">
        <f>COUNTIF($S$7:$T$54,"=" &amp; AB26 &amp; "_win")</f>
        <v>0</v>
      </c>
      <c r="AD26" s="47">
        <f>COUNTIF($S$7:$T$54,"=" &amp; AB26 &amp; "_draw")</f>
        <v>0</v>
      </c>
      <c r="AE26" s="47">
        <f>COUNTIF($S$7:$T$54,"=" &amp; AB26 &amp; "_lose")</f>
        <v>3</v>
      </c>
      <c r="AF26" s="47">
        <f>SUMIF($E$7:$E$54,$AB26,$F$7:$F$54) + SUMIF($H$7:$H$54,$AB26,$G$7:$G$54)</f>
        <v>4</v>
      </c>
      <c r="AG26" s="47">
        <f>SUMIF($E$7:$E$54,$AB26,$G$7:$G$54) + SUMIF($H$7:$H$54,$AB26,$F$7:$F$54)</f>
        <v>7</v>
      </c>
      <c r="AH26" s="47">
        <f>(AF26-AG26)*100+AK26*10000+AF26</f>
        <v>-296</v>
      </c>
      <c r="AI26" s="47">
        <f>AF26-AG26</f>
        <v>-3</v>
      </c>
      <c r="AJ26" s="47">
        <f>(AI26-AI31)/AI30</f>
        <v>0</v>
      </c>
      <c r="AK26" s="47">
        <f>AC26*3+AD26</f>
        <v>0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13.334228333333334</v>
      </c>
      <c r="AO26" s="48" t="str">
        <f>IF(SUM(AC26:AE29)=12,J27,INDEX(T,76,lang))</f>
        <v>Denmark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United States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3</v>
      </c>
      <c r="G27" s="22">
        <v>2</v>
      </c>
      <c r="H27" s="90" t="str">
        <f>AB27</f>
        <v>Australia</v>
      </c>
      <c r="J27" s="50" t="str">
        <f>VLOOKUP(1,AA26:AK29,2,FALSE)</f>
        <v>Denmark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5 - 2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Tunisia_win</v>
      </c>
      <c r="T27" s="88" t="str">
        <f t="shared" si="4"/>
        <v>Australia_lose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5</v>
      </c>
      <c r="AG27" s="47">
        <f>SUMIF($E$7:$E$54,$AB27,$G$7:$G$54) + SUMIF($H$7:$H$54,$AB27,$F$7:$F$54)</f>
        <v>7</v>
      </c>
      <c r="AH27" s="47">
        <f>(AF27-AG27)*100+AK27*10000+AF27</f>
        <v>29805</v>
      </c>
      <c r="AI27" s="47">
        <f>AF27-AG27</f>
        <v>-2</v>
      </c>
      <c r="AJ27" s="47">
        <f>(AI27-AI31)/AI30</f>
        <v>0.14285714285714285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405.95312281738097</v>
      </c>
      <c r="AO27" s="48" t="str">
        <f>IF(SUM(AC26:AE29)=12,J28,INDEX(T,77,lang))</f>
        <v>Tunisia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3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3</v>
      </c>
      <c r="G28" s="22">
        <v>1</v>
      </c>
      <c r="H28" s="90" t="str">
        <f>AB21</f>
        <v>Saudi Arabia</v>
      </c>
      <c r="J28" s="53" t="str">
        <f>VLOOKUP(2,AA26:AK29,2,FALSE)</f>
        <v>Tunisia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6 - 4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1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2</v>
      </c>
      <c r="AH28" s="47">
        <f>(AF28-AG28)*100+AK28*10000+AF28</f>
        <v>70305</v>
      </c>
      <c r="AI28" s="47">
        <f>AF28-AG28</f>
        <v>3</v>
      </c>
      <c r="AJ28" s="47">
        <f>(AI28-AI31)/AI30</f>
        <v>0.8571428571428571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977.38177918095232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Senegal</v>
      </c>
      <c r="BH28" s="84">
        <v>2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2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5 - 7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France_lose</v>
      </c>
      <c r="T29" s="88" t="str">
        <f t="shared" si="4"/>
        <v>Denmark_win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-1</v>
      </c>
      <c r="AA29" s="47">
        <f>COUNTIF(AN26:AN29,CONCATENATE("&gt;=",AN29))</f>
        <v>2</v>
      </c>
      <c r="AB29" s="48" t="str">
        <f>VLOOKUP("Tunisia",T,lang,FALSE)</f>
        <v>Tunisia</v>
      </c>
      <c r="AC29" s="47">
        <f>COUNTIF($S$7:$T$54,"=" &amp; AB29 &amp; "_win")</f>
        <v>2</v>
      </c>
      <c r="AD29" s="47">
        <f>COUNTIF($S$7:$T$54,"=" &amp; AB29 &amp; "_draw")</f>
        <v>1</v>
      </c>
      <c r="AE29" s="47">
        <f>COUNTIF($S$7:$T$54,"=" &amp; AB29 &amp; "_lose")</f>
        <v>0</v>
      </c>
      <c r="AF29" s="47">
        <f>SUMIF($E$7:$E$54,$AB29,$F$7:$F$54) + SUMIF($H$7:$H$54,$AB29,$G$7:$G$54)</f>
        <v>6</v>
      </c>
      <c r="AG29" s="47">
        <f>SUMIF($E$7:$E$54,$AB29,$G$7:$G$54) + SUMIF($H$7:$H$54,$AB29,$F$7:$F$54)</f>
        <v>4</v>
      </c>
      <c r="AH29" s="47">
        <f>(AF29-AG29)*100+AK29*10000+AF29</f>
        <v>70206</v>
      </c>
      <c r="AI29" s="47">
        <f>AF29-AG29</f>
        <v>2</v>
      </c>
      <c r="AJ29" s="47">
        <f>(AI29-AI31)/AI30</f>
        <v>0.7142857142857143</v>
      </c>
      <c r="AK29" s="47">
        <f>AC29*3+AD29</f>
        <v>7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966.4293213285714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Poland</v>
      </c>
      <c r="BH29" s="85">
        <v>0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0</v>
      </c>
      <c r="G30" s="22">
        <v>2</v>
      </c>
      <c r="H30" s="90" t="str">
        <f>AB22</f>
        <v>Mexico</v>
      </c>
      <c r="J30" s="55" t="str">
        <f>VLOOKUP(4,AA26:AK29,2,FALSE)</f>
        <v>France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4 - 7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Argentina_lose</v>
      </c>
      <c r="T30" s="88" t="str">
        <f t="shared" si="4"/>
        <v>Mexico_win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-1</v>
      </c>
      <c r="AC30" s="47">
        <f t="shared" ref="AC30:AL30" si="13">MAX(AC26:AC29)-MIN(AC26:AC29)+1</f>
        <v>3</v>
      </c>
      <c r="AD30" s="47">
        <f t="shared" si="13"/>
        <v>2</v>
      </c>
      <c r="AE30" s="47">
        <f t="shared" si="13"/>
        <v>4</v>
      </c>
      <c r="AF30" s="47">
        <f t="shared" si="13"/>
        <v>3</v>
      </c>
      <c r="AG30" s="47">
        <f t="shared" si="13"/>
        <v>6</v>
      </c>
      <c r="AH30" s="47">
        <f>MAX(AH26:AH29)-AH31+1</f>
        <v>70602</v>
      </c>
      <c r="AI30" s="47">
        <f>MAX(AI26:AI29)-AI31+1</f>
        <v>7</v>
      </c>
      <c r="AK30" s="47">
        <f t="shared" si="13"/>
        <v>8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Denmark</v>
      </c>
      <c r="BA30" s="84">
        <v>0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-296</v>
      </c>
      <c r="AI31" s="47">
        <f>MIN(AI26:AI29)</f>
        <v>-3</v>
      </c>
      <c r="AY31" s="125"/>
      <c r="AZ31" s="28" t="str">
        <f>AO21</f>
        <v>Poland</v>
      </c>
      <c r="BA31" s="85">
        <v>2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1</v>
      </c>
      <c r="G32" s="22">
        <v>2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Belgium_lose</v>
      </c>
      <c r="T32" s="88" t="str">
        <f t="shared" si="4"/>
        <v>Morocco_win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-1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1</v>
      </c>
      <c r="AD32" s="47">
        <f>COUNTIF($S$7:$T$54,"=" &amp; AB32 &amp; "_draw")</f>
        <v>1</v>
      </c>
      <c r="AE32" s="47">
        <f>COUNTIF($S$7:$T$54,"=" &amp; AB32 &amp; "_lose")</f>
        <v>1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4</v>
      </c>
      <c r="AH32" s="47">
        <f>(AF32-AG32)*100+AK32*10000+AF32</f>
        <v>40105</v>
      </c>
      <c r="AI32" s="47">
        <f>AF32-AG32</f>
        <v>1</v>
      </c>
      <c r="AJ32" s="47">
        <f>(AI32-AI37)/AI36</f>
        <v>0.44444444444444442</v>
      </c>
      <c r="AK32" s="47">
        <f>AC32*3+AD32</f>
        <v>4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496.03260053174608</v>
      </c>
      <c r="AO32" s="48" t="str">
        <f>IF(SUM(AC32:AE35)=12,J33,INDEX(T,78,lang))</f>
        <v>Japan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Senegal</v>
      </c>
      <c r="BO32" s="84">
        <v>2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1</v>
      </c>
      <c r="H33" s="90" t="str">
        <f>AB39</f>
        <v>Canada</v>
      </c>
      <c r="J33" s="50" t="str">
        <f>VLOOKUP(1,AA32:AK35,2,FALSE)</f>
        <v>Japan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7 - 2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Croatia_draw</v>
      </c>
      <c r="T33" s="88" t="str">
        <f t="shared" si="4"/>
        <v>Canada_draw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0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1</v>
      </c>
      <c r="AD33" s="47">
        <f>COUNTIF($S$7:$T$54,"=" &amp; AB33 &amp; "_draw")</f>
        <v>0</v>
      </c>
      <c r="AE33" s="47">
        <f>COUNTIF($S$7:$T$54,"=" &amp; AB33 &amp; "_lose")</f>
        <v>2</v>
      </c>
      <c r="AF33" s="47">
        <f>SUMIF($E$7:$E$54,$AB33,$F$7:$F$54) + SUMIF($H$7:$H$54,$AB33,$G$7:$G$54)</f>
        <v>2</v>
      </c>
      <c r="AG33" s="47">
        <f>SUMIF($E$7:$E$54,$AB33,$G$7:$G$54) + SUMIF($H$7:$H$54,$AB33,$F$7:$F$54)</f>
        <v>5</v>
      </c>
      <c r="AH33" s="47">
        <f>(AF33-AG33)*100+AK33*10000+AF33</f>
        <v>29702</v>
      </c>
      <c r="AI33" s="47">
        <f>AF33-AG33</f>
        <v>-3</v>
      </c>
      <c r="AJ33" s="47">
        <f>(AI33-AI37)/AI36</f>
        <v>0</v>
      </c>
      <c r="AK33" s="47">
        <f>AC33*3+AD33</f>
        <v>3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336.19122622047615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0</v>
      </c>
      <c r="G34" s="22">
        <v>0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1</v>
      </c>
      <c r="M34" s="25">
        <f>VLOOKUP(2,AA32:AK35,4,FALSE)</f>
        <v>1</v>
      </c>
      <c r="N34" s="25">
        <f>VLOOKUP(2,AA32:AK35,5,FALSE)</f>
        <v>1</v>
      </c>
      <c r="O34" s="25" t="str">
        <f>VLOOKUP(2,AA32:AK35,6,FALSE) &amp; " - " &amp; VLOOKUP(2,AA32:AK35,7,FALSE)</f>
        <v>5 - 4</v>
      </c>
      <c r="P34" s="54">
        <f>L34*3+M34</f>
        <v>4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4</v>
      </c>
      <c r="AB34" s="48" t="str">
        <f>VLOOKUP("Germany",T,lang,FALSE)</f>
        <v>Germany</v>
      </c>
      <c r="AC34" s="47">
        <f>COUNTIF($S$7:$T$54,"=" &amp; AB34 &amp; "_win")</f>
        <v>0</v>
      </c>
      <c r="AD34" s="47">
        <f>COUNTIF($S$7:$T$54,"=" &amp; AB34 &amp; "_draw")</f>
        <v>1</v>
      </c>
      <c r="AE34" s="47">
        <f>COUNTIF($S$7:$T$54,"=" &amp; AB34 &amp; "_lose")</f>
        <v>2</v>
      </c>
      <c r="AF34" s="47">
        <f>SUMIF($E$7:$E$54,$AB34,$F$7:$F$54) + SUMIF($H$7:$H$54,$AB34,$G$7:$G$54)</f>
        <v>1</v>
      </c>
      <c r="AG34" s="47">
        <f>SUMIF($E$7:$E$54,$AB34,$G$7:$G$54) + SUMIF($H$7:$H$54,$AB34,$F$7:$F$54)</f>
        <v>4</v>
      </c>
      <c r="AH34" s="47">
        <f>(AF34-AG34)*100+AK34*10000+AF34</f>
        <v>9701</v>
      </c>
      <c r="AI34" s="47">
        <f>AF34-AG34</f>
        <v>-3</v>
      </c>
      <c r="AJ34" s="47">
        <f>(AI34-AI37)/AI36</f>
        <v>0</v>
      </c>
      <c r="AK34" s="47">
        <f>AC34*3+AD34</f>
        <v>1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112.54050780468255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Morocco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3</v>
      </c>
      <c r="G35" s="22">
        <v>3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2 - 5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1</v>
      </c>
      <c r="AB35" s="48" t="str">
        <f>VLOOKUP("Japan",T,lang,FALSE)</f>
        <v>Japan</v>
      </c>
      <c r="AC35" s="47">
        <f>COUNTIF($S$7:$T$54,"=" &amp; AB35 &amp; "_win")</f>
        <v>3</v>
      </c>
      <c r="AD35" s="47">
        <f>COUNTIF($S$7:$T$54,"=" &amp; AB35 &amp; "_draw")</f>
        <v>0</v>
      </c>
      <c r="AE35" s="47">
        <f>COUNTIF($S$7:$T$54,"=" &amp; AB35 &amp; "_lose")</f>
        <v>0</v>
      </c>
      <c r="AF35" s="47">
        <f>SUMIF($E$7:$E$54,$AB35,$F$7:$F$54) + SUMIF($H$7:$H$54,$AB35,$G$7:$G$54)</f>
        <v>7</v>
      </c>
      <c r="AG35" s="47">
        <f>SUMIF($E$7:$E$54,$AB35,$G$7:$G$54) + SUMIF($H$7:$H$54,$AB35,$F$7:$F$54)</f>
        <v>2</v>
      </c>
      <c r="AH35" s="47">
        <f>(AF35-AG35)*100+AK35*10000+AF35</f>
        <v>90507</v>
      </c>
      <c r="AI35" s="47">
        <f>AF35-AG35</f>
        <v>5</v>
      </c>
      <c r="AJ35" s="47">
        <f>(AI35-AI37)/AI36</f>
        <v>0.88888888888888884</v>
      </c>
      <c r="AK35" s="47">
        <f>AC35*3+AD35</f>
        <v>9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1098.8896656088889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0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Netherlands</v>
      </c>
      <c r="BV35" s="84">
        <v>2</v>
      </c>
      <c r="BW35" s="86"/>
      <c r="BX35" s="27"/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2</v>
      </c>
      <c r="G36" s="22">
        <v>2</v>
      </c>
      <c r="H36" s="90" t="str">
        <f>AB51</f>
        <v>Ghana</v>
      </c>
      <c r="J36" s="55" t="str">
        <f>VLOOKUP(4,AA32:AK35,2,FALSE)</f>
        <v>Germany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1 - 4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3</v>
      </c>
      <c r="AF36" s="47">
        <f t="shared" si="14"/>
        <v>7</v>
      </c>
      <c r="AG36" s="47">
        <f t="shared" si="14"/>
        <v>4</v>
      </c>
      <c r="AH36" s="47">
        <f>MAX(AH32:AH35)-AH37+1</f>
        <v>80807</v>
      </c>
      <c r="AI36" s="47">
        <f>MAX(AI32:AI35)-AI37+1</f>
        <v>9</v>
      </c>
      <c r="AK36" s="47">
        <f t="shared" si="14"/>
        <v>9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Morocco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Portugal</v>
      </c>
      <c r="BV36" s="85">
        <v>3</v>
      </c>
      <c r="BW36" s="87"/>
      <c r="BX36" s="30"/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0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Brazil_lose</v>
      </c>
      <c r="T37" s="88" t="str">
        <f t="shared" si="4"/>
        <v>Switzerland_win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-1</v>
      </c>
      <c r="AH37" s="47">
        <f>MIN(AH32:AH35)</f>
        <v>9701</v>
      </c>
      <c r="AI37" s="47">
        <f>MIN(AI32:AI35)</f>
        <v>-3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3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0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2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0</v>
      </c>
      <c r="AE38" s="47">
        <f>COUNTIF($S$7:$T$54,"=" &amp; AB38 &amp; "_lose")</f>
        <v>1</v>
      </c>
      <c r="AF38" s="47">
        <f>SUMIF($E$7:$E$54,$AB38,$F$7:$F$54) + SUMIF($H$7:$H$54,$AB38,$G$7:$G$54)</f>
        <v>8</v>
      </c>
      <c r="AG38" s="47">
        <f>SUMIF($E$7:$E$54,$AB38,$G$7:$G$54) + SUMIF($H$7:$H$54,$AB38,$F$7:$F$54)</f>
        <v>5</v>
      </c>
      <c r="AH38" s="47">
        <f>(AF38-AG38)*100+AK38*10000+AF38</f>
        <v>60308</v>
      </c>
      <c r="AI38" s="47">
        <f>AF38-AG38</f>
        <v>3</v>
      </c>
      <c r="AJ38" s="47">
        <f>(AI38-AI43)/AI42</f>
        <v>0.8571428571428571</v>
      </c>
      <c r="AK38" s="47">
        <f>AC38*3+AD38</f>
        <v>6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958.8580563571428</v>
      </c>
      <c r="AO38" s="48" t="str">
        <f>IF(SUM(AC38:AE41)=12,J39,INDEX(T,80,lang))</f>
        <v>Morocco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4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Morocco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7 - 5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4</v>
      </c>
      <c r="AG39" s="47">
        <f>SUMIF($E$7:$E$54,$AB39,$G$7:$G$54) + SUMIF($H$7:$H$54,$AB39,$F$7:$F$54)</f>
        <v>6</v>
      </c>
      <c r="AH39" s="47">
        <f>(AF39-AG39)*100+AK39*10000+AF39</f>
        <v>9804</v>
      </c>
      <c r="AI39" s="47">
        <f>AF39-AG39</f>
        <v>-2</v>
      </c>
      <c r="AJ39" s="47">
        <f>(AI39-AI43)/AI42</f>
        <v>0.14285714285714285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165.14359664285715</v>
      </c>
      <c r="AO39" s="48" t="str">
        <f>IF(SUM(AC38:AE41)=12,J40,INDEX(T,81,lang))</f>
        <v>Belgium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Cameroon</v>
      </c>
      <c r="BA39" s="85">
        <v>2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5</v>
      </c>
      <c r="G40" s="22">
        <v>3</v>
      </c>
      <c r="H40" s="90" t="str">
        <f>AB9</f>
        <v>Qatar</v>
      </c>
      <c r="J40" s="53" t="str">
        <f>VLOOKUP(2,AA38:AK41,2,FALSE)</f>
        <v>Belgium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8 - 5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1</v>
      </c>
      <c r="AB40" s="48" t="str">
        <f>VLOOKUP("Morocco",T,lang,FALSE)</f>
        <v>Morocco</v>
      </c>
      <c r="AC40" s="47">
        <f>COUNTIF($S$7:$T$54,"=" &amp; AB40 &amp; "_win")</f>
        <v>2</v>
      </c>
      <c r="AD40" s="47">
        <f>COUNTIF($S$7:$T$54,"=" &amp; AB40 &amp; "_draw")</f>
        <v>1</v>
      </c>
      <c r="AE40" s="47">
        <f>COUNTIF($S$7:$T$54,"=" &amp; AB40 &amp; "_lose")</f>
        <v>0</v>
      </c>
      <c r="AF40" s="47">
        <f>SUMIF($E$7:$E$54,$AB40,$F$7:$F$54) + SUMIF($H$7:$H$54,$AB40,$G$7:$G$54)</f>
        <v>7</v>
      </c>
      <c r="AG40" s="47">
        <f>SUMIF($E$7:$E$54,$AB40,$G$7:$G$54) + SUMIF($H$7:$H$54,$AB40,$F$7:$F$54)</f>
        <v>5</v>
      </c>
      <c r="AH40" s="47">
        <f>(AF40-AG40)*100+AK40*10000+AF40</f>
        <v>70207</v>
      </c>
      <c r="AI40" s="47">
        <f>AF40-AG40</f>
        <v>2</v>
      </c>
      <c r="AJ40" s="47">
        <f>(AI40-AI43)/AI42</f>
        <v>0.7142857142857143</v>
      </c>
      <c r="AK40" s="47">
        <f>AC40*3+AD40</f>
        <v>7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1085.4293473685714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3</v>
      </c>
      <c r="H41" s="90" t="str">
        <f>AB14</f>
        <v>England</v>
      </c>
      <c r="J41" s="53" t="str">
        <f>VLOOKUP(3,AA38:AK41,2,FALSE)</f>
        <v>Croatia</v>
      </c>
      <c r="K41" s="25">
        <f>L41+M41+N41</f>
        <v>3</v>
      </c>
      <c r="L41" s="25">
        <f>VLOOKUP(3,AA38:AK41,3,FALSE)</f>
        <v>0</v>
      </c>
      <c r="M41" s="25">
        <f>VLOOKUP(3,AA38:AK41,4,FALSE)</f>
        <v>2</v>
      </c>
      <c r="N41" s="25">
        <f>VLOOKUP(3,AA38:AK41,5,FALSE)</f>
        <v>1</v>
      </c>
      <c r="O41" s="25" t="str">
        <f>VLOOKUP(3,AA38:AK41,6,FALSE) &amp; " - " &amp; VLOOKUP(3,AA38:AK41,7,FALSE)</f>
        <v>5 - 8</v>
      </c>
      <c r="P41" s="54">
        <f>L41*3+M41</f>
        <v>2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3</v>
      </c>
      <c r="AB41" s="48" t="str">
        <f>VLOOKUP("Croatia",T,lang,FALSE)</f>
        <v>Croatia</v>
      </c>
      <c r="AC41" s="47">
        <f>COUNTIF($S$7:$T$54,"=" &amp; AB41 &amp; "_win")</f>
        <v>0</v>
      </c>
      <c r="AD41" s="47">
        <f>COUNTIF($S$7:$T$54,"=" &amp; AB41 &amp; "_draw")</f>
        <v>2</v>
      </c>
      <c r="AE41" s="47">
        <f>COUNTIF($S$7:$T$54,"=" &amp; AB41 &amp; "_lose")</f>
        <v>1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8</v>
      </c>
      <c r="AH41" s="47">
        <f>(AF41-AG41)*100+AK41*10000+AF41</f>
        <v>19705</v>
      </c>
      <c r="AI41" s="47">
        <f>AF41-AG41</f>
        <v>-3</v>
      </c>
      <c r="AJ41" s="47">
        <f>(AI41-AI43)/AI42</f>
        <v>0</v>
      </c>
      <c r="AK41" s="47">
        <f>AC41*3+AD41</f>
        <v>2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295.71509626928571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Senegal</v>
      </c>
      <c r="BS41" s="143"/>
      <c r="BT41" s="143"/>
      <c r="BU41" s="143"/>
      <c r="BV41" s="143"/>
      <c r="BW41" s="143"/>
      <c r="BX41" s="143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2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4 - 6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Iran_draw</v>
      </c>
      <c r="T42" s="88" t="str">
        <f t="shared" si="4"/>
        <v>United States_draw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0</v>
      </c>
      <c r="AC42" s="47">
        <f t="shared" ref="AC42:AL42" si="15">MAX(AC38:AC41)-MIN(AC38:AC41)+1</f>
        <v>3</v>
      </c>
      <c r="AD42" s="47">
        <f t="shared" si="15"/>
        <v>3</v>
      </c>
      <c r="AE42" s="47">
        <f t="shared" si="15"/>
        <v>3</v>
      </c>
      <c r="AF42" s="47">
        <f t="shared" si="15"/>
        <v>5</v>
      </c>
      <c r="AG42" s="47">
        <f t="shared" si="15"/>
        <v>4</v>
      </c>
      <c r="AH42" s="47">
        <f>MAX(AH38:AH41)-AH43+1</f>
        <v>60404</v>
      </c>
      <c r="AI42" s="47">
        <f>MAX(AI38:AI41)-AI43+1</f>
        <v>7</v>
      </c>
      <c r="AK42" s="47">
        <f t="shared" si="15"/>
        <v>7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9804</v>
      </c>
      <c r="AI43" s="47">
        <f>MIN(AI38:AI41)</f>
        <v>-3</v>
      </c>
      <c r="AY43" s="135"/>
      <c r="AZ43" s="136"/>
      <c r="BA43" s="136"/>
      <c r="BB43" s="136"/>
      <c r="BC43" s="137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3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Tunisia_win</v>
      </c>
      <c r="T44" s="88" t="str">
        <f t="shared" si="4"/>
        <v>France_lose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1</v>
      </c>
      <c r="AA44" s="47">
        <f>COUNTIF(AN44:AN47,CONCATENATE("&gt;=",AN44))</f>
        <v>3</v>
      </c>
      <c r="AB44" s="48" t="str">
        <f>VLOOKUP("Brazil",T,lang,FALSE)</f>
        <v>Brazil</v>
      </c>
      <c r="AC44" s="47">
        <f>COUNTIF($S$7:$T$54,"=" &amp; AB44 &amp; "_win")</f>
        <v>1</v>
      </c>
      <c r="AD44" s="47">
        <f>COUNTIF($S$7:$T$54,"=" &amp; AB44 &amp; "_draw")</f>
        <v>0</v>
      </c>
      <c r="AE44" s="47">
        <f>COUNTIF($S$7:$T$54,"=" &amp; AB44 &amp; "_lose")</f>
        <v>2</v>
      </c>
      <c r="AF44" s="47">
        <f>SUMIF($E$7:$E$54,$AB44,$F$7:$F$54) + SUMIF($H$7:$H$54,$AB44,$G$7:$G$54)</f>
        <v>4</v>
      </c>
      <c r="AG44" s="47">
        <f>SUMIF($E$7:$E$54,$AB44,$G$7:$G$54) + SUMIF($H$7:$H$54,$AB44,$F$7:$F$54)</f>
        <v>6</v>
      </c>
      <c r="AH44" s="47">
        <f>(AF44-AG44)*100+AK44*10000+AF44</f>
        <v>29804</v>
      </c>
      <c r="AI44" s="47">
        <f>AF44-AG44</f>
        <v>-2</v>
      </c>
      <c r="AJ44" s="47">
        <f>(AI44-AI49)/AI48</f>
        <v>0</v>
      </c>
      <c r="AK44" s="47">
        <f>AC44*3+AD44</f>
        <v>3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434.28663063071428</v>
      </c>
      <c r="AO44" s="48" t="str">
        <f>IF(SUM(AC44:AE47)=12,J45,INDEX(T,82,lang))</f>
        <v>Switzerland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1</v>
      </c>
      <c r="H45" s="90" t="str">
        <f>AB20</f>
        <v>Argentina</v>
      </c>
      <c r="J45" s="50" t="str">
        <f>VLOOKUP(1,AA44:AK47,2,FALSE)</f>
        <v>Switzerland</v>
      </c>
      <c r="K45" s="51">
        <f>L45+M45+N45</f>
        <v>3</v>
      </c>
      <c r="L45" s="51">
        <f>VLOOKUP(1,AA44:AK47,3,FALSE)</f>
        <v>2</v>
      </c>
      <c r="M45" s="51">
        <f>VLOOKUP(1,AA44:AK47,4,FALSE)</f>
        <v>1</v>
      </c>
      <c r="N45" s="51">
        <f>VLOOKUP(1,AA44:AK47,5,FALSE)</f>
        <v>0</v>
      </c>
      <c r="O45" s="51" t="str">
        <f>VLOOKUP(1,AA44:AK47,6,FALSE) &amp; " - " &amp; VLOOKUP(1,AA44:AK47,7,FALSE)</f>
        <v>2 - 0</v>
      </c>
      <c r="P45" s="52">
        <f>L45*3+M45</f>
        <v>7</v>
      </c>
      <c r="R45" s="47">
        <f>DATE(2022,11,30)+TIME(8,0,0)+gmt_delta</f>
        <v>44895.916666666672</v>
      </c>
      <c r="S45" s="88" t="str">
        <f t="shared" si="3"/>
        <v>Poland_draw</v>
      </c>
      <c r="T45" s="88" t="str">
        <f t="shared" si="4"/>
        <v>Argentina_draw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0</v>
      </c>
      <c r="AA45" s="47">
        <f>COUNTIF(AN44:AN47,CONCATENATE("&gt;=",AN45))</f>
        <v>4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1</v>
      </c>
      <c r="AE45" s="47">
        <f>COUNTIF($S$7:$T$54,"=" &amp; AB45 &amp; "_lose")</f>
        <v>2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5</v>
      </c>
      <c r="AH45" s="47">
        <f>(AF45-AG45)*100+AK45*10000+AF45</f>
        <v>9803</v>
      </c>
      <c r="AI45" s="47">
        <f>AF45-AG45</f>
        <v>-2</v>
      </c>
      <c r="AJ45" s="47">
        <f>(AI45-AI49)/AI48</f>
        <v>0</v>
      </c>
      <c r="AK45" s="47">
        <f>AC45*3+AD45</f>
        <v>1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147.14363090785713</v>
      </c>
      <c r="AO45" s="48" t="str">
        <f>IF(SUM(AC44:AE47)=12,J46,INDEX(T,83,lang))</f>
        <v>Cameroon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2</v>
      </c>
      <c r="H46" s="90" t="str">
        <f>AB22</f>
        <v>Mexico</v>
      </c>
      <c r="J46" s="53" t="str">
        <f>VLOOKUP(2,AA44:AK47,2,FALSE)</f>
        <v>Cameroon</v>
      </c>
      <c r="K46" s="25">
        <f>L46+M46+N46</f>
        <v>3</v>
      </c>
      <c r="L46" s="25">
        <f>VLOOKUP(2,AA44:AK47,3,FALSE)</f>
        <v>1</v>
      </c>
      <c r="M46" s="25">
        <f>VLOOKUP(2,AA44:AK47,4,FALSE)</f>
        <v>2</v>
      </c>
      <c r="N46" s="25">
        <f>VLOOKUP(2,AA44:AK47,5,FALSE)</f>
        <v>0</v>
      </c>
      <c r="O46" s="25" t="str">
        <f>VLOOKUP(2,AA44:AK47,6,FALSE) &amp; " - " &amp; VLOOKUP(2,AA44:AK47,7,FALSE)</f>
        <v>8 - 6</v>
      </c>
      <c r="P46" s="54">
        <f>L46*3+M46</f>
        <v>5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1</v>
      </c>
      <c r="AB46" s="48" t="str">
        <f>VLOOKUP("Switzerland",T,lang,FALSE)</f>
        <v>Switzerland</v>
      </c>
      <c r="AC46" s="47">
        <f>COUNTIF($S$7:$T$54,"=" &amp; AB46 &amp; "_win")</f>
        <v>2</v>
      </c>
      <c r="AD46" s="47">
        <f>COUNTIF($S$7:$T$54,"=" &amp; AB46 &amp; "_draw")</f>
        <v>1</v>
      </c>
      <c r="AE46" s="47">
        <f>COUNTIF($S$7:$T$54,"=" &amp; AB46 &amp; "_lose")</f>
        <v>0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0</v>
      </c>
      <c r="AH46" s="47">
        <f>(AF46-AG46)*100+AK46*10000+AF46</f>
        <v>70202</v>
      </c>
      <c r="AI46" s="47">
        <f>AF46-AG46</f>
        <v>2</v>
      </c>
      <c r="AJ46" s="47">
        <f>(AI46-AI49)/AI48</f>
        <v>0.8</v>
      </c>
      <c r="AK46" s="47">
        <f>AC46*3+AD46</f>
        <v>7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1082.8579605171428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3</v>
      </c>
      <c r="G47" s="22">
        <v>6</v>
      </c>
      <c r="H47" s="90" t="str">
        <f>AB38</f>
        <v>Belgium</v>
      </c>
      <c r="J47" s="53" t="str">
        <f>VLOOKUP(3,AA44:AK47,2,FALSE)</f>
        <v>Brazil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4 - 6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2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2</v>
      </c>
      <c r="AE47" s="47">
        <f>COUNTIF($S$7:$T$54,"=" &amp; AB47 &amp; "_lose")</f>
        <v>0</v>
      </c>
      <c r="AF47" s="47">
        <f>SUMIF($E$7:$E$54,$AB47,$F$7:$F$54) + SUMIF($H$7:$H$54,$AB47,$G$7:$G$54)</f>
        <v>8</v>
      </c>
      <c r="AG47" s="47">
        <f>SUMIF($E$7:$E$54,$AB47,$G$7:$G$54) + SUMIF($H$7:$H$54,$AB47,$F$7:$F$54)</f>
        <v>6</v>
      </c>
      <c r="AH47" s="47">
        <f>(AF47-AG47)*100+AK47*10000+AF47</f>
        <v>50208</v>
      </c>
      <c r="AI47" s="47">
        <f>AF47-AG47</f>
        <v>2</v>
      </c>
      <c r="AJ47" s="47">
        <f>(AI47-AI49)/AI48</f>
        <v>0.8</v>
      </c>
      <c r="AK47" s="47">
        <f>AC47*3+AD47</f>
        <v>5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805.71502595428581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3</v>
      </c>
      <c r="G48" s="22">
        <v>4</v>
      </c>
      <c r="H48" s="90" t="str">
        <f>AB40</f>
        <v>Morocco</v>
      </c>
      <c r="J48" s="55" t="str">
        <f>VLOOKUP(4,AA44:AK47,2,FALSE)</f>
        <v>Serbia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3 - 5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3</v>
      </c>
      <c r="AD48" s="47">
        <f t="shared" si="16"/>
        <v>3</v>
      </c>
      <c r="AE48" s="47">
        <f t="shared" si="16"/>
        <v>3</v>
      </c>
      <c r="AF48" s="47">
        <f t="shared" si="16"/>
        <v>7</v>
      </c>
      <c r="AG48" s="47">
        <f t="shared" si="16"/>
        <v>7</v>
      </c>
      <c r="AH48" s="47">
        <f>MAX(AH44:AH47)-AH49+1</f>
        <v>60400</v>
      </c>
      <c r="AI48" s="47">
        <f>MAX(AI44:AI47)-AI49+1</f>
        <v>5</v>
      </c>
      <c r="AK48" s="47">
        <f t="shared" si="16"/>
        <v>7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3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Japan_win</v>
      </c>
      <c r="T49" s="88" t="str">
        <f t="shared" si="4"/>
        <v>Spain_lose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1</v>
      </c>
      <c r="AH49" s="47">
        <f>MIN(AH44:AH47)</f>
        <v>9803</v>
      </c>
      <c r="AI49" s="47">
        <f>MIN(AI44:AI47)</f>
        <v>-2</v>
      </c>
      <c r="AY49" s="135"/>
      <c r="AZ49" s="136"/>
      <c r="BA49" s="136"/>
      <c r="BB49" s="136"/>
      <c r="BC49" s="137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0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Rica_win</v>
      </c>
      <c r="T50" s="88" t="str">
        <f t="shared" si="4"/>
        <v>Germany_lose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3</v>
      </c>
      <c r="AH50" s="47">
        <f>(AF50-AG50)*100+AK50*10000+AF50</f>
        <v>70306</v>
      </c>
      <c r="AI50" s="47">
        <f>AF50-AG50</f>
        <v>3</v>
      </c>
      <c r="AJ50" s="47">
        <f>(AI50-AI55)/AI54</f>
        <v>0.83333333333333337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1095.3341707233333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6 - 3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Ghana_draw</v>
      </c>
      <c r="T51" s="88" t="str">
        <f t="shared" si="4"/>
        <v>Uruguay_draw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0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2</v>
      </c>
      <c r="AE51" s="47">
        <f>COUNTIF($S$7:$T$54,"=" &amp; AB51 &amp; "_lose")</f>
        <v>1</v>
      </c>
      <c r="AF51" s="47">
        <f>SUMIF($E$7:$E$54,$AB51,$F$7:$F$54) + SUMIF($H$7:$H$54,$AB51,$G$7:$G$54)</f>
        <v>4</v>
      </c>
      <c r="AG51" s="47">
        <f>SUMIF($E$7:$E$54,$AB51,$G$7:$G$54) + SUMIF($H$7:$H$54,$AB51,$F$7:$F$54)</f>
        <v>6</v>
      </c>
      <c r="AH51" s="47">
        <f>(AF51-AG51)*100+AK51*10000+AF51</f>
        <v>19804</v>
      </c>
      <c r="AI51" s="47">
        <f>AF51-AG51</f>
        <v>-2</v>
      </c>
      <c r="AJ51" s="47">
        <f>(AI51-AI55)/AI54</f>
        <v>0</v>
      </c>
      <c r="AK51" s="47">
        <f>AC51*3+AD51</f>
        <v>2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293.71497939428571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2</v>
      </c>
      <c r="G52" s="22">
        <v>2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1</v>
      </c>
      <c r="M52" s="25">
        <f>VLOOKUP(2,AA50:AK53,4,FALSE)</f>
        <v>2</v>
      </c>
      <c r="N52" s="25">
        <f>VLOOKUP(2,AA50:AK53,5,FALSE)</f>
        <v>0</v>
      </c>
      <c r="O52" s="25" t="str">
        <f>VLOOKUP(2,AA50:AK53,6,FALSE) &amp; " - " &amp; VLOOKUP(2,AA50:AK53,7,FALSE)</f>
        <v>7 - 6</v>
      </c>
      <c r="P52" s="54">
        <f>L52*3+M52</f>
        <v>5</v>
      </c>
      <c r="R52" s="47">
        <f>DATE(2022,12,2)+TIME(4,0,0)+gmt_delta</f>
        <v>44897.75</v>
      </c>
      <c r="S52" s="88" t="str">
        <f t="shared" si="3"/>
        <v>Korea Republic_draw</v>
      </c>
      <c r="T52" s="88" t="str">
        <f t="shared" si="4"/>
        <v>Portugal_draw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0</v>
      </c>
      <c r="AA52" s="47">
        <f>COUNTIF(AN50:AN53,CONCATENATE("&gt;=",AN52))</f>
        <v>4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1</v>
      </c>
      <c r="AE52" s="47">
        <f>COUNTIF($S$7:$T$54,"=" &amp; AB52 &amp; "_lose")</f>
        <v>2</v>
      </c>
      <c r="AF52" s="47">
        <f>SUMIF($E$7:$E$54,$AB52,$F$7:$F$54) + SUMIF($H$7:$H$54,$AB52,$G$7:$G$54)</f>
        <v>3</v>
      </c>
      <c r="AG52" s="47">
        <f>SUMIF($E$7:$E$54,$AB52,$G$7:$G$54) + SUMIF($H$7:$H$54,$AB52,$F$7:$F$54)</f>
        <v>5</v>
      </c>
      <c r="AH52" s="47">
        <f>(AF52-AG52)*100+AK52*10000+AF52</f>
        <v>9803</v>
      </c>
      <c r="AI52" s="47">
        <f>AF52-AG52</f>
        <v>-2</v>
      </c>
      <c r="AJ52" s="47">
        <f>(AI52-AI55)/AI54</f>
        <v>0</v>
      </c>
      <c r="AK52" s="47">
        <f>AC52*3+AD52</f>
        <v>1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148.85796072214285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0</v>
      </c>
      <c r="G53" s="22">
        <v>1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0</v>
      </c>
      <c r="M53" s="25">
        <f>VLOOKUP(3,AA50:AK53,4,FALSE)</f>
        <v>2</v>
      </c>
      <c r="N53" s="25">
        <f>VLOOKUP(3,AA50:AK53,5,FALSE)</f>
        <v>1</v>
      </c>
      <c r="O53" s="25" t="str">
        <f>VLOOKUP(3,AA50:AK53,6,FALSE) &amp; " - " &amp; VLOOKUP(3,AA50:AK53,7,FALSE)</f>
        <v>4 - 6</v>
      </c>
      <c r="P53" s="54">
        <f>L53*3+M53</f>
        <v>2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2</v>
      </c>
      <c r="AE53" s="47">
        <f>COUNTIF($S$7:$T$54,"=" &amp; AB53 &amp; "_lose")</f>
        <v>0</v>
      </c>
      <c r="AF53" s="47">
        <f>SUMIF($E$7:$E$54,$AB53,$F$7:$F$54) + SUMIF($H$7:$H$54,$AB53,$G$7:$G$54)</f>
        <v>7</v>
      </c>
      <c r="AG53" s="47">
        <f>SUMIF($E$7:$E$54,$AB53,$G$7:$G$54) + SUMIF($H$7:$H$54,$AB53,$F$7:$F$54)</f>
        <v>6</v>
      </c>
      <c r="AH53" s="47">
        <f>(AF53-AG53)*100+AK53*10000+AF53</f>
        <v>50107</v>
      </c>
      <c r="AI53" s="47">
        <f>AF53-AG53</f>
        <v>1</v>
      </c>
      <c r="AJ53" s="47">
        <f>(AI53-AI55)/AI54</f>
        <v>0.5</v>
      </c>
      <c r="AK53" s="47">
        <f>AC53*3+AD53</f>
        <v>5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778.28647405571428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5</v>
      </c>
      <c r="G54" s="30">
        <v>3</v>
      </c>
      <c r="H54" s="91" t="str">
        <f>AB44</f>
        <v>Brazil</v>
      </c>
      <c r="J54" s="55" t="str">
        <f>VLOOKUP(4,AA50:AK53,2,FALSE)</f>
        <v>Uruguay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3 - 5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Cameroon_win</v>
      </c>
      <c r="T54" s="88" t="str">
        <f t="shared" si="4"/>
        <v>Brazil_lose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1</v>
      </c>
      <c r="AC54" s="47">
        <f t="shared" ref="AC54:AL54" si="17">MAX(AC50:AC53)-MIN(AC50:AC53)+1</f>
        <v>3</v>
      </c>
      <c r="AD54" s="47">
        <f t="shared" si="17"/>
        <v>2</v>
      </c>
      <c r="AE54" s="47">
        <f t="shared" si="17"/>
        <v>3</v>
      </c>
      <c r="AF54" s="47">
        <f t="shared" si="17"/>
        <v>5</v>
      </c>
      <c r="AG54" s="47">
        <f t="shared" si="17"/>
        <v>4</v>
      </c>
      <c r="AH54" s="47">
        <f>MAX(AH50:AH53)-AH55+1</f>
        <v>60504</v>
      </c>
      <c r="AI54" s="47">
        <f>MAX(AI50:AI53)-AI55+1</f>
        <v>6</v>
      </c>
      <c r="AK54" s="47">
        <f t="shared" si="17"/>
        <v>7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9803</v>
      </c>
      <c r="AI55" s="47">
        <f>MIN(AI50:AI53)</f>
        <v>-2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Mexico</v>
      </c>
      <c r="T59" s="88" t="str">
        <f>IF(OR(S59="",S59="draw"),INDEX(T,87,lang),S59)</f>
        <v>Mexico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Senegal</v>
      </c>
      <c r="T60" s="88" t="str">
        <f>IF(OR(S60="",S60="draw"),INDEX(T,88,lang),S60)</f>
        <v>Senegal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Poland</v>
      </c>
      <c r="T61" s="88" t="str">
        <f>IF(OR(S61="",S61="draw"),INDEX(T,89,lang),S61)</f>
        <v>Poland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Belgium</v>
      </c>
      <c r="T62" s="88" t="str">
        <f>IF(OR(S62="",S62="draw"),INDEX(T,90,lang),S62)</f>
        <v>Belgium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Switzerland</v>
      </c>
      <c r="T63" s="88" t="str">
        <f>IF(OR(S63="",S63="draw"),INDEX(T,91,lang),S63)</f>
        <v>Switzerland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Morocco</v>
      </c>
      <c r="T64" s="88" t="str">
        <f>IF(OR(S64="",S64="draw"),INDEX(T,92,lang),S64)</f>
        <v>Morocco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Netherlands</v>
      </c>
      <c r="T69" s="88" t="str">
        <f>IF(OR(S69="",S69="draw"),INDEX(T,94,lang),S69)</f>
        <v>Netherlands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Belgium</v>
      </c>
      <c r="T70" s="88" t="str">
        <f>IF(OR(S70="",S70="draw"),INDEX(T,95,lang),S70)</f>
        <v>Belgium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Senegal</v>
      </c>
      <c r="T71" s="88" t="str">
        <f>IF(OR(S71="",S71="draw"),INDEX(T,96,lang),S71)</f>
        <v>Senegal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Belgium</v>
      </c>
      <c r="T76" s="88" t="str">
        <f>IF(OR(S76="",S76="draw"),INDEX(T,98,lang),S76)</f>
        <v>Belgium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Netherlands</v>
      </c>
      <c r="Z76" s="88" t="str">
        <f>IF(OR(U76="",U76="draw"),INDEX(T,100,lang),U76)</f>
        <v>Netherlands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Senegal</v>
      </c>
      <c r="T77" s="88" t="str">
        <f>IF(OR(S77="",S77="draw"),INDEX(T,99,lang),S77)</f>
        <v>Senegal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Portugal</v>
      </c>
      <c r="Z77" s="88" t="str">
        <f>IF(OR(U77="",U77="draw"),INDEX(T,101,lang),U77)</f>
        <v>Portugal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Portugal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Senegal</v>
      </c>
      <c r="T85" s="88" t="str">
        <f>S85</f>
        <v>Senegal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>
      <formula1>"0,1,2,3,4,5,6,7,8,9,10,11,12,13,14,15,16,17,18,19,20"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22 Schedule in Excel" display="Home Page: www.excely.com"/>
    <hyperlink ref="AY48:BC54" r:id="rId3" tooltip="FIFA World Cup Historical Data 1930 - 2018" display="http://www.excely.com/football/fifa-world-cup-statistics.shtml"/>
    <hyperlink ref="AY41:BC46" r:id="rId4" tooltip="World Cup 2022 Interactive Schedule - www.wallchart.io" display="http://www.wallchart.io/football/world-cup-2022.html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5" sqref="A25"/>
    </sheetView>
  </sheetViews>
  <sheetFormatPr defaultRowHeight="14.5" x14ac:dyDescent="0.35"/>
  <cols>
    <col min="1" max="1" width="80.36328125" customWidth="1"/>
    <col min="2" max="2" width="63.90625" customWidth="1"/>
  </cols>
  <sheetData>
    <row r="1" spans="1:2" x14ac:dyDescent="0.35">
      <c r="A1" s="101" t="s">
        <v>2526</v>
      </c>
      <c r="B1" s="102" t="s">
        <v>2527</v>
      </c>
    </row>
    <row r="2" spans="1:2" x14ac:dyDescent="0.35">
      <c r="A2" s="103" t="s">
        <v>2518</v>
      </c>
      <c r="B2" s="100" t="s">
        <v>2530</v>
      </c>
    </row>
    <row r="3" spans="1:2" x14ac:dyDescent="0.35">
      <c r="A3" s="100" t="s">
        <v>2519</v>
      </c>
      <c r="B3" s="103" t="s">
        <v>2531</v>
      </c>
    </row>
    <row r="4" spans="1:2" x14ac:dyDescent="0.35">
      <c r="A4" s="103" t="s">
        <v>2520</v>
      </c>
      <c r="B4" s="100" t="s">
        <v>2532</v>
      </c>
    </row>
    <row r="5" spans="1:2" x14ac:dyDescent="0.35">
      <c r="A5" s="100" t="s">
        <v>2529</v>
      </c>
      <c r="B5" s="103" t="s">
        <v>2533</v>
      </c>
    </row>
    <row r="6" spans="1:2" x14ac:dyDescent="0.35">
      <c r="A6" s="103" t="s">
        <v>2521</v>
      </c>
      <c r="B6" s="100" t="s">
        <v>2534</v>
      </c>
    </row>
    <row r="7" spans="1:2" x14ac:dyDescent="0.35">
      <c r="A7" s="100" t="s">
        <v>2522</v>
      </c>
      <c r="B7" s="103" t="s">
        <v>2535</v>
      </c>
    </row>
    <row r="8" spans="1:2" x14ac:dyDescent="0.35">
      <c r="A8" s="103" t="s">
        <v>2523</v>
      </c>
      <c r="B8" s="100" t="s">
        <v>2536</v>
      </c>
    </row>
    <row r="9" spans="1:2" x14ac:dyDescent="0.35">
      <c r="A9" s="100" t="s">
        <v>2524</v>
      </c>
      <c r="B9" s="103" t="s">
        <v>2537</v>
      </c>
    </row>
    <row r="10" spans="1:2" x14ac:dyDescent="0.35">
      <c r="A10" s="103" t="s">
        <v>2525</v>
      </c>
      <c r="B10" s="100" t="s">
        <v>2538</v>
      </c>
    </row>
    <row r="11" spans="1:2" x14ac:dyDescent="0.35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2022-11-17T19:24:42Z</dcterms:modified>
</cp:coreProperties>
</file>