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png" ContentType="image/png"/>
  <Override PartName="/xl/styles.xml" ContentType="application/vnd.openxmlformats-officedocument.spreadsheetml.styles+xml"/>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7531"/>
  <workbookPr codeName="DieseArbeitsmappe"/>
  <mc:AlternateContent xmlns:mc="http://schemas.openxmlformats.org/markup-compatibility/2006">
    <mc:Choice Requires="x15">
      <x15ac:absPath xmlns:x15ac="http://schemas.microsoft.com/office/spreadsheetml/2010/11/ac" url="C:\Users\sande\Downloads\"/>
    </mc:Choice>
  </mc:AlternateContent>
  <bookViews>
    <workbookView xWindow="-110" yWindow="-110" windowWidth="21820" windowHeight="13900" tabRatio="637" activeTab="0"/>
  </bookViews>
  <sheets>
    <sheet name="EURO" sheetId="36" r:id="rId3"/>
    <sheet name="Lisaküsimused" sheetId="40" r:id="rId4"/>
    <sheet name="Print" sheetId="38" r:id="rId5"/>
    <sheet name="Daily schedule" sheetId="37" r:id="rId6"/>
    <sheet name="Predictions_1" sheetId="39" state="hidden" r:id="rId7"/>
    <sheet name="Predictions_Ranking_1" sheetId="32" state="hidden" r:id="rId8"/>
    <sheet name="Predictions_2" sheetId="33" state="hidden" r:id="rId9"/>
    <sheet name="Predictions_Ranking_2" sheetId="34" state="hidden" r:id="rId10"/>
    <sheet name="PrSettings" sheetId="31" state="hidden" r:id="rId11"/>
    <sheet name="FairPlay" sheetId="3" r:id="rId12"/>
    <sheet name="Direct comparisons" sheetId="35" r:id="rId13"/>
    <sheet name="AssignThird" sheetId="29" r:id="rId14"/>
    <sheet name="Language" sheetId="18" r:id="rId15"/>
    <sheet name="TimeZone" sheetId="19" r:id="rId16"/>
    <sheet name="Help" sheetId="17" r:id="rId17"/>
    <sheet name="ThirdPlaced" sheetId="27" state="hidden" r:id="rId18"/>
    <sheet name="Groups" sheetId="26" state="hidden" r:id="rId19"/>
    <sheet name="Matches" sheetId="22" state="hidden" r:id="rId20"/>
    <sheet name="Factors" sheetId="6" state="hidden" r:id="rId21"/>
    <sheet name="Distinctness" sheetId="16" state="hidden" r:id="rId22"/>
    <sheet name="References" sheetId="24" state="hidden" r:id="rId23"/>
    <sheet name="GrpA" sheetId="8" state="hidden" r:id="rId24"/>
    <sheet name="GrpB" sheetId="10" state="hidden" r:id="rId25"/>
    <sheet name="GrpC" sheetId="11" state="hidden" r:id="rId26"/>
    <sheet name="GrpD" sheetId="12" state="hidden" r:id="rId27"/>
    <sheet name="GrpE" sheetId="13" state="hidden" r:id="rId28"/>
    <sheet name="GrpF" sheetId="14" state="hidden" r:id="rId29"/>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31" l="1"/>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<sst xmlns="http://schemas.openxmlformats.org/spreadsheetml/2006/main" count="2989" uniqueCount="1801">
  <si>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</si>
  <si>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</si>
  <si>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</si>
  <si>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</si>
  <si>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</si>
  <si>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</si>
  <si>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</si>
  <si>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</si>
  <si>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</si>
  <si>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</si>
  <si>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</si>
  <si>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</si>
  <si>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</si>
  <si>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</si>
  <si>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</si>
  <si>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</si>
  <si>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</si>
  <si>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</si>
  <si>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</si>
  <si>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</si>
  <si>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</si>
  <si>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</si>
  <si>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</si>
  <si>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</si>
  <si>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</si>
  <si>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</si>
  <si>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</si>
  <si>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</si>
  <si>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</si>
  <si>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</si>
  <si>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</si>
  <si>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</si>
  <si>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</si>
  <si>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</si>
  <si>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</si>
  <si>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</si>
  <si>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</si>
  <si>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</si>
  <si>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</si>
  <si>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</si>
  <si>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</si>
  <si>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</si>
  <si>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</si>
  <si>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</si>
  <si>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</si>
  <si>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</si>
  <si>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</si>
  <si>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</si>
  <si>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</si>
  <si>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</si>
  <si>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</si>
  <si>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</si>
  <si>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</si>
  <si>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</si>
  <si>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</si>
  <si>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</si>
  <si>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</si>
  <si>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</si>
  <si>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</si>
  <si>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</si>
  <si>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</si>
  <si>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</si>
  <si>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</si>
  <si>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</si>
  <si>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</si>
  <si>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</si>
  <si>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</si>
  <si>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</si>
  <si>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</si>
  <si>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</si>
  <si>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</si>
  <si>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</si>
  <si>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</si>
  <si>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</si>
  <si>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</si>
  <si>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</si>
  <si>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</si>
  <si>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</si>
  <si>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</si>
  <si>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</si>
  <si>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</si>
  <si>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</si>
  <si>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</si>
  <si>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</si>
  <si>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</si>
  <si>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</si>
  <si>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</si>
  <si>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</si>
  <si>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</si>
  <si>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</si>
  <si>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</si>
  <si>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</si>
  <si>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</si>
  <si>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</si>
  <si>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</si>
  <si>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</si>
  <si>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</si>
  <si>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</si>
  <si>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</si>
  <si>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</si>
  <si>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</si>
  <si>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</si>
  <si>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</si>
  <si>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</si>
  <si>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</si>
  <si>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</si>
  <si>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</si>
  <si>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</si>
  <si>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</si>
  <si>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</si>
  <si>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</si>
  <si>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</si>
  <si>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</si>
  <si>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</si>
  <si>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</si>
  <si>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</si>
  <si>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</si>
  <si>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</si>
  <si>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</si>
  <si>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</si>
  <si>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</si>
  <si>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</si>
  <si>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</si>
  <si>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</si>
  <si>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</si>
  <si>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</si>
  <si>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</si>
  <si>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</si>
  <si>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</si>
  <si>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</si>
  <si>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</si>
  <si>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</si>
  <si>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</si>
  <si>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</si>
  <si>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</si>
  <si>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</si>
  <si>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</si>
  <si>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</si>
  <si>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</si>
  <si>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</si>
  <si>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</si>
  <si>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</si>
  <si>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</si>
  <si>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</si>
  <si>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</si>
  <si>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</si>
  <si>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</si>
  <si>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</si>
  <si>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</si>
  <si>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</si>
  <si>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</si>
  <si>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</si>
  <si>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</si>
  <si>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</si>
  <si>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</si>
  <si>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</si>
  <si>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</si>
  <si>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</si>
  <si>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</si>
  <si>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</si>
  <si>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</si>
  <si>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</si>
  <si>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</si>
  <si>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</si>
  <si>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</si>
  <si>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</si>
  <si>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</si>
  <si>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</si>
  <si>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</si>
  <si>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</si>
  <si>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</si>
  <si>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</si>
  <si>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</si>
  <si>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</si>
  <si>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</si>
  <si>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</si>
  <si>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</si>
  <si>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</si>
  <si>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</si>
  <si>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</si>
  <si>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</si>
  <si>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</si>
  <si>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</si>
  <si>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</si>
  <si>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</si>
  <si>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</si>
  <si>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</si>
  <si>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</si>
  <si>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</si>
  <si>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</si>
  <si>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</si>
  <si>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</si>
  <si>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</si>
  <si>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</si>
  <si>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</si>
  <si>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</si>
  <si>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</si>
  <si>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</si>
  <si>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</si>
  <si>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</si>
  <si>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</si>
  <si>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</si>
  <si>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</si>
  <si>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</si>
  <si>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</si>
  <si>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</si>
  <si>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</si>
  <si>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</si>
  <si>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</si>
  <si>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</si>
  <si>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</si>
  <si>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</si>
  <si>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</si>
  <si>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</si>
  <si>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</si>
  <si>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</si>
  <si>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</si>
  <si>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</si>
  <si>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</si>
  <si>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</si>
  <si>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</si>
  <si>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</si>
  <si>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</si>
  <si>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</si>
  <si>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</si>
  <si>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</si>
  <si>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</si>
  <si>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</si>
  <si>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</si>
  <si>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</si>
  <si>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</si>
  <si>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</si>
  <si>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</si>
  <si>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</si>
  <si>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</si>
  <si>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</si>
  <si>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</si>
  <si>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</si>
  <si>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</si>
  <si>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</si>
  <si>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</si>
  <si>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</si>
  <si>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</si>
  <si>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</si>
  <si>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</si>
  <si>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</si>
  <si>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</si>
  <si>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</si>
  <si>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</si>
  <si>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</si>
  <si>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</si>
  <si>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</si>
  <si>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</si>
  <si>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</si>
  <si>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</si>
  <si>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</si>
  <si>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</si>
  <si>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</si>
  <si>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</si>
  <si>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</si>
  <si>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</si>
  <si>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</si>
  <si>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</si>
  <si>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</si>
  <si>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</si>
  <si>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</si>
  <si>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</si>
  <si>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</si>
  <si>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</si>
  <si>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</si>
  <si>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</si>
  <si>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</si>
  <si>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</si>
  <si>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</si>
  <si>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</si>
  <si>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</si>
  <si>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</si>
  <si>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</si>
  <si>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</si>
  <si>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</si>
  <si>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</si>
  <si>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</si>
  <si>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</si>
  <si>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</si>
  <si>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</si>
  <si>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</si>
  <si>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</si>
  <si>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</si>
  <si>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</si>
  <si>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</si>
  <si>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</si>
  <si>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</si>
  <si>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</si>
  <si>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</si>
  <si>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</si>
  <si>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</si>
  <si>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</si>
  <si>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</si>
  <si>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</si>
  <si>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</si>
  <si>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</si>
  <si>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</si>
  <si>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</si>
  <si>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</si>
  <si>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</si>
  <si>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</si>
  <si>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</si>
  <si>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</si>
  <si>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</si>
  <si>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</si>
  <si>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</si>
  <si>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</si>
  <si>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</si>
  <si>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</si>
  <si>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</si>
  <si>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</si>
  <si>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</si>
  <si>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</si>
  <si>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</si>
  <si>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</si>
  <si>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</si>
  <si>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</si>
  <si>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</si>
  <si>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</si>
  <si>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</si>
  <si>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</si>
  <si>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</si>
  <si>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</si>
  <si>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</si>
  <si>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</si>
  <si>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</si>
  <si>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</si>
  <si>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</si>
  <si>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</si>
  <si>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</si>
  <si>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</si>
  <si>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</si>
  <si>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</si>
  <si>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</si>
  <si>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</si>
  <si>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</si>
  <si>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</si>
  <si>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</si>
  <si>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</si>
  <si>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</si>
  <si>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</si>
  <si>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</si>
  <si>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</si>
  <si>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</si>
  <si>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</si>
  <si>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</si>
  <si>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</si>
  <si>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</si>
  <si>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</si>
  <si>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</si>
  <si>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</si>
  <si>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</si>
  <si>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</si>
  <si>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</si>
  <si>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</si>
  <si>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</si>
  <si>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</si>
  <si>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</si>
  <si>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</si>
  <si>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</si>
  <si>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</si>
  <si>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</si>
  <si>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</si>
  <si>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</si>
  <si>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</si>
  <si>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</si>
  <si>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</si>
  <si>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</si>
  <si>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</si>
  <si>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</si>
  <si>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</si>
  <si>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</si>
  <si>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</si>
  <si>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</si>
  <si>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</si>
  <si>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</si>
  <si>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</si>
  <si>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</si>
  <si>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</si>
  <si>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</si>
  <si>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</si>
  <si>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</si>
  <si>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</si>
  <si>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</si>
  <si>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</si>
  <si>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</si>
  <si>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</si>
  <si>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</si>
  <si>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</si>
  <si>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</si>
  <si>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</si>
  <si>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</si>
  <si>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</si>
  <si>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</si>
  <si>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</si>
  <si>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</si>
  <si>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</si>
  <si>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</si>
  <si>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</si>
  <si>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</si>
  <si>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</si>
  <si>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</si>
  <si>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</si>
  <si>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</si>
  <si>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</si>
  <si>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</si>
  <si>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</si>
  <si>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</si>
  <si>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</si>
  <si>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</si>
  <si>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</si>
  <si>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</si>
  <si>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</si>
  <si>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</si>
  <si>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</si>
  <si>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</si>
  <si>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</si>
  <si>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</si>
  <si>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</si>
  <si>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</si>
  <si>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</si>
  <si>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</si>
  <si>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</si>
  <si>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</si>
  <si>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</si>
  <si>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</si>
  <si>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</si>
  <si>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</si>
  <si>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</si>
  <si>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</si>
  <si>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</si>
  <si>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</si>
  <si>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</si>
  <si>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</si>
  <si>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</si>
  <si>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</si>
  <si>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</si>
  <si>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</si>
  <si>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</si>
  <si>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</si>
  <si>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</si>
  <si>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</si>
  <si>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</si>
  <si>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</si>
  <si>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</si>
  <si>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</si>
  <si>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</si>
  <si>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</si>
  <si>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</si>
  <si>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</si>
  <si>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</si>
  <si>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</si>
  <si>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</si>
  <si>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</si>
  <si>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</si>
  <si>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</si>
  <si>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</si>
  <si>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</si>
  <si>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</si>
  <si>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</si>
  <si>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</si>
  <si>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</si>
  <si>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</si>
  <si>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</si>
  <si>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</si>
  <si>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</si>
  <si>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</si>
  <si>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</si>
  <si>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</si>
  <si>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</si>
  <si>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</si>
  <si>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</si>
  <si>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</si>
  <si>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</si>
  <si>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</si>
  <si>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</si>
  <si>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</si>
  <si>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</si>
  <si>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</si>
  <si>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</si>
  <si>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</si>
  <si>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</si>
  <si>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</si>
  <si>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</si>
  <si>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</si>
  <si>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</si>
  <si>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</si>
  <si>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</si>
  <si>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</si>
  <si>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</si>
  <si>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</si>
  <si>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</si>
  <si>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</si>
  <si>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</si>
  <si>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</si>
  <si>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</si>
  <si>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</si>
  <si>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</si>
  <si>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</si>
  <si>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</si>
  <si>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</si>
  <si>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</si>
  <si>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</si>
  <si>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</si>
  <si>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</si>
  <si>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</si>
  <si>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</si>
  <si>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</si>
  <si>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</si>
  <si>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</si>
  <si>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</si>
  <si>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</si>
  <si>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</si>
  <si>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</si>
  <si>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</si>
  <si>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</si>
  <si>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</si>
  <si>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</si>
  <si>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</si>
  <si>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</si>
  <si>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</si>
  <si>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</si>
  <si>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</si>
  <si>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</si>
  <si>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</si>
  <si>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</si>
  <si>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</si>
  <si>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</si>
  <si>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</si>
  <si>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</si>
  <si>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</si>
  <si>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</si>
  <si>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</si>
  <si>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</si>
  <si>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</si>
  <si>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</si>
  <si>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</si>
  <si>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</si>
  <si>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</si>
  <si>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</si>
  <si>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</si>
  <si>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</si>
  <si>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</si>
  <si>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</si>
  <si>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</si>
  <si>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</si>
  <si>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</si>
  <si>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</si>
  <si>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</si>
  <si>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</si>
  <si>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</si>
  <si>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</si>
  <si>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</si>
  <si>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</si>
  <si>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</si>
  <si>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</si>
  <si>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</si>
  <si>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</si>
  <si>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</si>
  <si>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</si>
  <si>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</si>
  <si>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</si>
  <si>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</si>
  <si>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</si>
  <si>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</si>
  <si>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</si>
  <si>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</si>
  <si>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</si>
  <si>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</si>
  <si>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</si>
  <si>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</si>
  <si>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</si>
  <si>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</si>
  <si>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</si>
  <si>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</si>
  <si>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</si>
  <si>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</si>
  <si>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</si>
  <si>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</si>
  <si>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</si>
  <si>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</si>
  <si>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</si>
  <si>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</si>
  <si>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</si>
  <si>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</si>
  <si>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</si>
  <si>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</si>
  <si>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</si>
  <si>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</si>
  <si>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</si>
  <si>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</si>
  <si>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</si>
  <si>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</si>
  <si>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</si>
  <si>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</si>
  <si>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</si>
  <si>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</si>
  <si>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</si>
  <si>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</si>
  <si>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</si>
  <si>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</si>
  <si>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</si>
  <si>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</si>
  <si>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</si>
  <si>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</si>
  <si>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</si>
  <si>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</si>
  <si>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</si>
  <si>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</si>
  <si>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</si>
  <si>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</si>
  <si>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</si>
  <si>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</si>
  <si>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</si>
  <si>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</si>
  <si>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</si>
  <si>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</si>
  <si>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</si>
  <si>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</si>
  <si>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</si>
  <si>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</si>
  <si>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</si>
  <si>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</si>
  <si>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</si>
  <si>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</si>
  <si>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</si>
  <si>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</si>
  <si>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</si>
  <si>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</si>
  <si>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</si>
  <si>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</si>
  <si>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</si>
  <si>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</si>
  <si>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</si>
  <si>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</si>
  <si>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</si>
  <si>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</si>
  <si>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</si>
  <si>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</si>
  <si>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</si>
  <si>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</si>
  <si>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</si>
  <si>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</si>
  <si>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</si>
  <si>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</si>
  <si>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</si>
  <si>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</si>
  <si>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</si>
  <si>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</si>
  <si>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</si>
  <si>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</si>
  <si>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</si>
  <si>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</si>
  <si>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</si>
  <si>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</si>
  <si>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</si>
  <si>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</si>
  <si>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</si>
  <si>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</si>
  <si>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</si>
  <si>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</si>
  <si>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</si>
  <si>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</si>
  <si>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</si>
  <si>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</si>
  <si>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</si>
  <si>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</si>
  <si>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</si>
  <si>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</si>
  <si>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</si>
  <si>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</si>
  <si>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</si>
  <si>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</si>
  <si>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</si>
  <si>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</si>
  <si>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</si>
  <si>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</si>
  <si>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</si>
  <si>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</si>
  <si>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</si>
  <si>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</si>
  <si>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</si>
  <si>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</si>
  <si>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</si>
  <si>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</si>
  <si>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</si>
  <si>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</si>
  <si>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</si>
  <si>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</si>
  <si>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</si>
  <si>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</si>
  <si>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</si>
  <si>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</si>
  <si>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</si>
  <si>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</si>
  <si>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</si>
  <si>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</si>
  <si>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</si>
  <si>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</si>
  <si>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</si>
  <si>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</si>
  <si>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</si>
  <si>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</si>
  <si>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</si>
  <si>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</si>
  <si>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</si>
  <si>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</si>
  <si>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</si>
  <si>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</si>
  <si>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</si>
  <si>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</si>
  <si>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</si>
  <si>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</si>
  <si>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</si>
  <si>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</si>
  <si>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</si>
  <si>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</si>
  <si>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</si>
  <si>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</si>
  <si>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</si>
  <si>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</si>
  <si>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</si>
  <si>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</si>
  <si>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</si>
  <si>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</si>
  <si>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</si>
  <si>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</si>
  <si>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</si>
  <si>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</si>
  <si>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</si>
  <si>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</si>
  <si>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</si>
  <si>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</si>
  <si>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</si>
  <si>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</si>
  <si>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</si>
  <si>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</si>
  <si>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</si>
  <si>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</si>
  <si>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</si>
  <si>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</si>
  <si>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</si>
  <si>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</si>
  <si>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</si>
  <si>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</si>
  <si>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</si>
  <si>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</si>
  <si>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</si>
  <si>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</si>
  <si>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</si>
  <si>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</si>
  <si>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</si>
  <si>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</si>
  <si>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</si>
  <si>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</si>
  <si>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</si>
  <si>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</si>
  <si>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</si>
  <si>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</si>
  <si>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</si>
  <si>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</si>
  <si>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</si>
  <si>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</si>
  <si>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</si>
  <si>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</si>
  <si>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</si>
  <si>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</si>
  <si>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</si>
  <si>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</si>
  <si>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</si>
  <si>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</si>
  <si>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</si>
  <si>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</si>
  <si>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</si>
  <si>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</si>
  <si>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</si>
  <si>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</si>
  <si>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</si>
  <si>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</si>
  <si>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</si>
  <si>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</si>
  <si>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</si>
  <si>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</si>
  <si>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</si>
  <si>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</si>
  <si>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</si>
  <si>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</si>
  <si>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</si>
  <si>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</si>
  <si>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</si>
  <si>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</si>
  <si>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</si>
  <si>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</si>
  <si>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</si>
  <si>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</si>
  <si>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</si>
  <si>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</si>
  <si>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</si>
  <si>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</si>
  <si>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</si>
  <si>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</si>
  <si>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</si>
  <si>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</si>
  <si>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</si>
  <si>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</si>
  <si>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</si>
  <si>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</si>
  <si>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</si>
  <si>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</si>
  <si>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</si>
  <si>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</si>
  <si>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</si>
  <si>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</si>
  <si>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</si>
  <si>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</si>
  <si>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</si>
  <si>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</si>
  <si>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</si>
  <si>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</si>
  <si>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</si>
  <si>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</si>
  <si>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</si>
  <si>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</si>
  <si>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</si>
  <si>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</si>
  <si>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</si>
  <si>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</si>
  <si>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</si>
  <si>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</si>
  <si>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</si>
  <si>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</si>
  <si>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</si>
  <si>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</si>
  <si>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</si>
  <si>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</si>
  <si>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</si>
  <si>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</si>
  <si>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</si>
  <si>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</si>
  <si>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</si>
  <si>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</si>
  <si>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</si>
  <si>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</si>
  <si>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</si>
  <si>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</si>
  <si>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</si>
  <si>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</si>
  <si>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</si>
  <si>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</si>
  <si>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</si>
  <si>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</si>
  <si>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</si>
  <si>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</si>
  <si>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</si>
  <si>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</si>
  <si>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</si>
  <si>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</si>
  <si>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</si>
  <si>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</si>
  <si>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</si>
  <si>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</si>
  <si>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</si>
  <si>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</si>
  <si>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</si>
  <si>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</si>
  <si>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</si>
  <si>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</si>
  <si>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</si>
  <si>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</si>
  <si>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</si>
  <si>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</si>
  <si>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</si>
  <si>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</si>
  <si>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</si>
  <si>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</si>
  <si>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</si>
  <si>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</si>
  <si>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</si>
  <si>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</si>
  <si>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</si>
  <si>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</si>
  <si>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</si>
  <si>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</si>
  <si>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</si>
  <si>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</si>
  <si>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</si>
  <si>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</si>
  <si>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</si>
  <si>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</si>
  <si>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</si>
  <si>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</si>
  <si>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</si>
  <si>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</si>
  <si>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</si>
  <si>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</si>
  <si>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</si>
  <si>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</si>
  <si>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</si>
  <si>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</si>
  <si>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</si>
  <si>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</si>
  <si>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</si>
  <si>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</si>
  <si>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</si>
  <si>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</si>
  <si>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</si>
  <si>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</si>
  <si>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</si>
  <si>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</si>
  <si>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</si>
  <si>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</si>
  <si>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</si>
  <si>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</si>
  <si>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</si>
  <si>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</si>
  <si>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</si>
  <si>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</si>
  <si>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</si>
  <si>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</si>
  <si>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</si>
  <si>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</si>
  <si>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</si>
  <si>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</si>
  <si>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</si>
  <si>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</si>
  <si>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</si>
  <si>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</si>
  <si>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</si>
  <si>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</si>
  <si>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</si>
  <si>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</si>
  <si>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</si>
  <si>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</si>
  <si>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</si>
  <si>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</si>
  <si>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</si>
  <si>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</si>
  <si>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</si>
  <si>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</si>
  <si>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</si>
  <si>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</si>
  <si>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</si>
  <si>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</si>
  <si>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</si>
  <si>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</si>
  <si>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</si>
  <si>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</si>
  <si>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</si>
  <si>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</si>
  <si>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</si>
  <si>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</si>
  <si>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</si>
  <si>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</si>
  <si>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</si>
  <si>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</si>
  <si>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</si>
  <si>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</si>
  <si>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</si>
  <si>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</si>
  <si>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</si>
  <si>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</si>
  <si>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</si>
  <si>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</si>
  <si>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</si>
  <si>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</si>
  <si>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</si>
  <si>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</si>
  <si>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</si>
  <si>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</si>
  <si>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</si>
  <si>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</si>
  <si>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</si>
  <si>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</si>
  <si>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</si>
  <si>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</si>
  <si>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</si>
  <si>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</si>
  <si>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</si>
  <si>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</si>
  <si>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</si>
  <si>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</si>
  <si>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</si>
  <si>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</si>
  <si>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</si>
  <si>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</si>
  <si>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</si>
  <si>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</si>
  <si>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</si>
  <si>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</si>
  <si>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</si>
  <si>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</si>
  <si>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</si>
  <si>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</si>
  <si>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</si>
  <si>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</si>
  <si>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</si>
  <si>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</si>
  <si>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</si>
  <si>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</si>
  <si>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</si>
  <si>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</si>
  <si>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</si>
  <si>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</si>
  <si>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</si>
  <si>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</si>
  <si>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</si>
  <si>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</si>
  <si>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</si>
  <si>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</si>
  <si>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</si>
  <si>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</si>
  <si>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</si>
  <si>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</si>
  <si>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</si>
  <si>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</si>
  <si>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</si>
  <si>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</si>
  <si>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</si>
  <si>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</si>
  <si>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</si>
  <si>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</si>
  <si>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</si>
  <si>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</si>
  <si>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</si>
  <si>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</si>
  <si>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</si>
  <si>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</si>
  <si>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</si>
  <si>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</si>
  <si>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</si>
  <si>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</si>
  <si>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</si>
  <si>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</si>
  <si>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</si>
  <si>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</si>
  <si>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</si>
  <si>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</si>
  <si>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</si>
  <si>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</si>
  <si>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</si>
  <si>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</si>
  <si>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</si>
  <si>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</si>
  <si>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</si>
  <si>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</si>
  <si>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</si>
  <si>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</si>
  <si>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</si>
  <si>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</si>
  <si>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</si>
  <si>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</si>
  <si>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</si>
  <si>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</si>
  <si>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</si>
  <si>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</si>
  <si>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</si>
  <si>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</si>
  <si>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</si>
  <si>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</si>
  <si>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</si>
  <si>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</si>
  <si>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</si>
  <si>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</si>
  <si>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</si>
  <si>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</si>
  <si>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</si>
  <si>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</si>
  <si>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</si>
  <si>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</si>
  <si>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</si>
  <si>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</si>
  <si>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</si>
  <si>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</si>
  <si>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</si>
  <si>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</si>
  <si>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</si>
  <si>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</si>
  <si>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</si>
  <si>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</si>
  <si>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</si>
  <si>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</si>
  <si>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</si>
  <si>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</si>
  <si>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</si>
  <si>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</si>
  <si>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</si>
  <si>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</si>
  <si>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</si>
  <si>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</si>
  <si>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</si>
  <si>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</si>
  <si>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</si>
  <si>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</si>
  <si>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</si>
  <si>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</si>
  <si>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</si>
  <si>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</si>
  <si>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</si>
  <si>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</si>
  <si>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</si>
  <si>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</si>
  <si>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</si>
  <si>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</si>
  <si>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</si>
  <si>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</si>
  <si>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</si>
  <si>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</si>
  <si>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</si>
  <si>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</si>
  <si>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</si>
  <si>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</si>
  <si>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</si>
  <si>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</si>
  <si>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</si>
  <si>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</si>
  <si>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</si>
  <si>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</si>
  <si>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</si>
  <si>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</si>
  <si>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</si>
  <si>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</si>
  <si>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</si>
  <si>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</si>
  <si>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</si>
  <si>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</si>
  <si>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</si>
  <si>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</si>
  <si>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</si>
  <si>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</si>
  <si>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</si>
  <si>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</si>
  <si>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</si>
  <si>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</si>
  <si>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</si>
  <si>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</si>
  <si>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</si>
  <si>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</si>
  <si>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</si>
  <si>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</si>
  <si>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</si>
  <si>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</si>
  <si>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</si>
  <si>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</si>
  <si>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</si>
  <si>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</si>
  <si>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</si>
  <si>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</si>
  <si>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</si>
  <si>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</si>
  <si>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</si>
  <si>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</si>
  <si>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</si>
  <si>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</si>
  <si>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</si>
  <si>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</si>
  <si>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</si>
  <si>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</si>
  <si>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</si>
  <si>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</si>
  <si>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</si>
  <si>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</si>
  <si>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</si>
  <si>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</si>
  <si>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</si>
  <si>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</si>
  <si>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</si>
  <si>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</si>
  <si>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</si>
  <si>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</si>
  <si>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</si>
  <si>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</si>
  <si>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</si>
  <si>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</si>
  <si>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</si>
  <si>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</si>
  <si>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</si>
  <si>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</si>
  <si>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</si>
  <si>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</si>
  <si>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</si>
  <si>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</si>
  <si>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</si>
  <si>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</si>
  <si>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</si>
  <si>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</si>
  <si>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</si>
  <si>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</si>
  <si>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</si>
  <si>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</si>
  <si>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</si>
  <si>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</si>
  <si>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</si>
  <si>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</si>
  <si>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</si>
  <si>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</si>
  <si>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</si>
  <si>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</si>
  <si>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</si>
  <si>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</si>
  <si>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</si>
  <si>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</si>
  <si>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</si>
  <si>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</si>
  <si>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</si>
  <si>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</si>
  <si>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</si>
  <si>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</si>
  <si>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</si>
  <si>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</si>
  <si>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</si>
  <si>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</si>
  <si>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</si>
  <si>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</si>
  <si>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</si>
  <si>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</si>
  <si>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</si>
  <si>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</si>
  <si>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</si>
  <si>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</si>
  <si>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</si>
  <si>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</si>
  <si>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</si>
  <si>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</si>
  <si>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</si>
  <si>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</si>
  <si>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</si>
  <si>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</si>
  <si>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</si>
  <si>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</si>
  <si>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</si>
  <si>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</si>
  <si>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</si>
  <si>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</si>
  <si>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</si>
  <si>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</si>
  <si>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</si>
  <si>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</si>
  <si>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</si>
  <si>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</si>
  <si>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</si>
  <si>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</si>
  <si>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</si>
  <si>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</si>
  <si>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</si>
  <si>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</si>
  <si>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</si>
  <si>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</si>
  <si>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</si>
  <si>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</si>
  <si>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</si>
  <si>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</si>
  <si>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</si>
  <si>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</si>
  <si>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</si>
  <si>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</si>
  <si>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</si>
  <si>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</si>
  <si>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</si>
  <si>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</si>
  <si>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</si>
  <si>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</si>
  <si>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</si>
  <si>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</si>
  <si>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</si>
  <si>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</si>
  <si>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</si>
  <si>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</si>
  <si>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</si>
  <si>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</si>
  <si>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</si>
  <si>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</si>
  <si>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</si>
  <si>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</si>
  <si>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</si>
  <si>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</si>
  <si>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</si>
  <si>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</si>
  <si>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</si>
  <si>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</si>
  <si>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</si>
  <si>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</si>
  <si>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</si>
  <si>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</si>
  <si>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</si>
  <si>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</si>
  <si>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</si>
  <si>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</si>
  <si>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</si>
  <si>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</si>
  <si>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</si>
  <si>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</si>
  <si>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</si>
  <si>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</si>
  <si>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</si>
  <si>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</si>
  <si>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</si>
  <si>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</si>
  <si>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</si>
  <si>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</si>
  <si>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</si>
  <si>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</si>
  <si>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</si>
  <si>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</si>
  <si>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</si>
  <si>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</si>
  <si>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</si>
  <si>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</si>
  <si>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</si>
  <si>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</si>
  <si>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</si>
  <si>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</si>
  <si>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</si>
  <si>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</si>
  <si>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</si>
  <si>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</si>
  <si>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</si>
  <si>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</si>
  <si>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</si>
  <si>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</si>
  <si>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</si>
  <si>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</si>
  <si>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</si>
  <si>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</si>
  <si>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</si>
  <si>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</si>
  <si>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</si>
  <si>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</si>
  <si>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</si>
  <si>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</si>
  <si>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</si>
  <si>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</si>
  <si>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</si>
  <si>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</si>
  <si>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</si>
  <si>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</si>
  <si>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</si>
  <si>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</si>
  <si>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</si>
  <si>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</si>
  <si>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</si>
  <si>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</si>
  <si>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</si>
  <si>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</si>
  <si>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</si>
  <si>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</si>
  <si>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</si>
  <si>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</si>
  <si>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</si>
  <si>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</si>
  <si>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</si>
  <si>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</si>
  <si>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</si>
  <si>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</si>
  <si>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</si>
  <si>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</si>
  <si>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</si>
  <si>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</si>
  <si>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</si>
  <si>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</si>
  <si>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</si>
  <si>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</si>
  <si>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</si>
  <si>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</si>
  <si>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</si>
  <si>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</si>
  <si>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</si>
  <si>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</si>
  <si>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</si>
  <si>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</si>
  <si>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</si>
  <si>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</si>
  <si>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</si>
  <si>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</si>
  <si>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</si>
  <si>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</si>
  <si>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</si>
  <si>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</si>
  <si>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</si>
  <si>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</si>
  <si>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</si>
  <si>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</si>
  <si>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</si>
  <si>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</si>
  <si>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</si>
  <si>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</si>
  <si>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</si>
  <si>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</si>
  <si>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</si>
  <si>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</si>
  <si>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</si>
  <si>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</si>
  <si>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</si>
  <si>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</si>
  <si>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</si>
  <si>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</si>
  <si>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</si>
  <si>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</si>
  <si>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</si>
  <si>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</si>
  <si>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</si>
  <si>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</si>
  <si>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</si>
  <si>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</si>
  <si>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</si>
  <si>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</si>
  <si>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</si>
  <si>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</si>
  <si>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</si>
  <si>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</si>
  <si>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</si>
  <si>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</si>
  <si>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</si>
  <si>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</si>
  <si>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</si>
  <si>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</si>
  <si>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</si>
  <si>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</si>
  <si>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</si>
  <si>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</si>
  <si>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</si>
  <si>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</si>
  <si>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</si>
  <si>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</si>
  <si>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</si>
  <si>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</si>
  <si>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</si>
  <si>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</si>
  <si>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</si>
  <si>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</si>
  <si>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</si>
  <si>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</si>
  <si>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</si>
  <si>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</si>
  <si>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</si>
  <si>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</si>
  <si>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</si>
  <si>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</si>
  <si>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</si>
  <si>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</si>
  <si>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</si>
  <si>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</si>
  <si>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</si>
  <si>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</si>
  <si>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</si>
  <si>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</si>
  <si>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</si>
  <si>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</si>
  <si>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</si>
  <si>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</si>
  <si>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</si>
  <si>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</si>
  <si>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</si>
  <si>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</si>
  <si>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</si>
  <si>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</si>
  <si>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</si>
  <si>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</si>
  <si>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</si>
  <si>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</si>
  <si>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</si>
  <si>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</si>
  <si>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</si>
  <si>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</si>
  <si>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</si>
  <si>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</si>
  <si>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</si>
  <si>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</si>
  <si>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</si>
  <si>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</si>
  <si>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</si>
  <si>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</si>
  <si>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</si>
  <si>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</si>
  <si>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</si>
  <si>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</si>
  <si>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</si>
  <si>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</si>
  <si>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</si>
  <si>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</si>
  <si>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</si>
  <si>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</si>
  <si>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</si>
  <si>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</si>
  <si>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</si>
  <si>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</si>
  <si>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</si>
  <si>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</si>
  <si>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</si>
  <si>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</si>
  <si>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</si>
  <si>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</si>
  <si>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</si>
  <si>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</si>
  <si>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</si>
  <si>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</si>
  <si>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</si>
  <si>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</si>
  <si>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</si>
  <si>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</si>
  <si>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</si>
  <si>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</si>
  <si>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</si>
  <si>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</si>
  <si>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</si>
  <si>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</si>
  <si>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</si>
  <si>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</si>
  <si>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</si>
  <si>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</si>
  <si>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</si>
  <si>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</si>
  <si>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</si>
  <si>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</si>
  <si>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</si>
  <si>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</si>
  <si>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</si>
  <si>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</si>
  <si>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</si>
  <si>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</si>
  <si>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</si>
  <si>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</si>
  <si>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</si>
  <si>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</si>
  <si>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</si>
  <si>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</si>
  <si>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</si>
  <si>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</si>
  <si>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</si>
  <si>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</si>
  <si>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</si>
  <si>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</si>
  <si>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</si>
  <si>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</si>
  <si>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</si>
  <si>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</si>
  <si>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</si>
  <si>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</si>
  <si>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</si>
  <si>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</si>
  <si>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</si>
  <si>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</si>
  <si>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</si>
  <si>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</si>
  <si>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</si>
  <si>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</si>
  <si>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</si>
  <si>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</si>
  <si>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</si>
  <si>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</si>
  <si>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</si>
  <si>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</si>
  <si>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</si>
  <si>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</si>
  <si>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</si>
  <si>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</si>
  <si>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</si>
  <si>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</si>
  <si>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</si>
  <si>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</si>
  <si>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</si>
  <si>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</si>
  <si>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</si>
  <si>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</si>
  <si>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</si>
  <si>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</si>
  <si>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</si>
  <si>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</si>
  <si>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</si>
  <si>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</si>
  <si>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</si>
  <si>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</si>
  <si>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</si>
  <si>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</si>
  <si>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</si>
  <si>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</si>
  <si>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</si>
  <si>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</si>
  <si>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</si>
  <si>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</si>
  <si>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</si>
  <si>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</si>
  <si>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</si>
  <si>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</si>
  <si>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</si>
  <si>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</si>
  <si>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</si>
  <si>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</si>
  <si>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</si>
  <si>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</si>
  <si>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</si>
  <si>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</si>
  <si>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</si>
  <si>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</si>
  <si>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</si>
  <si>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</si>
  <si>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</si>
  <si>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</si>
  <si>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</si>
  <si>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</si>
  <si>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</si>
  <si>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</si>
  <si>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</si>
  <si>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</si>
  <si>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</si>
  <si>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</si>
  <si>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</si>
  <si>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</si>
  <si>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</si>
  <si>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</si>
  <si>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</si>
  <si>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</si>
  <si>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</si>
  <si>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</si>
  <si>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</si>
  <si>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</si>
  <si>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</si>
  <si>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</si>
  <si>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</si>
  <si>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</si>
  <si>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</si>
  <si>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</si>
  <si>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</si>
  <si>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</si>
  <si>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</si>
  <si>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</si>
  <si>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</si>
  <si>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</si>
  <si>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</si>
  <si>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</si>
  <si>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</si>
  <si>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</si>
  <si>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</si>
  <si>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</si>
  <si>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</si>
  <si>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</si>
  <si>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</si>
  <si>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</si>
  <si>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</si>
  <si>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</si>
  <si>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</si>
  <si>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</si>
  <si>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</si>
  <si>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</si>
  <si>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</si>
  <si>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</si>
  <si>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</si>
  <si>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</si>
  <si>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</si>
  <si>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</si>
  <si>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</si>
  <si>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</si>
  <si>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</si>
  <si>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</si>
  <si>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</si>
  <si>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</si>
  <si>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</si>
  <si>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</si>
  <si>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</si>
  <si>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</si>
  <si>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</si>
  <si>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</si>
  <si>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</si>
  <si>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</si>
  <si>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</si>
  <si>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</si>
  <si>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</si>
  <si>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</si>
  <si>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</si>
  <si>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</si>
  <si>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</si>
  <si>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</si>
  <si>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</si>
  <si>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</si>
  <si>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</si>
  <si>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</si>
  <si>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</si>
  <si>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</si>
  <si>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</si>
  <si>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</si>
  <si>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</si>
  <si>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</si>
  <si>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</si>
  <si>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</si>
  <si>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</si>
  <si>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</si>
  <si>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</si>
  <si>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</si>
  <si>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</si>
  <si>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</si>
  <si>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</si>
  <si>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</si>
  <si>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</si>
  <si>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</si>
  <si>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</si>
  <si>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</si>
  <si>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</si>
  <si>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</si>
  <si>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</si>
  <si>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</si>
  <si>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</si>
  <si>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</si>
  <si>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</si>
  <si>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</si>
  <si>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</si>
  <si>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</si>
  <si>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</si>
  <si>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</si>
  <si>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</si>
  <si>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</si>
  <si>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</si>
  <si>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</si>
  <si>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</si>
  <si>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</si>
  <si>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</si>
  <si>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</si>
  <si>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</si>
  <si>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</si>
  <si>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</si>
  <si>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</si>
  <si>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</si>
  <si>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</si>
  <si>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</si>
  <si>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</si>
  <si>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</si>
  <si>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</si>
  <si>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</si>
  <si>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</si>
  <si>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</si>
  <si>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</si>
  <si>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</si>
  <si>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</si>
  <si>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</si>
  <si>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</si>
  <si>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</si>
  <si>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</si>
  <si>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</si>
  <si>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</si>
  <si>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</si>
  <si>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</si>
  <si>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</si>
  <si>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</si>
  <si>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</si>
  <si>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</si>
  <si>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</si>
  <si>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</si>
  <si>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</si>
  <si>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</si>
  <si>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</si>
  <si>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</si>
  <si>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</si>
  <si>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</si>
  <si>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</si>
  <si>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</si>
  <si>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</si>
  <si>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</si>
  <si>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</si>
  <si>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</si>
  <si>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</si>
  <si>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</si>
  <si>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</si>
  <si>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</si>
  <si>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</si>
  <si>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</si>
  <si>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</si>
  <si>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</si>
  <si>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</si>
  <si>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</si>
  <si>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</si>
  <si>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</si>
  <si>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</si>
  <si>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</si>
  <si>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</si>
  <si>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</si>
  <si>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</si>
  <si>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</si>
  <si>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</si>
  <si>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</si>
  <si>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</si>
  <si>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</si>
  <si>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</si>
  <si>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</si>
  <si>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</si>
  <si>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</si>
  <si>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7.Kevin DeBruyne</t>
  </si>
  <si>
    <t>8.Ei</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</si>
  <si>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</si>
  <si>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</si>
  <si>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</si>
  <si>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</si>
  <si>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</si>
  <si>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2. Inglismaa</t>
  </si>
  <si>
    <t>3. Saksamaa</t>
  </si>
  <si>
    <t>4. Prantsusmaa</t>
  </si>
  <si>
    <t>5. Gruusia</t>
  </si>
  <si>
    <t>6.Saksamaa</t>
  </si>
  <si>
    <t>1. Romelu Lukaku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</si>
</sst>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5">
    <font>
      <sz val="11"/>
      <color theme="1"/>
      <name val="Calibri"/>
      <family val="2"/>
      <scheme val="minor"/>
    </font>
    <font>
      <sz val="10"/>
      <color theme="1"/>
      <name val="Arial"/>
      <family val="2"/>
    </font>
    <font>
      <sz val="14"/>
      <color theme="1"/>
      <name val="Calibri"/>
      <family val="2"/>
      <scheme val="minor"/>
    </font>
    <font>
      <b/>
      <sz val="11"/>
      <color theme="1"/>
      <name val="Calibri"/>
      <family val="2"/>
      <scheme val="minor"/>
    </font>
    <font>
      <b/>
      <sz val="44"/>
      <color rgb="FFC00000"/>
      <name val="AR CENA"/>
      <family val="2"/>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90010261536"/>
      <name val="Calibri"/>
      <family val="2"/>
      <scheme val="minor"/>
    </font>
    <font>
      <sz val="8"/>
      <color theme="1"/>
      <name val="Calibri"/>
      <family val="2"/>
      <scheme val="minor"/>
    </font>
    <font>
      <sz val="10"/>
      <name val="Calibri"/>
      <family val="2"/>
    </font>
    <font>
      <b/>
      <sz val="10"/>
      <name val="Calibri"/>
      <family val="2"/>
    </font>
    <font>
      <sz val="10"/>
      <color theme="2" tint="-0.748269975185394"/>
      <name val="Calibri"/>
      <family val="2"/>
      <scheme val="minor"/>
    </font>
    <font>
      <b/>
      <sz val="11"/>
      <color theme="1"/>
      <name val="Calibri"/>
      <family val="2"/>
    </font>
    <font>
      <sz val="10"/>
      <color rgb="FFC00000"/>
      <name val="Calibri"/>
      <family val="2"/>
      <scheme val="minor"/>
    </font>
    <font>
      <sz val="6"/>
      <color theme="9" tint="0.399980008602142"/>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90010261536"/>
      <name val="Calibri"/>
      <family val="2"/>
      <scheme val="minor"/>
    </font>
    <font>
      <sz val="11"/>
      <color theme="7" tint="-0.248260006308556"/>
      <name val="Calibri"/>
      <family val="2"/>
      <scheme val="minor"/>
    </font>
    <font>
      <sz val="10"/>
      <color theme="5" tint="-0.248260006308556"/>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8260006308556"/>
      <name val="Calibri"/>
      <family val="2"/>
      <scheme val="minor"/>
    </font>
    <font>
      <sz val="10"/>
      <color theme="9" tint="-0.248260006308556"/>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val="single"/>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8260006308556"/>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8259991407394"/>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8260006308556"/>
      <name val="Calibri"/>
      <family val="2"/>
      <scheme val="minor"/>
    </font>
    <font>
      <sz val="10"/>
      <color theme="8"/>
      <name val="Calibri"/>
      <family val="2"/>
      <scheme val="minor"/>
    </font>
    <font>
      <sz val="11"/>
      <color theme="4" tint="-0.248260006308556"/>
      <name val="Calibri"/>
      <family val="2"/>
      <scheme val="minor"/>
    </font>
    <font>
      <b/>
      <sz val="11"/>
      <color rgb="FF800000"/>
      <name val="Calibri"/>
      <family val="2"/>
      <scheme val="minor"/>
    </font>
    <font>
      <sz val="11"/>
      <color theme="0" tint="-0.348269999027252"/>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8259991407394"/>
      <name val="Calibri"/>
      <family val="2"/>
    </font>
    <font>
      <sz val="10"/>
      <name val="Calibri"/>
      <family val="2"/>
      <scheme val="minor"/>
    </font>
    <font>
      <b/>
      <sz val="10"/>
      <color theme="2" tint="-0.748269975185394"/>
      <name val="Calibri"/>
      <family val="2"/>
      <scheme val="minor"/>
    </font>
    <font>
      <b/>
      <sz val="12"/>
      <color theme="1" tint="0.349990010261536"/>
      <name val="Times New Roman"/>
      <family val="1"/>
    </font>
    <font>
      <b/>
      <sz val="12"/>
      <color theme="1" tint="0.349990010261536"/>
      <name val="Calibri"/>
      <family val="2"/>
      <scheme val="minor"/>
    </font>
    <font>
      <sz val="8"/>
      <color rgb="FF928E8E"/>
      <name val="Calibri"/>
      <family val="2"/>
      <scheme val="minor"/>
    </font>
    <font>
      <b/>
      <sz val="44"/>
      <color rgb="FFDE500A"/>
      <name val="AR CENA"/>
      <family val="2"/>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90010261536"/>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90010261536"/>
      <name val="Calibri"/>
      <family val="2"/>
      <scheme val="minor"/>
    </font>
    <font>
      <b/>
      <sz val="22"/>
      <color rgb="FF007CFF"/>
      <name val="Calibri"/>
      <family val="2"/>
      <scheme val="minor"/>
    </font>
    <font>
      <sz val="12"/>
      <color theme="1"/>
      <name val="Wingdings 3"/>
      <family val="1"/>
      <charset val="2"/>
    </font>
    <font>
      <b/>
      <sz val="11"/>
      <color theme="4" tint="-0.248260006308556"/>
      <name val="Calibri"/>
      <family val="2"/>
      <scheme val="minor"/>
    </font>
    <font>
      <sz val="7"/>
      <color theme="1"/>
      <name val="Calibri"/>
      <family val="2"/>
      <scheme val="minor"/>
    </font>
    <font>
      <sz val="11"/>
      <color rgb="FF767171"/>
      <name val="Calibri"/>
      <family val="2"/>
    </font>
    <font>
      <sz val="11"/>
      <color rgb="FF000000"/>
      <name val="Calibri"/>
      <family val="2"/>
    </font>
  </fonts>
  <fills count="35">
    <fill>
      <patternFill patternType="none"/>
    </fill>
    <fill>
      <patternFill patternType="gray125"/>
    </fill>
    <fill>
      <patternFill patternType="solid">
        <fgColor theme="0" tint="-0.148279994726181"/>
        <bgColor indexed="64"/>
      </patternFill>
    </fill>
    <fill>
      <patternFill patternType="solid">
        <fgColor theme="7" tint="0.799979984760284"/>
        <bgColor indexed="64"/>
      </patternFill>
    </fill>
    <fill>
      <patternFill patternType="solid">
        <fgColor rgb="FFFFFF99"/>
        <bgColor indexed="64"/>
      </patternFill>
    </fill>
    <fill>
      <patternFill patternType="solid">
        <fgColor theme="8" tint="0.799979984760284"/>
        <bgColor indexed="64"/>
      </patternFill>
    </fill>
    <fill>
      <patternFill patternType="solid">
        <fgColor rgb="FFF8F8F8"/>
        <bgColor indexed="64"/>
      </patternFill>
    </fill>
    <fill>
      <patternFill patternType="solid">
        <fgColor theme="0" tint="-0.0482699982821941"/>
        <bgColor indexed="64"/>
      </patternFill>
    </fill>
    <fill>
      <patternFill patternType="solid">
        <fgColor theme="4" tint="0.799979984760284"/>
        <bgColor indexed="64"/>
      </patternFill>
    </fill>
    <fill>
      <patternFill patternType="solid">
        <fgColor theme="5" tint="0.799979984760284"/>
        <bgColor indexed="64"/>
      </patternFill>
    </fill>
    <fill>
      <patternFill patternType="solid">
        <fgColor rgb="FFF9F9F9"/>
        <bgColor indexed="64"/>
      </patternFill>
    </fill>
    <fill>
      <patternFill patternType="solid">
        <fgColor theme="4" tint="0.599990010261536"/>
        <bgColor indexed="64"/>
      </patternFill>
    </fill>
    <fill>
      <patternFill patternType="solid">
        <fgColor theme="9" tint="0.799979984760284"/>
        <bgColor indexed="64"/>
      </patternFill>
    </fill>
    <fill>
      <patternFill patternType="solid">
        <fgColor rgb="FFFFFFCC"/>
        <bgColor indexed="64"/>
      </patternFill>
    </fill>
    <fill>
      <patternFill patternType="solid">
        <fgColor theme="0"/>
        <bgColor indexed="64"/>
      </patternFill>
    </fill>
    <fill>
      <patternFill patternType="solid">
        <fgColor rgb="FFECECEC"/>
        <bgColor indexed="64"/>
      </patternFill>
    </fill>
    <fill>
      <patternFill patternType="solid">
        <fgColor rgb="FFFBF7C9"/>
        <bgColor indexed="64"/>
      </patternFill>
    </fill>
    <fill>
      <patternFill patternType="solid">
        <fgColor rgb="FFDE500A"/>
        <bgColor indexed="64"/>
      </patternFill>
    </fill>
    <fill>
      <patternFill patternType="solid">
        <fgColor rgb="FF789A0A"/>
        <bgColor indexed="64"/>
      </patternFill>
    </fill>
    <fill>
      <patternFill patternType="solid">
        <fgColor rgb="FFEDFBC1"/>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2F2F2"/>
        <bgColor indexed="64"/>
      </patternFill>
    </fill>
    <fill>
      <patternFill patternType="solid">
        <fgColor rgb="FFFEF6E8"/>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
      <patternFill patternType="solid">
        <fgColor rgb="FF0D98C9"/>
        <bgColor indexed="64"/>
      </patternFill>
    </fill>
    <fill>
      <patternFill patternType="solid">
        <fgColor rgb="FFD9D9D9"/>
        <bgColor indexed="64"/>
      </patternFill>
    </fill>
  </fills>
  <borders count="377">
    <border>
      <left/>
      <right/>
      <top/>
      <bottom/>
      <diagonal/>
    </border>
    <border>
      <left style="thin">
        <color theme="1" tint="0.499980002641678"/>
      </left>
      <right/>
      <top/>
      <bottom style="medium">
        <color theme="1" tint="0.499980002641678"/>
      </bottom>
    </border>
    <border>
      <left style="thin">
        <color theme="0"/>
      </left>
      <right style="thin">
        <color theme="1" tint="0.499980002641678"/>
      </right>
      <top/>
      <bottom style="medium">
        <color theme="1" tint="0.499980002641678"/>
      </bottom>
    </border>
    <border>
      <left/>
      <right style="thin">
        <color theme="1" tint="0.499980002641678"/>
      </right>
      <top/>
      <bottom style="medium">
        <color theme="1" tint="0.499980002641678"/>
      </bottom>
    </border>
    <border>
      <left style="thin">
        <color theme="1" tint="0.499980002641678"/>
      </left>
      <right/>
      <top/>
      <bottom/>
    </border>
    <border>
      <left/>
      <right style="thin">
        <color theme="1" tint="0.499980002641678"/>
      </right>
      <top/>
      <bottom/>
    </border>
    <border>
      <left/>
      <right/>
      <top/>
      <bottom style="thin">
        <color theme="1" tint="0.499980002641678"/>
      </bottom>
    </border>
    <border>
      <left/>
      <right/>
      <top/>
      <bottom style="medium">
        <color theme="1" tint="0.499980002641678"/>
      </bottom>
    </border>
    <border>
      <left style="thin">
        <color theme="2" tint="-0.498259991407394"/>
      </left>
      <right style="thin">
        <color theme="2" tint="-0.498259991407394"/>
      </right>
      <top/>
      <bottom style="thin">
        <color theme="2" tint="-0.498259991407394"/>
      </bottom>
    </border>
    <border>
      <left/>
      <right/>
      <top/>
      <bottom style="thick">
        <color theme="7"/>
      </bottom>
    </border>
    <border>
      <left style="thick">
        <color theme="7"/>
      </left>
      <right/>
      <top/>
      <bottom style="thick">
        <color theme="7"/>
      </bottom>
    </border>
    <border>
      <left style="thick">
        <color theme="7"/>
      </left>
      <right/>
      <top/>
      <bottom/>
    </border>
    <border>
      <left/>
      <right/>
      <top style="thick">
        <color theme="7"/>
      </top>
      <bottom/>
    </border>
    <border>
      <left style="thick">
        <color theme="7"/>
      </left>
      <right/>
      <top style="thick">
        <color theme="7"/>
      </top>
      <bottom/>
    </border>
    <border>
      <left style="thin">
        <color theme="7"/>
      </left>
      <right style="thin">
        <color theme="7"/>
      </right>
      <top style="thin">
        <color theme="7"/>
      </top>
      <bottom style="thin">
        <color theme="7"/>
      </bottom>
    </border>
    <border>
      <left/>
      <right/>
      <top/>
      <bottom style="thin">
        <color auto="1"/>
      </bottom>
    </border>
    <border>
      <left style="thin">
        <color theme="2" tint="-0.498259991407394"/>
      </left>
      <right style="thin">
        <color theme="2" tint="-0.498259991407394"/>
      </right>
      <top style="thin">
        <color theme="2" tint="-0.498259991407394"/>
      </top>
      <bottom style="thin">
        <color theme="2" tint="-0.498259991407394"/>
      </bottom>
    </border>
    <border>
      <left style="thin">
        <color theme="2" tint="-0.498259991407394"/>
      </left>
      <right style="thin">
        <color theme="2" tint="-0.498259991407394"/>
      </right>
      <top style="thin">
        <color theme="2" tint="-0.498259991407394"/>
      </top>
      <bottom style="thick">
        <color theme="2" tint="-0.498259991407394"/>
      </bottom>
    </border>
    <border>
      <left/>
      <right style="thick">
        <color theme="7"/>
      </right>
      <top/>
      <bottom/>
    </border>
    <border>
      <left style="medium">
        <color theme="4"/>
      </left>
      <right style="medium">
        <color theme="4"/>
      </right>
      <top style="medium">
        <color theme="4"/>
      </top>
      <bottom style="medium">
        <color theme="4"/>
      </bottom>
    </border>
    <border>
      <left style="thin">
        <color theme="0" tint="-0.248229995369911"/>
      </left>
      <right/>
      <top/>
      <bottom/>
    </border>
    <border>
      <left/>
      <right/>
      <top style="thin">
        <color theme="0" tint="-0.248229995369911"/>
      </top>
      <bottom style="thin">
        <color theme="0" tint="-0.248229995369911"/>
      </bottom>
    </border>
    <border>
      <left style="thick">
        <color theme="7"/>
      </left>
      <right style="thick">
        <color theme="7"/>
      </right>
      <top style="thick">
        <color theme="7"/>
      </top>
      <bottom/>
    </border>
    <border>
      <left style="thick">
        <color theme="7"/>
      </left>
      <right style="thick">
        <color theme="7"/>
      </right>
      <top/>
      <bottom/>
    </border>
    <border>
      <left style="thick">
        <color theme="7"/>
      </left>
      <right style="thick">
        <color theme="7"/>
      </right>
      <top/>
      <bottom style="thick">
        <color theme="7"/>
      </bottom>
    </border>
    <border>
      <left style="thick">
        <color theme="5" tint="0.399949997663498"/>
      </left>
      <right style="thick">
        <color theme="5" tint="0.399949997663498"/>
      </right>
      <top style="thick">
        <color theme="5" tint="0.399949997663498"/>
      </top>
      <bottom style="thick">
        <color theme="5" tint="0.399949997663498"/>
      </bottom>
    </border>
    <border>
      <left/>
      <right style="thick">
        <color theme="7"/>
      </right>
      <top/>
      <bottom style="thick">
        <color theme="7"/>
      </bottom>
    </border>
    <border>
      <left style="thin">
        <color theme="0" tint="-0.248229995369911"/>
      </left>
      <right/>
      <top/>
      <bottom style="thick">
        <color theme="0" tint="-0.148249998688698"/>
      </bottom>
    </border>
    <border>
      <left style="thick">
        <color theme="0" tint="-0.148220002651215"/>
      </left>
      <right/>
      <top/>
      <bottom/>
    </border>
    <border>
      <left style="medium">
        <color theme="0" tint="-0.148249998688698"/>
      </left>
      <right style="thick">
        <color theme="4"/>
      </right>
      <top style="thin">
        <color theme="0" tint="-0.148249998688698"/>
      </top>
      <bottom style="thin">
        <color theme="0" tint="-0.148249998688698"/>
      </bottom>
    </border>
    <border>
      <left style="medium">
        <color theme="0" tint="-0.148249998688698"/>
      </left>
      <right style="thick">
        <color theme="4"/>
      </right>
      <top style="thin">
        <color theme="0" tint="-0.148249998688698"/>
      </top>
      <bottom style="thick">
        <color theme="4"/>
      </bottom>
    </border>
    <border>
      <left style="thick">
        <color theme="4"/>
      </left>
      <right/>
      <top style="thick">
        <color theme="4"/>
      </top>
      <bottom/>
    </border>
    <border>
      <left/>
      <right/>
      <top style="thick">
        <color theme="4"/>
      </top>
      <bottom/>
    </border>
    <border>
      <left/>
      <right style="thick">
        <color theme="4"/>
      </right>
      <top style="thick">
        <color theme="4"/>
      </top>
      <bottom/>
    </border>
    <border>
      <left/>
      <right style="medium">
        <color rgb="FF329A8B"/>
      </right>
      <top style="thin">
        <color theme="0" tint="-0.348269999027252"/>
      </top>
      <bottom style="thin">
        <color theme="0" tint="-0.348269999027252"/>
      </bottom>
    </border>
    <border>
      <left style="thin">
        <color theme="0" tint="-0.348269999027252"/>
      </left>
      <right/>
      <top style="thin">
        <color theme="0" tint="-0.348269999027252"/>
      </top>
      <bottom style="thin">
        <color theme="0" tint="-0.348269999027252"/>
      </bottom>
    </border>
    <border>
      <left/>
      <right/>
      <top style="thin">
        <color theme="0" tint="-0.348269999027252"/>
      </top>
      <bottom style="thin">
        <color theme="0" tint="-0.348269999027252"/>
      </bottom>
    </border>
    <border>
      <left/>
      <right/>
      <top style="medium">
        <color auto="1"/>
      </top>
      <bottom/>
    </border>
    <border>
      <left/>
      <right style="thick">
        <color theme="7"/>
      </right>
      <top style="thick">
        <color theme="7"/>
      </top>
      <bottom/>
    </border>
    <border>
      <left/>
      <right/>
      <top style="thick">
        <color theme="0" tint="-0.148220002651215"/>
      </top>
      <bottom style="medium">
        <color theme="0" tint="-0.148190006613731"/>
      </bottom>
    </border>
    <border>
      <left/>
      <right style="thick">
        <color theme="0" tint="-0.148190006613731"/>
      </right>
      <top style="thick">
        <color theme="0" tint="-0.148220002651215"/>
      </top>
      <bottom style="medium">
        <color theme="0" tint="-0.148190006613731"/>
      </bottom>
    </border>
    <border>
      <left/>
      <right style="thick">
        <color theme="0" tint="-0.148190006613731"/>
      </right>
      <top/>
      <bottom/>
    </border>
    <border>
      <left/>
      <right style="thick">
        <color theme="0" tint="-0.148190006613731"/>
      </right>
      <top style="thin">
        <color theme="0" tint="-0.248229995369911"/>
      </top>
      <bottom style="thin">
        <color theme="0" tint="-0.248229995369911"/>
      </bottom>
    </border>
    <border>
      <left style="medium">
        <color theme="0" tint="-0.248229995369911"/>
      </left>
      <right style="thick">
        <color theme="0" tint="-0.148220002651215"/>
      </right>
      <top style="thin">
        <color theme="0" tint="-0.248229995369911"/>
      </top>
      <bottom style="thick">
        <color theme="0" tint="-0.148249998688698"/>
      </bottom>
    </border>
    <border>
      <left/>
      <right style="thick">
        <color theme="0" tint="-0.148249998688698"/>
      </right>
      <top style="thin">
        <color theme="0" tint="-0.248229995369911"/>
      </top>
      <bottom style="thin">
        <color theme="0" tint="-0.248229995369911"/>
      </bottom>
    </border>
    <border>
      <left style="thin">
        <color theme="0" tint="-0.248229995369911"/>
      </left>
      <right style="thin">
        <color theme="0" tint="-0.248229995369911"/>
      </right>
      <top style="thin">
        <color theme="0" tint="-0.248229995369911"/>
      </top>
      <bottom style="thin">
        <color theme="0" tint="-0.248229995369911"/>
      </bottom>
    </border>
    <border>
      <left style="thin">
        <color theme="0" tint="-0.248229995369911"/>
      </left>
      <right style="thick">
        <color theme="0" tint="-0.148249998688698"/>
      </right>
      <top style="thin">
        <color theme="0" tint="-0.248229995369911"/>
      </top>
      <bottom style="thick">
        <color theme="0" tint="-0.148249998688698"/>
      </bottom>
    </border>
    <border>
      <left style="thick">
        <color theme="0" tint="-0.148220002651215"/>
      </left>
      <right/>
      <top style="thick">
        <color theme="0" tint="-0.148220002651215"/>
      </top>
      <bottom style="medium">
        <color theme="0" tint="-0.148190006613731"/>
      </bottom>
    </border>
    <border>
      <left style="medium">
        <color theme="4" tint="0.599960029125214"/>
      </left>
      <right/>
      <top style="medium">
        <color theme="4" tint="0.599960029125214"/>
      </top>
      <bottom/>
    </border>
    <border>
      <left/>
      <right style="medium">
        <color theme="4" tint="0.599960029125214"/>
      </right>
      <top style="medium">
        <color theme="4" tint="0.599960029125214"/>
      </top>
      <bottom/>
    </border>
    <border>
      <left style="medium">
        <color theme="4" tint="0.599960029125214"/>
      </left>
      <right/>
      <top/>
      <bottom/>
    </border>
    <border>
      <left/>
      <right style="medium">
        <color theme="4" tint="0.599960029125214"/>
      </right>
      <top/>
      <bottom/>
    </border>
    <border>
      <left style="medium">
        <color theme="4" tint="0.599960029125214"/>
      </left>
      <right/>
      <top/>
      <bottom style="medium">
        <color theme="4" tint="0.599960029125214"/>
      </bottom>
    </border>
    <border>
      <left/>
      <right/>
      <top/>
      <bottom style="medium">
        <color theme="4" tint="0.599960029125214"/>
      </bottom>
    </border>
    <border>
      <left/>
      <right style="medium">
        <color theme="4" tint="0.599960029125214"/>
      </right>
      <top/>
      <bottom style="medium">
        <color theme="4" tint="0.599960029125214"/>
      </bottom>
    </border>
    <border>
      <left/>
      <right/>
      <top style="medium">
        <color theme="4" tint="0.599960029125214"/>
      </top>
      <bottom/>
    </border>
    <border>
      <left style="medium">
        <color theme="0" tint="-0.148249998688698"/>
      </left>
      <right style="thick">
        <color theme="4"/>
      </right>
      <top style="thin">
        <color theme="0" tint="-0.148249998688698"/>
      </top>
      <bottom/>
    </border>
    <border>
      <left style="thick">
        <color theme="4"/>
      </left>
      <right style="thick">
        <color theme="4"/>
      </right>
      <top/>
      <bottom style="thin">
        <color theme="0" tint="-0.148249998688698"/>
      </bottom>
    </border>
    <border>
      <left style="thick">
        <color theme="4"/>
      </left>
      <right style="thick">
        <color theme="4"/>
      </right>
      <top style="thin">
        <color theme="0" tint="-0.148249998688698"/>
      </top>
      <bottom style="thin">
        <color theme="0" tint="-0.148249998688698"/>
      </bottom>
    </border>
    <border>
      <left style="thick">
        <color theme="4"/>
      </left>
      <right style="thick">
        <color theme="4"/>
      </right>
      <top style="thin">
        <color theme="0" tint="-0.148249998688698"/>
      </top>
      <bottom/>
    </border>
    <border>
      <left style="thick">
        <color theme="4"/>
      </left>
      <right style="thick">
        <color theme="4"/>
      </right>
      <top style="thin">
        <color theme="0" tint="-0.148249998688698"/>
      </top>
      <bottom style="thick">
        <color theme="4"/>
      </bottom>
    </border>
    <border>
      <left style="medium">
        <color theme="0" tint="-0.148220002651215"/>
      </left>
      <right style="medium">
        <color theme="0" tint="-0.148220002651215"/>
      </right>
      <top style="thin">
        <color theme="0" tint="-0.148249998688698"/>
      </top>
      <bottom style="thin">
        <color theme="0" tint="-0.148249998688698"/>
      </bottom>
    </border>
    <border>
      <left style="thick">
        <color theme="4"/>
      </left>
      <right/>
      <top style="thin">
        <color theme="0" tint="-0.148249998688698"/>
      </top>
      <bottom style="thin">
        <color theme="0" tint="-0.148249998688698"/>
      </bottom>
    </border>
    <border>
      <left style="thick">
        <color theme="4"/>
      </left>
      <right/>
      <top style="thin">
        <color theme="0" tint="-0.148249998688698"/>
      </top>
      <bottom style="thick">
        <color theme="4"/>
      </bottom>
    </border>
    <border>
      <left style="medium">
        <color theme="0" tint="-0.148220002651215"/>
      </left>
      <right style="medium">
        <color theme="0" tint="-0.148220002651215"/>
      </right>
      <top style="thin">
        <color theme="0" tint="-0.148249998688698"/>
      </top>
      <bottom style="thick">
        <color theme="4"/>
      </bottom>
    </border>
    <border>
      <left style="thick">
        <color theme="4"/>
      </left>
      <right/>
      <top style="thin">
        <color theme="0" tint="-0.148249998688698"/>
      </top>
      <bottom/>
    </border>
    <border>
      <left style="medium">
        <color theme="0" tint="-0.148220002651215"/>
      </left>
      <right style="medium">
        <color theme="0" tint="-0.148220002651215"/>
      </right>
      <top style="thin">
        <color theme="0" tint="-0.148249998688698"/>
      </top>
      <bottom/>
    </border>
    <border>
      <left style="medium">
        <color theme="0" tint="-0.148220002651215"/>
      </left>
      <right/>
      <top style="thin">
        <color theme="0" tint="-0.148249998688698"/>
      </top>
      <bottom/>
    </border>
    <border>
      <left style="thick">
        <color theme="4"/>
      </left>
      <right style="thick">
        <color theme="4"/>
      </right>
      <top style="thick">
        <color theme="4"/>
      </top>
      <bottom style="thin">
        <color theme="4"/>
      </bottom>
    </border>
    <border>
      <left style="thick">
        <color theme="4"/>
      </left>
      <right/>
      <top style="thick">
        <color theme="4"/>
      </top>
      <bottom style="thin">
        <color theme="0" tint="-0.148249998688698"/>
      </bottom>
    </border>
    <border>
      <left/>
      <right/>
      <top style="thick">
        <color theme="4"/>
      </top>
      <bottom style="thin">
        <color theme="0" tint="-0.148249998688698"/>
      </bottom>
    </border>
    <border>
      <left/>
      <right style="thick">
        <color theme="4"/>
      </right>
      <top style="thick">
        <color theme="4"/>
      </top>
      <bottom style="thin">
        <color theme="0" tint="-0.148249998688698"/>
      </bottom>
    </border>
    <border>
      <left/>
      <right/>
      <top/>
      <bottom style="thick">
        <color theme="4"/>
      </bottom>
    </border>
    <border>
      <left style="medium">
        <color theme="0" tint="-0.148190006613731"/>
      </left>
      <right style="thin">
        <color theme="0" tint="-0.248229995369911"/>
      </right>
      <top style="thin">
        <color theme="0" tint="-0.248229995369911"/>
      </top>
      <bottom style="thin">
        <color theme="0" tint="-0.248229995369911"/>
      </bottom>
    </border>
    <border>
      <left style="medium">
        <color theme="0" tint="-0.148190006613731"/>
      </left>
      <right style="thin">
        <color theme="0" tint="-0.248229995369911"/>
      </right>
      <top style="thin">
        <color theme="0" tint="-0.248229995369911"/>
      </top>
      <bottom style="thick">
        <color theme="0" tint="-0.148249998688698"/>
      </bottom>
    </border>
    <border>
      <left style="thin">
        <color theme="0" tint="-0.248229995369911"/>
      </left>
      <right style="thin">
        <color theme="0" tint="-0.248229995369911"/>
      </right>
      <top style="thin">
        <color theme="0" tint="-0.248229995369911"/>
      </top>
      <bottom style="thick">
        <color theme="0" tint="-0.148249998688698"/>
      </bottom>
    </border>
    <border>
      <left style="thick">
        <color theme="0" tint="-0.148220002651215"/>
      </left>
      <right style="medium">
        <color theme="0" tint="-0.148190006613731"/>
      </right>
      <top style="thin">
        <color theme="0" tint="-0.148190006613731"/>
      </top>
      <bottom style="thin">
        <color theme="0" tint="-0.148190006613731"/>
      </bottom>
    </border>
    <border>
      <left style="thick">
        <color theme="0" tint="-0.148220002651215"/>
      </left>
      <right style="medium">
        <color theme="0" tint="-0.148190006613731"/>
      </right>
      <top style="thin">
        <color theme="0" tint="-0.148190006613731"/>
      </top>
      <bottom style="thick">
        <color theme="0" tint="-0.148190006613731"/>
      </bottom>
    </border>
    <border>
      <left style="thin">
        <color theme="0" tint="-0.248229995369911"/>
      </left>
      <right/>
      <top style="thin">
        <color theme="0" tint="-0.248229995369911"/>
      </top>
      <bottom style="thick">
        <color theme="0" tint="-0.148249998688698"/>
      </bottom>
    </border>
    <border>
      <left style="medium">
        <color theme="0" tint="-0.248229995369911"/>
      </left>
      <right style="thin">
        <color theme="0" tint="-0.248229995369911"/>
      </right>
      <top style="medium">
        <color theme="0" tint="-0.248229995369911"/>
      </top>
      <bottom style="thin">
        <color theme="0" tint="-0.248229995369911"/>
      </bottom>
    </border>
    <border>
      <left style="thin">
        <color theme="0" tint="-0.248229995369911"/>
      </left>
      <right style="medium">
        <color theme="0" tint="-0.248229995369911"/>
      </right>
      <top style="medium">
        <color theme="0" tint="-0.248229995369911"/>
      </top>
      <bottom style="thin">
        <color theme="0" tint="-0.248229995369911"/>
      </bottom>
    </border>
    <border>
      <left style="medium">
        <color theme="0" tint="-0.248229995369911"/>
      </left>
      <right style="thin">
        <color theme="0" tint="-0.248229995369911"/>
      </right>
      <top style="thin">
        <color theme="0" tint="-0.248229995369911"/>
      </top>
      <bottom style="thin">
        <color theme="0" tint="-0.248229995369911"/>
      </bottom>
    </border>
    <border>
      <left style="thin">
        <color theme="0" tint="-0.248229995369911"/>
      </left>
      <right style="medium">
        <color theme="0" tint="-0.248229995369911"/>
      </right>
      <top style="thin">
        <color theme="0" tint="-0.248229995369911"/>
      </top>
      <bottom style="thin">
        <color theme="0" tint="-0.248229995369911"/>
      </bottom>
    </border>
    <border>
      <left style="medium">
        <color theme="0" tint="-0.248229995369911"/>
      </left>
      <right style="thin">
        <color theme="0" tint="-0.248229995369911"/>
      </right>
      <top style="thin">
        <color theme="0" tint="-0.248229995369911"/>
      </top>
      <bottom style="medium">
        <color theme="0" tint="-0.248229995369911"/>
      </bottom>
    </border>
    <border>
      <left style="thin">
        <color theme="0" tint="-0.248229995369911"/>
      </left>
      <right style="medium">
        <color theme="0" tint="-0.248229995369911"/>
      </right>
      <top style="thin">
        <color theme="0" tint="-0.248229995369911"/>
      </top>
      <bottom style="medium">
        <color theme="0" tint="-0.248229995369911"/>
      </bottom>
    </border>
    <border>
      <left style="thin">
        <color theme="2" tint="-0.498259991407394"/>
      </left>
      <right style="thin">
        <color theme="2" tint="-0.0982299968600273"/>
      </right>
      <top style="thin">
        <color theme="2" tint="-0.0982299968600273"/>
      </top>
      <bottom style="thin">
        <color theme="2" tint="-0.0982299968600273"/>
      </bottom>
    </border>
    <border>
      <left style="thin">
        <color theme="2" tint="-0.0982299968600273"/>
      </left>
      <right style="thin">
        <color theme="2" tint="-0.498259991407394"/>
      </right>
      <top style="thin">
        <color theme="2" tint="-0.0982299968600273"/>
      </top>
      <bottom style="thin">
        <color theme="2" tint="-0.0982299968600273"/>
      </bottom>
    </border>
    <border>
      <left style="thick">
        <color theme="4"/>
      </left>
      <right style="thick">
        <color theme="4"/>
      </right>
      <top style="thick">
        <color theme="4"/>
      </top>
      <bottom style="thin">
        <color theme="0" tint="-0.148249998688698"/>
      </bottom>
    </border>
    <border>
      <left style="thick">
        <color theme="4"/>
      </left>
      <right style="thick">
        <color theme="4"/>
      </right>
      <top/>
      <bottom style="thick">
        <color theme="4"/>
      </bottom>
    </border>
    <border>
      <left style="thick">
        <color theme="4"/>
      </left>
      <right/>
      <top/>
      <bottom style="thin">
        <color theme="0" tint="-0.148249998688698"/>
      </bottom>
    </border>
    <border>
      <left/>
      <right style="thick">
        <color theme="4"/>
      </right>
      <top/>
      <bottom style="thin">
        <color theme="0" tint="-0.148249998688698"/>
      </bottom>
    </border>
    <border>
      <left style="thin">
        <color theme="7"/>
      </left>
      <right/>
      <top style="thin">
        <color auto="1"/>
      </top>
      <bottom style="thin">
        <color theme="7"/>
      </bottom>
    </border>
    <border>
      <left/>
      <right/>
      <top style="thin">
        <color auto="1"/>
      </top>
      <bottom style="thin">
        <color theme="7"/>
      </bottom>
    </border>
    <border>
      <left/>
      <right style="thin">
        <color theme="7"/>
      </right>
      <top style="thin">
        <color auto="1"/>
      </top>
      <bottom style="thin">
        <color theme="7"/>
      </bottom>
    </border>
    <border>
      <left style="thin">
        <color theme="7"/>
      </left>
      <right/>
      <top style="thin">
        <color theme="7"/>
      </top>
      <bottom style="thin">
        <color theme="7"/>
      </bottom>
    </border>
    <border>
      <left/>
      <right/>
      <top style="thin">
        <color theme="7"/>
      </top>
      <bottom style="thin">
        <color theme="7"/>
      </bottom>
    </border>
    <border>
      <left/>
      <right style="thin">
        <color theme="7"/>
      </right>
      <top style="thin">
        <color theme="7"/>
      </top>
      <bottom style="thin">
        <color theme="7"/>
      </bottom>
    </border>
    <border>
      <left style="medium">
        <color theme="7"/>
      </left>
      <right/>
      <top style="medium">
        <color theme="7"/>
      </top>
      <bottom/>
    </border>
    <border>
      <left/>
      <right/>
      <top style="medium">
        <color theme="7"/>
      </top>
      <bottom/>
    </border>
    <border>
      <left/>
      <right style="medium">
        <color theme="7"/>
      </right>
      <top style="medium">
        <color theme="7"/>
      </top>
      <bottom/>
    </border>
    <border>
      <left style="medium">
        <color theme="7"/>
      </left>
      <right/>
      <top/>
      <bottom/>
    </border>
    <border>
      <left style="medium">
        <color theme="7"/>
      </left>
      <right/>
      <top/>
      <bottom style="medium">
        <color theme="7"/>
      </bottom>
    </border>
    <border>
      <left/>
      <right/>
      <top/>
      <bottom style="medium">
        <color theme="7"/>
      </bottom>
    </border>
    <border>
      <left/>
      <right style="medium">
        <color theme="7"/>
      </right>
      <top/>
      <bottom style="medium">
        <color theme="7"/>
      </bottom>
    </border>
    <border>
      <left/>
      <right style="medium">
        <color theme="7"/>
      </right>
      <top/>
      <bottom/>
    </border>
    <border>
      <left style="medium">
        <color theme="4"/>
      </left>
      <right/>
      <top style="medium">
        <color theme="4"/>
      </top>
      <bottom/>
    </border>
    <border>
      <left/>
      <right/>
      <top style="medium">
        <color theme="4"/>
      </top>
      <bottom/>
    </border>
    <border>
      <left style="medium">
        <color theme="4"/>
      </left>
      <right/>
      <top/>
      <bottom/>
    </border>
    <border>
      <left style="medium">
        <color theme="4"/>
      </left>
      <right/>
      <top/>
      <bottom style="medium">
        <color theme="4"/>
      </bottom>
    </border>
    <border>
      <left/>
      <right/>
      <top/>
      <bottom style="medium">
        <color theme="4"/>
      </bottom>
    </border>
    <border>
      <left style="medium">
        <color theme="5" tint="0.399949997663498"/>
      </left>
      <right style="medium">
        <color theme="5" tint="0.399949997663498"/>
      </right>
      <top style="medium">
        <color theme="5" tint="0.399949997663498"/>
      </top>
      <bottom style="medium">
        <color theme="5" tint="0.399949997663498"/>
      </bottom>
    </border>
    <border>
      <left style="medium">
        <color theme="9" tint="-0.248229995369911"/>
      </left>
      <right style="medium">
        <color theme="9" tint="-0.248229995369911"/>
      </right>
      <top style="medium">
        <color theme="9" tint="-0.248229995369911"/>
      </top>
      <bottom style="medium">
        <color theme="9" tint="-0.248229995369911"/>
      </bottom>
    </border>
    <border>
      <left style="thick">
        <color theme="4" tint="-0.248229995369911"/>
      </left>
      <right style="medium">
        <color theme="2" tint="-0.248229995369911"/>
      </right>
      <top/>
      <bottom style="thin">
        <color theme="2" tint="-0.0982299968600273"/>
      </bottom>
    </border>
    <border>
      <left style="thick">
        <color theme="4" tint="-0.248229995369911"/>
      </left>
      <right style="medium">
        <color theme="2" tint="-0.248229995369911"/>
      </right>
      <top style="thin">
        <color theme="2" tint="-0.0982299968600273"/>
      </top>
      <bottom style="thick">
        <color theme="4" tint="-0.248229995369911"/>
      </bottom>
    </border>
    <border>
      <left style="medium">
        <color theme="2" tint="-0.248229995369911"/>
      </left>
      <right style="thin">
        <color theme="2" tint="-0.248229995369911"/>
      </right>
      <top style="thick">
        <color theme="4" tint="-0.248229995369911"/>
      </top>
      <bottom/>
    </border>
    <border>
      <left style="thin">
        <color theme="2" tint="-0.248229995369911"/>
      </left>
      <right style="thin">
        <color theme="2" tint="-0.248229995369911"/>
      </right>
      <top style="thick">
        <color theme="4" tint="-0.248229995369911"/>
      </top>
      <bottom/>
    </border>
    <border>
      <left style="thin">
        <color theme="2" tint="-0.248229995369911"/>
      </left>
      <right style="thick">
        <color theme="4" tint="-0.248229995369911"/>
      </right>
      <top style="thick">
        <color theme="4" tint="-0.248229995369911"/>
      </top>
      <bottom/>
    </border>
    <border>
      <left style="medium">
        <color theme="2" tint="-0.248229995369911"/>
      </left>
      <right style="thin">
        <color theme="2" tint="-0.248229995369911"/>
      </right>
      <top/>
      <bottom/>
    </border>
    <border>
      <left style="thin">
        <color theme="2" tint="-0.248229995369911"/>
      </left>
      <right style="thin">
        <color theme="2" tint="-0.248229995369911"/>
      </right>
      <top/>
      <bottom/>
    </border>
    <border>
      <left style="thin">
        <color theme="2" tint="-0.248229995369911"/>
      </left>
      <right style="thick">
        <color theme="4" tint="-0.248229995369911"/>
      </right>
      <top/>
      <bottom/>
    </border>
    <border>
      <left style="medium">
        <color theme="2" tint="-0.248229995369911"/>
      </left>
      <right style="thin">
        <color theme="2" tint="-0.248229995369911"/>
      </right>
      <top/>
      <bottom style="medium">
        <color theme="4" tint="-0.248229995369911"/>
      </bottom>
    </border>
    <border>
      <left style="thin">
        <color theme="2" tint="-0.248229995369911"/>
      </left>
      <right style="thin">
        <color theme="2" tint="-0.248229995369911"/>
      </right>
      <top/>
      <bottom style="medium">
        <color theme="4" tint="-0.248229995369911"/>
      </bottom>
    </border>
    <border>
      <left style="thin">
        <color theme="2" tint="-0.248229995369911"/>
      </left>
      <right style="thick">
        <color theme="4" tint="-0.248229995369911"/>
      </right>
      <top/>
      <bottom style="medium">
        <color theme="4" tint="-0.248229995369911"/>
      </bottom>
    </border>
    <border>
      <left style="medium">
        <color theme="2" tint="-0.248229995369911"/>
      </left>
      <right style="thin">
        <color theme="2" tint="-0.248229995369911"/>
      </right>
      <top/>
      <bottom style="thin">
        <color theme="2" tint="-0.0982299968600273"/>
      </bottom>
    </border>
    <border>
      <left style="thin">
        <color theme="2" tint="-0.248229995369911"/>
      </left>
      <right style="thin">
        <color theme="2" tint="-0.248229995369911"/>
      </right>
      <top/>
      <bottom style="thin">
        <color theme="2" tint="-0.0982299968600273"/>
      </bottom>
    </border>
    <border>
      <left style="thin">
        <color theme="2" tint="-0.248229995369911"/>
      </left>
      <right style="thick">
        <color theme="4" tint="-0.248229995369911"/>
      </right>
      <top/>
      <bottom style="thin">
        <color theme="2" tint="-0.0982299968600273"/>
      </bottom>
    </border>
    <border>
      <left style="medium">
        <color theme="2" tint="-0.248229995369911"/>
      </left>
      <right style="thin">
        <color theme="2" tint="-0.248229995369911"/>
      </right>
      <top style="thin">
        <color theme="2" tint="-0.0982299968600273"/>
      </top>
      <bottom style="thick">
        <color theme="4" tint="-0.248229995369911"/>
      </bottom>
    </border>
    <border>
      <left style="thin">
        <color theme="2" tint="-0.248229995369911"/>
      </left>
      <right style="thin">
        <color theme="2" tint="-0.248229995369911"/>
      </right>
      <top style="thin">
        <color theme="2" tint="-0.0982299968600273"/>
      </top>
      <bottom style="thick">
        <color theme="4" tint="-0.248229995369911"/>
      </bottom>
    </border>
    <border>
      <left style="thin">
        <color theme="2" tint="-0.248229995369911"/>
      </left>
      <right style="thick">
        <color theme="4" tint="-0.248229995369911"/>
      </right>
      <top style="thin">
        <color theme="2" tint="-0.0982299968600273"/>
      </top>
      <bottom style="thick">
        <color theme="4" tint="-0.248229995369911"/>
      </bottom>
    </border>
    <border>
      <left/>
      <right/>
      <top style="thick">
        <color theme="7"/>
      </top>
      <bottom style="thin">
        <color theme="2" tint="-0.248229995369911"/>
      </bottom>
    </border>
    <border>
      <left/>
      <right style="thick">
        <color theme="7"/>
      </right>
      <top style="thick">
        <color theme="7"/>
      </top>
      <bottom style="thin">
        <color theme="2" tint="-0.248229995369911"/>
      </bottom>
    </border>
    <border>
      <left/>
      <right/>
      <top style="thin">
        <color theme="2" tint="-0.248229995369911"/>
      </top>
      <bottom style="thin">
        <color theme="2" tint="-0.248229995369911"/>
      </bottom>
    </border>
    <border>
      <left/>
      <right style="thick">
        <color theme="7"/>
      </right>
      <top style="thin">
        <color theme="2" tint="-0.248229995369911"/>
      </top>
      <bottom style="thin">
        <color theme="2" tint="-0.248229995369911"/>
      </bottom>
    </border>
    <border>
      <left/>
      <right/>
      <top style="thin">
        <color theme="2" tint="-0.248229995369911"/>
      </top>
      <bottom style="thick">
        <color theme="7"/>
      </bottom>
    </border>
    <border>
      <left/>
      <right style="thick">
        <color theme="7"/>
      </right>
      <top style="thin">
        <color theme="2" tint="-0.248229995369911"/>
      </top>
      <bottom style="thick">
        <color theme="7"/>
      </bottom>
    </border>
    <border>
      <left style="thick">
        <color theme="7"/>
      </left>
      <right style="thin">
        <color theme="2" tint="-0.248229995369911"/>
      </right>
      <top style="thick">
        <color theme="7"/>
      </top>
      <bottom style="thin">
        <color theme="2" tint="-0.248229995369911"/>
      </bottom>
    </border>
    <border>
      <left style="thin">
        <color theme="2" tint="-0.248229995369911"/>
      </left>
      <right style="thin">
        <color theme="2" tint="-0.248229995369911"/>
      </right>
      <top style="thick">
        <color theme="7"/>
      </top>
      <bottom style="thin">
        <color theme="2" tint="-0.248229995369911"/>
      </bottom>
    </border>
    <border>
      <left style="thick">
        <color theme="7"/>
      </left>
      <right style="thin">
        <color theme="2" tint="-0.248229995369911"/>
      </right>
      <top style="thin">
        <color theme="2" tint="-0.248229995369911"/>
      </top>
      <bottom style="thin">
        <color theme="2" tint="-0.248229995369911"/>
      </bottom>
    </border>
    <border>
      <left style="thin">
        <color theme="2" tint="-0.248229995369911"/>
      </left>
      <right style="thin">
        <color theme="2" tint="-0.248229995369911"/>
      </right>
      <top style="thin">
        <color theme="2" tint="-0.248229995369911"/>
      </top>
      <bottom style="thin">
        <color theme="2" tint="-0.248229995369911"/>
      </bottom>
    </border>
    <border>
      <left style="thick">
        <color theme="7"/>
      </left>
      <right style="thin">
        <color theme="2" tint="-0.248229995369911"/>
      </right>
      <top style="thin">
        <color theme="2" tint="-0.248229995369911"/>
      </top>
      <bottom style="thick">
        <color theme="7"/>
      </bottom>
    </border>
    <border>
      <left style="thin">
        <color theme="2" tint="-0.248229995369911"/>
      </left>
      <right style="thin">
        <color theme="2" tint="-0.248229995369911"/>
      </right>
      <top style="thin">
        <color theme="2" tint="-0.248229995369911"/>
      </top>
      <bottom style="thick">
        <color theme="7"/>
      </bottom>
    </border>
    <border>
      <left style="thin">
        <color theme="2" tint="-0.248229995369911"/>
      </left>
      <right/>
      <top style="thick">
        <color theme="7"/>
      </top>
      <bottom style="thin">
        <color theme="2" tint="-0.248229995369911"/>
      </bottom>
    </border>
    <border>
      <left style="thin">
        <color theme="2" tint="-0.248229995369911"/>
      </left>
      <right/>
      <top style="thin">
        <color theme="2" tint="-0.248229995369911"/>
      </top>
      <bottom style="thin">
        <color theme="2" tint="-0.248229995369911"/>
      </bottom>
    </border>
    <border>
      <left style="thin">
        <color theme="2" tint="-0.248229995369911"/>
      </left>
      <right/>
      <top style="thin">
        <color theme="2" tint="-0.248229995369911"/>
      </top>
      <bottom style="thick">
        <color theme="7"/>
      </bottom>
    </border>
    <border>
      <left/>
      <right style="thin">
        <color theme="2" tint="-0.248229995369911"/>
      </right>
      <top style="thick">
        <color theme="7"/>
      </top>
      <bottom style="thin">
        <color theme="2" tint="-0.248229995369911"/>
      </bottom>
    </border>
    <border>
      <left/>
      <right style="thin">
        <color theme="2" tint="-0.248229995369911"/>
      </right>
      <top style="thin">
        <color theme="2" tint="-0.248229995369911"/>
      </top>
      <bottom style="thin">
        <color theme="2" tint="-0.248229995369911"/>
      </bottom>
    </border>
    <border>
      <left/>
      <right style="thin">
        <color theme="2" tint="-0.248229995369911"/>
      </right>
      <top style="thin">
        <color theme="2" tint="-0.248229995369911"/>
      </top>
      <bottom style="thick">
        <color theme="7"/>
      </bottom>
    </border>
    <border>
      <left style="thin">
        <color theme="2" tint="-0.248229995369911"/>
      </left>
      <right style="thick">
        <color theme="7"/>
      </right>
      <top style="thick">
        <color theme="7"/>
      </top>
      <bottom style="thin">
        <color theme="2" tint="-0.248229995369911"/>
      </bottom>
    </border>
    <border>
      <left style="thin">
        <color theme="2" tint="-0.248229995369911"/>
      </left>
      <right style="thick">
        <color theme="7"/>
      </right>
      <top style="thin">
        <color theme="2" tint="-0.248229995369911"/>
      </top>
      <bottom style="thin">
        <color theme="2" tint="-0.248229995369911"/>
      </bottom>
    </border>
    <border>
      <left style="thin">
        <color theme="2" tint="-0.248229995369911"/>
      </left>
      <right style="thick">
        <color theme="7"/>
      </right>
      <top style="thin">
        <color theme="2" tint="-0.248229995369911"/>
      </top>
      <bottom style="thick">
        <color theme="7"/>
      </bottom>
    </border>
    <border>
      <left style="thin">
        <color theme="1" tint="0.499980002641678"/>
      </left>
      <right style="thin">
        <color theme="0"/>
      </right>
      <top/>
      <bottom style="medium">
        <color theme="1" tint="0.499980002641678"/>
      </bottom>
    </border>
    <border>
      <left style="thin">
        <color theme="1" tint="0.499980002641678"/>
      </left>
      <right style="thin">
        <color theme="1" tint="0.499980002641678"/>
      </right>
      <top/>
      <bottom/>
    </border>
    <border>
      <left style="medium">
        <color theme="1" tint="0.499980002641678"/>
      </left>
      <right/>
      <top/>
      <bottom/>
    </border>
    <border>
      <left style="thin">
        <color theme="1" tint="0.499980002641678"/>
      </left>
      <right/>
      <top style="thin">
        <color theme="1" tint="0.499980002641678"/>
      </top>
      <bottom style="thin">
        <color theme="1" tint="0.499980002641678"/>
      </bottom>
    </border>
    <border>
      <left/>
      <right style="thin">
        <color theme="1" tint="0.499980002641678"/>
      </right>
      <top style="thin">
        <color theme="1" tint="0.499980002641678"/>
      </top>
      <bottom style="thin">
        <color theme="1" tint="0.499980002641678"/>
      </bottom>
    </border>
    <border>
      <left style="thin">
        <color theme="2" tint="-0.498259991407394"/>
      </left>
      <right style="thin">
        <color theme="2" tint="-0.498259991407394"/>
      </right>
      <top style="thin">
        <color theme="1" tint="0.499980002641678"/>
      </top>
      <bottom style="thin">
        <color theme="1" tint="0.499980002641678"/>
      </bottom>
    </border>
    <border>
      <left style="thin">
        <color theme="2" tint="-0.498259991407394"/>
      </left>
      <right style="thin">
        <color theme="2" tint="-0.498259991407394"/>
      </right>
      <top style="thin">
        <color theme="2" tint="-0.498259991407394"/>
      </top>
      <bottom style="medium">
        <color theme="2" tint="-0.498259991407394"/>
      </bottom>
    </border>
    <border>
      <left style="medium">
        <color rgb="FF8C1737"/>
      </left>
      <right/>
      <top style="medium">
        <color rgb="FF8C1737"/>
      </top>
      <bottom style="medium">
        <color rgb="FF8C1737"/>
      </bottom>
    </border>
    <border>
      <left/>
      <right/>
      <top style="medium">
        <color rgb="FFDE500A"/>
      </top>
      <bottom style="medium">
        <color rgb="FFDE500A"/>
      </bottom>
    </border>
    <border>
      <left/>
      <right style="medium">
        <color rgb="FFDE500A"/>
      </right>
      <top style="medium">
        <color rgb="FFDE500A"/>
      </top>
      <bottom style="medium">
        <color rgb="FFDE500A"/>
      </bottom>
    </border>
    <border>
      <left style="thin">
        <color theme="0" tint="-0.248229995369911"/>
      </left>
      <right style="thin">
        <color theme="0" tint="-0.248229995369911"/>
      </right>
      <top/>
      <bottom style="thin">
        <color theme="0" tint="-0.248229995369911"/>
      </bottom>
    </border>
    <border>
      <left style="thin">
        <color theme="0" tint="-0.248229995369911"/>
      </left>
      <right style="thin">
        <color theme="0" tint="-0.248229995369911"/>
      </right>
      <top style="thin">
        <color theme="0" tint="-0.248229995369911"/>
      </top>
      <bottom/>
    </border>
    <border>
      <left style="thin">
        <color theme="0" tint="-0.248229995369911"/>
      </left>
      <right style="thick">
        <color theme="0" tint="-0.148249998688698"/>
      </right>
      <top style="thin">
        <color theme="0" tint="-0.248229995369911"/>
      </top>
      <bottom style="thin">
        <color theme="0" tint="-0.248229995369911"/>
      </bottom>
    </border>
    <border>
      <left/>
      <right/>
      <top style="medium">
        <color rgb="FF789A0A"/>
      </top>
      <bottom style="thin">
        <color theme="0" tint="-0.348269999027252"/>
      </bottom>
    </border>
    <border>
      <left/>
      <right/>
      <top style="thin">
        <color theme="0" tint="-0.348269999027252"/>
      </top>
      <bottom style="medium">
        <color rgb="FF789A0A"/>
      </bottom>
    </border>
    <border>
      <left style="medium">
        <color rgb="FF789A0A"/>
      </left>
      <right style="thin">
        <color rgb="FF789A0A"/>
      </right>
      <top style="medium">
        <color rgb="FF789A0A"/>
      </top>
      <bottom style="thin">
        <color theme="0" tint="-0.348269999027252"/>
      </bottom>
    </border>
    <border>
      <left style="thin">
        <color rgb="FF789A0A"/>
      </left>
      <right style="thin">
        <color rgb="FF789A0A"/>
      </right>
      <top style="medium">
        <color rgb="FF789A0A"/>
      </top>
      <bottom style="thin">
        <color theme="0" tint="-0.348269999027252"/>
      </bottom>
    </border>
    <border>
      <left style="medium">
        <color rgb="FF789A0A"/>
      </left>
      <right style="thin">
        <color rgb="FF789A0A"/>
      </right>
      <top style="thin">
        <color theme="0" tint="-0.348269999027252"/>
      </top>
      <bottom style="thin">
        <color theme="0" tint="-0.348269999027252"/>
      </bottom>
    </border>
    <border>
      <left style="thin">
        <color rgb="FF789A0A"/>
      </left>
      <right style="thin">
        <color rgb="FF789A0A"/>
      </right>
      <top style="thin">
        <color theme="0" tint="-0.348269999027252"/>
      </top>
      <bottom style="thin">
        <color theme="0" tint="-0.348269999027252"/>
      </bottom>
    </border>
    <border>
      <left style="medium">
        <color rgb="FF789A0A"/>
      </left>
      <right style="thin">
        <color rgb="FF789A0A"/>
      </right>
      <top style="thin">
        <color theme="0" tint="-0.348269999027252"/>
      </top>
      <bottom style="medium">
        <color rgb="FF789A0A"/>
      </bottom>
    </border>
    <border>
      <left style="thin">
        <color rgb="FF789A0A"/>
      </left>
      <right style="thin">
        <color rgb="FF789A0A"/>
      </right>
      <top style="thin">
        <color theme="0" tint="-0.348269999027252"/>
      </top>
      <bottom style="medium">
        <color rgb="FF789A0A"/>
      </bottom>
    </border>
    <border>
      <left style="thin">
        <color rgb="FF789A0A"/>
      </left>
      <right/>
      <top style="medium">
        <color rgb="FF789A0A"/>
      </top>
      <bottom style="thin">
        <color theme="0" tint="-0.348269999027252"/>
      </bottom>
    </border>
    <border>
      <left style="thin">
        <color rgb="FF789A0A"/>
      </left>
      <right/>
      <top style="thin">
        <color theme="0" tint="-0.348269999027252"/>
      </top>
      <bottom style="thin">
        <color theme="0" tint="-0.348269999027252"/>
      </bottom>
    </border>
    <border>
      <left style="thin">
        <color rgb="FF789A0A"/>
      </left>
      <right/>
      <top style="thin">
        <color theme="0" tint="-0.348269999027252"/>
      </top>
      <bottom style="medium">
        <color rgb="FF789A0A"/>
      </bottom>
    </border>
    <border>
      <left/>
      <right style="medium">
        <color rgb="FF789A0A"/>
      </right>
      <top style="medium">
        <color rgb="FF789A0A"/>
      </top>
      <bottom style="thin">
        <color theme="0" tint="-0.348269999027252"/>
      </bottom>
    </border>
    <border>
      <left/>
      <right style="medium">
        <color rgb="FF789A0A"/>
      </right>
      <top style="thin">
        <color theme="0" tint="-0.348269999027252"/>
      </top>
      <bottom style="thin">
        <color theme="0" tint="-0.348269999027252"/>
      </bottom>
    </border>
    <border>
      <left/>
      <right style="medium">
        <color rgb="FF789A0A"/>
      </right>
      <top style="thin">
        <color theme="0" tint="-0.348269999027252"/>
      </top>
      <bottom style="medium">
        <color rgb="FF789A0A"/>
      </bottom>
    </border>
    <border>
      <left style="thin">
        <color rgb="FF789A0A"/>
      </left>
      <right style="medium">
        <color rgb="FF789A0A"/>
      </right>
      <top style="thin">
        <color theme="0" tint="-0.348269999027252"/>
      </top>
      <bottom style="thin">
        <color theme="0" tint="-0.348269999027252"/>
      </bottom>
    </border>
    <border>
      <left style="thin">
        <color rgb="FF789A0A"/>
      </left>
      <right style="medium">
        <color rgb="FF789A0A"/>
      </right>
      <top style="medium">
        <color rgb="FF789A0A"/>
      </top>
      <bottom style="thin">
        <color theme="0" tint="-0.348269999027252"/>
      </bottom>
    </border>
    <border>
      <left style="thin">
        <color rgb="FF789A0A"/>
      </left>
      <right style="medium">
        <color rgb="FF789A0A"/>
      </right>
      <top style="thin">
        <color theme="0" tint="-0.348269999027252"/>
      </top>
      <bottom style="medium">
        <color rgb="FF789A0A"/>
      </bottom>
    </border>
    <border>
      <left style="thin">
        <color theme="2" tint="-0.248229995369911"/>
      </left>
      <right/>
      <top/>
      <bottom/>
    </border>
    <border>
      <left/>
      <right style="thin">
        <color theme="2" tint="-0.248229995369911"/>
      </right>
      <top/>
      <bottom/>
    </border>
    <border>
      <left style="thin">
        <color theme="2" tint="-0.248229995369911"/>
      </left>
      <right/>
      <top/>
      <bottom style="thin">
        <color theme="2" tint="-0.248229995369911"/>
      </bottom>
    </border>
    <border>
      <left/>
      <right/>
      <top/>
      <bottom style="thin">
        <color theme="2" tint="-0.248229995369911"/>
      </bottom>
    </border>
    <border>
      <left/>
      <right style="thin">
        <color theme="2" tint="-0.248229995369911"/>
      </right>
      <top/>
      <bottom style="thin">
        <color theme="2" tint="-0.248229995369911"/>
      </bottom>
    </border>
    <border>
      <left style="medium">
        <color theme="2" tint="-0.498259991407394"/>
      </left>
      <right style="thin">
        <color theme="2" tint="-0.498259991407394"/>
      </right>
      <top style="thin">
        <color theme="2" tint="-0.0982299968600273"/>
      </top>
      <bottom style="thin">
        <color theme="2" tint="-0.0982299968600273"/>
      </bottom>
    </border>
    <border>
      <left style="thin">
        <color theme="2" tint="-0.498259991407394"/>
      </left>
      <right style="thin">
        <color theme="2" tint="-0.498259991407394"/>
      </right>
      <top style="thin">
        <color theme="2" tint="-0.0982299968600273"/>
      </top>
      <bottom style="thin">
        <color theme="2" tint="-0.0982299968600273"/>
      </bottom>
    </border>
    <border>
      <left style="thin">
        <color theme="2" tint="-0.498259991407394"/>
      </left>
      <right style="medium">
        <color theme="2" tint="-0.498259991407394"/>
      </right>
      <top style="thin">
        <color theme="2" tint="-0.0982299968600273"/>
      </top>
      <bottom style="thin">
        <color theme="2" tint="-0.0982299968600273"/>
      </bottom>
    </border>
    <border>
      <left style="medium">
        <color theme="2" tint="-0.498259991407394"/>
      </left>
      <right style="thin">
        <color theme="2" tint="-0.498259991407394"/>
      </right>
      <top style="thin">
        <color theme="2" tint="-0.0982299968600273"/>
      </top>
      <bottom style="medium">
        <color theme="2" tint="-0.498259991407394"/>
      </bottom>
    </border>
    <border>
      <left style="thin">
        <color theme="2" tint="-0.498259991407394"/>
      </left>
      <right style="thin">
        <color theme="2" tint="-0.498259991407394"/>
      </right>
      <top style="thin">
        <color theme="2" tint="-0.0982299968600273"/>
      </top>
      <bottom style="medium">
        <color theme="2" tint="-0.498259991407394"/>
      </bottom>
    </border>
    <border>
      <left style="thin">
        <color theme="2" tint="-0.498259991407394"/>
      </left>
      <right style="medium">
        <color theme="2" tint="-0.498259991407394"/>
      </right>
      <top style="thin">
        <color theme="2" tint="-0.0982299968600273"/>
      </top>
      <bottom style="medium">
        <color theme="2" tint="-0.498259991407394"/>
      </bottom>
    </border>
    <border>
      <left style="medium">
        <color theme="2" tint="-0.498259991407394"/>
      </left>
      <right style="thin">
        <color theme="2" tint="-0.498259991407394"/>
      </right>
      <top/>
      <bottom style="thin">
        <color theme="2" tint="-0.0982299968600273"/>
      </bottom>
    </border>
    <border>
      <left style="thin">
        <color theme="2" tint="-0.498259991407394"/>
      </left>
      <right style="thin">
        <color theme="2" tint="-0.498259991407394"/>
      </right>
      <top/>
      <bottom style="thin">
        <color theme="2" tint="-0.0982299968600273"/>
      </bottom>
    </border>
    <border>
      <left style="thin">
        <color theme="2" tint="-0.498259991407394"/>
      </left>
      <right style="medium">
        <color theme="2" tint="-0.498259991407394"/>
      </right>
      <top/>
      <bottom style="thin">
        <color theme="2" tint="-0.0982299968600273"/>
      </bottom>
    </border>
    <border>
      <left style="medium">
        <color theme="2" tint="-0.498259991407394"/>
      </left>
      <right style="thin">
        <color theme="2" tint="-0.498259991407394"/>
      </right>
      <top style="medium">
        <color theme="2" tint="-0.498259991407394"/>
      </top>
      <bottom style="thin">
        <color theme="2" tint="-0.498259991407394"/>
      </bottom>
    </border>
    <border>
      <left style="thin">
        <color theme="2" tint="-0.498259991407394"/>
      </left>
      <right style="medium">
        <color theme="2" tint="-0.498259991407394"/>
      </right>
      <top style="medium">
        <color theme="2" tint="-0.498259991407394"/>
      </top>
      <bottom style="thin">
        <color theme="2" tint="-0.498259991407394"/>
      </bottom>
    </border>
    <border>
      <left/>
      <right style="medium">
        <color theme="4"/>
      </right>
      <top style="medium">
        <color theme="4"/>
      </top>
      <bottom/>
    </border>
    <border>
      <left/>
      <right style="medium">
        <color theme="4"/>
      </right>
      <top/>
      <bottom/>
    </border>
    <border>
      <left/>
      <right style="medium">
        <color theme="4"/>
      </right>
      <top/>
      <bottom style="medium">
        <color theme="4"/>
      </bottom>
    </border>
    <border>
      <left style="medium">
        <color rgb="FF789A0A"/>
      </left>
      <right style="thin">
        <color rgb="FF789A0A"/>
      </right>
      <top style="medium">
        <color rgb="FF789A0A"/>
      </top>
      <bottom style="thin">
        <color theme="2" tint="-0.248229995369911"/>
      </bottom>
    </border>
    <border>
      <left style="thin">
        <color rgb="FF789A0A"/>
      </left>
      <right style="medium">
        <color rgb="FF789A0A"/>
      </right>
      <top style="medium">
        <color rgb="FF789A0A"/>
      </top>
      <bottom style="thin">
        <color theme="2" tint="-0.248229995369911"/>
      </bottom>
    </border>
    <border>
      <left style="medium">
        <color rgb="FF789A0A"/>
      </left>
      <right style="thin">
        <color rgb="FF789A0A"/>
      </right>
      <top style="thin">
        <color theme="2" tint="-0.248229995369911"/>
      </top>
      <bottom style="thin">
        <color theme="2" tint="-0.248229995369911"/>
      </bottom>
    </border>
    <border>
      <left style="thin">
        <color rgb="FF789A0A"/>
      </left>
      <right style="medium">
        <color rgb="FF789A0A"/>
      </right>
      <top style="thin">
        <color theme="2" tint="-0.248229995369911"/>
      </top>
      <bottom style="thin">
        <color theme="2" tint="-0.248229995369911"/>
      </bottom>
    </border>
    <border>
      <left style="medium">
        <color rgb="FF789A0A"/>
      </left>
      <right style="thin">
        <color rgb="FF789A0A"/>
      </right>
      <top style="thin">
        <color theme="2" tint="-0.248229995369911"/>
      </top>
      <bottom style="medium">
        <color rgb="FF789A0A"/>
      </bottom>
    </border>
    <border>
      <left style="thin">
        <color rgb="FF789A0A"/>
      </left>
      <right style="medium">
        <color rgb="FF789A0A"/>
      </right>
      <top style="thin">
        <color theme="2" tint="-0.248229995369911"/>
      </top>
      <bottom style="medium">
        <color rgb="FF789A0A"/>
      </bottom>
    </border>
    <border>
      <left style="thin">
        <color rgb="FFFCC99A"/>
      </left>
      <right/>
      <top/>
      <bottom/>
    </border>
    <border>
      <left style="thin">
        <color rgb="FFFCC99A"/>
      </left>
      <right/>
      <top/>
      <bottom style="thin">
        <color rgb="FFFCC99A"/>
      </bottom>
    </border>
    <border>
      <left/>
      <right style="thin">
        <color rgb="FFFCC99A"/>
      </right>
      <top/>
      <bottom/>
    </border>
    <border>
      <left/>
      <right style="thin">
        <color rgb="FFFCC99A"/>
      </right>
      <top/>
      <bottom style="thin">
        <color rgb="FFFCC99A"/>
      </bottom>
    </border>
    <border>
      <left style="thin">
        <color rgb="FFFCC99A"/>
      </left>
      <right/>
      <top style="thin">
        <color rgb="FFFCC99A"/>
      </top>
      <bottom/>
    </border>
    <border>
      <left/>
      <right style="thin">
        <color rgb="FFFCC99A"/>
      </right>
      <top style="thin">
        <color rgb="FFFCC99A"/>
      </top>
      <bottom/>
    </border>
    <border>
      <left style="thin">
        <color theme="2" tint="-0.498259991407394"/>
      </left>
      <right/>
      <top style="thin">
        <color theme="2" tint="-0.498259991407394"/>
      </top>
      <bottom style="thin">
        <color theme="2" tint="-0.498259991407394"/>
      </bottom>
    </border>
    <border>
      <left/>
      <right style="thin">
        <color theme="2" tint="-0.498259991407394"/>
      </right>
      <top style="thin">
        <color theme="2" tint="-0.498259991407394"/>
      </top>
      <bottom style="thin">
        <color theme="2" tint="-0.498259991407394"/>
      </bottom>
    </border>
    <border>
      <left style="thick">
        <color theme="2" tint="-0.248229995369911"/>
      </left>
      <right/>
      <top style="thick">
        <color theme="2" tint="-0.248229995369911"/>
      </top>
      <bottom style="thin">
        <color theme="2" tint="-0.0982299968600273"/>
      </bottom>
    </border>
    <border>
      <left/>
      <right/>
      <top style="thick">
        <color theme="2" tint="-0.248229995369911"/>
      </top>
      <bottom style="thin">
        <color theme="2" tint="-0.0982299968600273"/>
      </bottom>
    </border>
    <border>
      <left/>
      <right style="thin">
        <color theme="2" tint="-0.0982299968600273"/>
      </right>
      <top style="thick">
        <color theme="2" tint="-0.248229995369911"/>
      </top>
      <bottom style="thin">
        <color theme="2" tint="-0.0982299968600273"/>
      </bottom>
    </border>
    <border>
      <left style="thin">
        <color theme="2" tint="-0.0982299968600273"/>
      </left>
      <right style="thin">
        <color theme="2" tint="-0.0982299968600273"/>
      </right>
      <top style="thick">
        <color theme="2" tint="-0.248229995369911"/>
      </top>
      <bottom style="thin">
        <color theme="2" tint="-0.0982299968600273"/>
      </bottom>
    </border>
    <border>
      <left style="thin">
        <color theme="2" tint="-0.0982299968600273"/>
      </left>
      <right style="thick">
        <color theme="2" tint="-0.248229995369911"/>
      </right>
      <top style="thick">
        <color theme="2" tint="-0.248229995369911"/>
      </top>
      <bottom style="thin">
        <color theme="2" tint="-0.0982299968600273"/>
      </bottom>
    </border>
    <border>
      <left style="thick">
        <color theme="2" tint="-0.248229995369911"/>
      </left>
      <right/>
      <top style="thin">
        <color theme="2" tint="-0.0982299968600273"/>
      </top>
      <bottom style="thin">
        <color theme="2" tint="-0.0982299968600273"/>
      </bottom>
    </border>
    <border>
      <left/>
      <right/>
      <top style="thin">
        <color theme="2" tint="-0.0982299968600273"/>
      </top>
      <bottom style="thin">
        <color theme="2" tint="-0.0982299968600273"/>
      </bottom>
    </border>
    <border>
      <left/>
      <right style="thick">
        <color theme="2" tint="-0.248229995369911"/>
      </right>
      <top style="thin">
        <color theme="2" tint="-0.0982299968600273"/>
      </top>
      <bottom style="thin">
        <color theme="2" tint="-0.0982299968600273"/>
      </bottom>
    </border>
    <border>
      <left style="thick">
        <color theme="2" tint="-0.248229995369911"/>
      </left>
      <right style="thin">
        <color theme="2" tint="-0.0982299968600273"/>
      </right>
      <top style="thin">
        <color theme="2" tint="-0.0982299968600273"/>
      </top>
      <bottom style="thin">
        <color theme="2" tint="-0.0982299968600273"/>
      </bottom>
    </border>
    <border>
      <left style="thin">
        <color theme="2" tint="-0.0982299968600273"/>
      </left>
      <right style="thin">
        <color theme="2" tint="-0.0982299968600273"/>
      </right>
      <top style="thin">
        <color theme="2" tint="-0.0982299968600273"/>
      </top>
      <bottom style="thin">
        <color theme="2" tint="-0.0982299968600273"/>
      </bottom>
    </border>
    <border>
      <left style="thin">
        <color theme="2" tint="-0.0982299968600273"/>
      </left>
      <right style="thick">
        <color theme="2" tint="-0.248229995369911"/>
      </right>
      <top style="thin">
        <color theme="2" tint="-0.0982299968600273"/>
      </top>
      <bottom style="thin">
        <color theme="2" tint="-0.0982299968600273"/>
      </bottom>
    </border>
    <border>
      <left style="thin">
        <color theme="2" tint="-0.0982299968600273"/>
      </left>
      <right style="thin">
        <color theme="2" tint="-0.0982299968600273"/>
      </right>
      <top style="thin">
        <color theme="2" tint="-0.0982299968600273"/>
      </top>
      <bottom/>
    </border>
    <border>
      <left style="thin">
        <color theme="2" tint="-0.0982299968600273"/>
      </left>
      <right style="thick">
        <color theme="2" tint="-0.248229995369911"/>
      </right>
      <top style="thin">
        <color theme="2" tint="-0.0982299968600273"/>
      </top>
      <bottom/>
    </border>
    <border>
      <left style="thin">
        <color theme="2" tint="-0.0982299968600273"/>
      </left>
      <right style="thin">
        <color theme="2" tint="-0.0982299968600273"/>
      </right>
      <top/>
      <bottom/>
    </border>
    <border>
      <left style="thin">
        <color theme="2" tint="-0.0982299968600273"/>
      </left>
      <right style="thick">
        <color theme="2" tint="-0.248229995369911"/>
      </right>
      <top/>
      <bottom/>
    </border>
    <border>
      <left style="thin">
        <color theme="2" tint="-0.0982299968600273"/>
      </left>
      <right style="thin">
        <color theme="2" tint="-0.0982299968600273"/>
      </right>
      <top/>
      <bottom style="thin">
        <color theme="2" tint="-0.0982299968600273"/>
      </bottom>
    </border>
    <border>
      <left style="thin">
        <color theme="2" tint="-0.0982299968600273"/>
      </left>
      <right style="thick">
        <color theme="2" tint="-0.248229995369911"/>
      </right>
      <top/>
      <bottom style="thin">
        <color theme="2" tint="-0.0982299968600273"/>
      </bottom>
    </border>
    <border>
      <left style="thin">
        <color theme="2" tint="-0.0982299968600273"/>
      </left>
      <right/>
      <top style="thin">
        <color theme="2" tint="-0.0982299968600273"/>
      </top>
      <bottom/>
    </border>
    <border>
      <left/>
      <right/>
      <top style="thin">
        <color theme="2" tint="-0.0982299968600273"/>
      </top>
      <bottom/>
    </border>
    <border>
      <left style="thin">
        <color theme="2" tint="-0.0982299968600273"/>
      </left>
      <right/>
      <top/>
      <bottom/>
    </border>
    <border>
      <left style="thin">
        <color theme="2" tint="-0.0982299968600273"/>
      </left>
      <right/>
      <top/>
      <bottom style="thin">
        <color theme="2" tint="-0.0982299968600273"/>
      </bottom>
    </border>
    <border>
      <left/>
      <right/>
      <top/>
      <bottom style="thin">
        <color theme="2" tint="-0.0982299968600273"/>
      </bottom>
    </border>
    <border>
      <left style="thick">
        <color theme="2" tint="-0.248229995369911"/>
      </left>
      <right style="thin">
        <color theme="2" tint="-0.0982299968600273"/>
      </right>
      <top style="thin">
        <color theme="2" tint="-0.0982299968600273"/>
      </top>
      <bottom style="thick">
        <color theme="2" tint="-0.248229995369911"/>
      </bottom>
    </border>
    <border>
      <left style="thin">
        <color theme="2" tint="-0.0982299968600273"/>
      </left>
      <right style="thin">
        <color theme="2" tint="-0.0982299968600273"/>
      </right>
      <top style="thin">
        <color theme="2" tint="-0.0982299968600273"/>
      </top>
      <bottom style="thick">
        <color theme="2" tint="-0.248229995369911"/>
      </bottom>
    </border>
    <border>
      <left style="thin">
        <color theme="2" tint="-0.0982299968600273"/>
      </left>
      <right style="thick">
        <color theme="2" tint="-0.248229995369911"/>
      </right>
      <top style="thin">
        <color theme="2" tint="-0.0982299968600273"/>
      </top>
      <bottom style="thick">
        <color theme="2" tint="-0.248229995369911"/>
      </bottom>
    </border>
    <border>
      <left style="thick">
        <color theme="2" tint="-0.248229995369911"/>
      </left>
      <right/>
      <top style="thick">
        <color theme="2" tint="-0.248229995369911"/>
      </top>
      <bottom/>
    </border>
    <border>
      <left/>
      <right/>
      <top style="thick">
        <color theme="2" tint="-0.248229995369911"/>
      </top>
      <bottom/>
    </border>
    <border>
      <left style="thin">
        <color theme="2" tint="-0.0982299968600273"/>
      </left>
      <right style="thin">
        <color theme="2" tint="-0.0982299968600273"/>
      </right>
      <top style="thin">
        <color theme="2" tint="-0.0982299968600273"/>
      </top>
      <bottom style="double">
        <color theme="2" tint="-0.248229995369911"/>
      </bottom>
    </border>
    <border>
      <left style="thin">
        <color theme="2" tint="-0.0982299968600273"/>
      </left>
      <right style="thick">
        <color theme="2" tint="-0.248229995369911"/>
      </right>
      <top style="thin">
        <color theme="2" tint="-0.0982299968600273"/>
      </top>
      <bottom style="double">
        <color theme="2" tint="-0.248229995369911"/>
      </bottom>
    </border>
    <border>
      <left style="thick">
        <color theme="2" tint="-0.248229995369911"/>
      </left>
      <right/>
      <top/>
      <bottom/>
    </border>
    <border>
      <left style="thin">
        <color theme="0" tint="-0.148249998688698"/>
      </left>
      <right style="thin">
        <color theme="0" tint="-0.148249998688698"/>
      </right>
      <top style="thick">
        <color theme="2" tint="-0.248229995369911"/>
      </top>
      <bottom style="thin">
        <color theme="2" tint="-0.248229995369911"/>
      </bottom>
    </border>
    <border>
      <left/>
      <right/>
      <top style="thick">
        <color theme="2" tint="-0.248229995369911"/>
      </top>
      <bottom style="thin">
        <color theme="2" tint="-0.248229995369911"/>
      </bottom>
    </border>
    <border>
      <left/>
      <right style="thick">
        <color theme="2" tint="-0.248229995369911"/>
      </right>
      <top style="thick">
        <color theme="2" tint="-0.248229995369911"/>
      </top>
      <bottom style="thin">
        <color theme="2" tint="-0.248229995369911"/>
      </bottom>
    </border>
    <border>
      <left/>
      <right style="thick">
        <color theme="2" tint="-0.248229995369911"/>
      </right>
      <top/>
      <bottom/>
    </border>
    <border>
      <left/>
      <right/>
      <top/>
      <bottom style="thick">
        <color theme="2" tint="-0.248229995369911"/>
      </bottom>
    </border>
    <border>
      <left/>
      <right style="thick">
        <color theme="2" tint="-0.248229995369911"/>
      </right>
      <top/>
      <bottom style="thick">
        <color theme="2" tint="-0.248229995369911"/>
      </bottom>
    </border>
    <border>
      <left style="thick">
        <color theme="4"/>
      </left>
      <right/>
      <top style="thin">
        <color theme="2" tint="-0.0982299968600273"/>
      </top>
      <bottom style="thin">
        <color theme="0" tint="-0.148249998688698"/>
      </bottom>
    </border>
    <border>
      <left style="medium">
        <color theme="0" tint="-0.148220002651215"/>
      </left>
      <right style="medium">
        <color theme="0" tint="-0.148220002651215"/>
      </right>
      <top style="thin">
        <color theme="2" tint="-0.0982299968600273"/>
      </top>
      <bottom style="thin">
        <color theme="0" tint="-0.148249998688698"/>
      </bottom>
    </border>
    <border>
      <left style="medium">
        <color theme="0" tint="-0.148249998688698"/>
      </left>
      <right style="thick">
        <color theme="4"/>
      </right>
      <top style="thin">
        <color theme="2" tint="-0.0982299968600273"/>
      </top>
      <bottom style="thin">
        <color theme="0" tint="-0.148249998688698"/>
      </bottom>
    </border>
    <border>
      <left style="thick">
        <color theme="2" tint="-0.248229995369911"/>
      </left>
      <right style="thin">
        <color theme="2" tint="-0.0982299968600273"/>
      </right>
      <top style="thick">
        <color theme="2" tint="-0.248229995369911"/>
      </top>
      <bottom style="medium">
        <color theme="2" tint="-0.248229995369911"/>
      </bottom>
    </border>
    <border>
      <left style="thin">
        <color theme="2" tint="-0.0982299968600273"/>
      </left>
      <right style="thin">
        <color theme="2" tint="-0.0982299968600273"/>
      </right>
      <top style="thick">
        <color theme="2" tint="-0.248229995369911"/>
      </top>
      <bottom style="medium">
        <color theme="2" tint="-0.248229995369911"/>
      </bottom>
    </border>
    <border>
      <left style="thin">
        <color theme="2" tint="-0.0982299968600273"/>
      </left>
      <right style="thick">
        <color theme="2" tint="-0.248229995369911"/>
      </right>
      <top style="thick">
        <color theme="2" tint="-0.248229995369911"/>
      </top>
      <bottom style="medium">
        <color theme="2" tint="-0.248229995369911"/>
      </bottom>
    </border>
    <border>
      <left style="thick">
        <color theme="2" tint="-0.248229995369911"/>
      </left>
      <right style="thick">
        <color theme="2" tint="-0.248229995369911"/>
      </right>
      <top style="thick">
        <color theme="2" tint="-0.248229995369911"/>
      </top>
      <bottom style="medium">
        <color theme="2" tint="-0.248229995369911"/>
      </bottom>
    </border>
    <border>
      <left style="thick">
        <color theme="2" tint="-0.248229995369911"/>
      </left>
      <right style="thin">
        <color theme="2" tint="-0.0982299968600273"/>
      </right>
      <top/>
      <bottom style="thin">
        <color theme="2" tint="-0.0982299968600273"/>
      </bottom>
    </border>
    <border>
      <left style="thick">
        <color theme="2" tint="-0.248229995369911"/>
      </left>
      <right style="thick">
        <color theme="2" tint="-0.248229995369911"/>
      </right>
      <top style="medium">
        <color theme="2" tint="-0.248229995369911"/>
      </top>
      <bottom style="thin">
        <color theme="2" tint="-0.0982299968600273"/>
      </bottom>
    </border>
    <border>
      <left style="thick">
        <color theme="2" tint="-0.248229995369911"/>
      </left>
      <right style="thin">
        <color theme="2" tint="-0.0982299968600273"/>
      </right>
      <top style="medium">
        <color theme="2" tint="-0.248229995369911"/>
      </top>
      <bottom style="thin">
        <color theme="2" tint="-0.0982299968600273"/>
      </bottom>
    </border>
    <border>
      <left style="thin">
        <color theme="2" tint="-0.0982299968600273"/>
      </left>
      <right style="thick">
        <color theme="2" tint="-0.248229995369911"/>
      </right>
      <top style="medium">
        <color theme="2" tint="-0.248229995369911"/>
      </top>
      <bottom style="thin">
        <color theme="2" tint="-0.0982299968600273"/>
      </bottom>
    </border>
    <border>
      <left style="thick">
        <color theme="2" tint="-0.248229995369911"/>
      </left>
      <right style="thick">
        <color theme="2" tint="-0.248229995369911"/>
      </right>
      <top style="thin">
        <color theme="2" tint="-0.0982299968600273"/>
      </top>
      <bottom style="thin">
        <color theme="2" tint="-0.0982299968600273"/>
      </bottom>
    </border>
    <border>
      <left style="thick">
        <color theme="2" tint="-0.248229995369911"/>
      </left>
      <right style="thick">
        <color theme="2" tint="-0.248229995369911"/>
      </right>
      <top style="thin">
        <color theme="2" tint="-0.0982299968600273"/>
      </top>
      <bottom style="thick">
        <color theme="2" tint="-0.248229995369911"/>
      </bottom>
    </border>
    <border>
      <left style="thick">
        <color theme="4"/>
      </left>
      <right/>
      <top/>
      <bottom/>
    </border>
    <border>
      <left/>
      <right style="thick">
        <color theme="4"/>
      </right>
      <top/>
      <bottom/>
    </border>
    <border>
      <left style="medium">
        <color theme="0" tint="-0.148220002651215"/>
      </left>
      <right style="medium">
        <color theme="0" tint="-0.148249998688698"/>
      </right>
      <top style="thin">
        <color theme="0" tint="-0.148249998688698"/>
      </top>
      <bottom style="thin">
        <color theme="0" tint="-0.148249998688698"/>
      </bottom>
    </border>
    <border>
      <left style="medium">
        <color theme="0" tint="-0.148249998688698"/>
      </left>
      <right style="thick">
        <color theme="4"/>
      </right>
      <top style="thin">
        <color theme="0" tint="-0.148249998688698"/>
      </top>
      <bottom style="thin">
        <color theme="0" tint="-0.148220002651215"/>
      </bottom>
    </border>
    <border>
      <left style="medium">
        <color theme="0" tint="-0.148220002651215"/>
      </left>
      <right style="medium">
        <color theme="0" tint="-0.148220002651215"/>
      </right>
      <top/>
      <bottom/>
    </border>
    <border>
      <left style="medium">
        <color theme="0" tint="-0.148220002651215"/>
      </left>
      <right style="medium">
        <color theme="0" tint="-0.148249998688698"/>
      </right>
      <top style="thin">
        <color theme="0" tint="-0.148249998688698"/>
      </top>
      <bottom style="thick">
        <color theme="4"/>
      </bottom>
    </border>
    <border>
      <left style="thin">
        <color theme="2" tint="-0.0982299968600273"/>
      </left>
      <right/>
      <top style="thin">
        <color theme="2" tint="-0.0982299968600273"/>
      </top>
      <bottom style="thick">
        <color theme="2" tint="-0.248229995369911"/>
      </bottom>
    </border>
    <border>
      <left/>
      <right/>
      <top style="thin">
        <color theme="2" tint="-0.0982299968600273"/>
      </top>
      <bottom style="thick">
        <color theme="2" tint="-0.248229995369911"/>
      </bottom>
    </border>
    <border>
      <left/>
      <right style="thin">
        <color theme="2" tint="-0.0982299968600273"/>
      </right>
      <top style="thin">
        <color theme="2" tint="-0.0982299968600273"/>
      </top>
      <bottom style="thick">
        <color theme="2" tint="-0.248229995369911"/>
      </bottom>
    </border>
    <border>
      <left style="thick">
        <color theme="2" tint="-0.248229995369911"/>
      </left>
      <right style="thin">
        <color theme="2" tint="-0.0982299968600273"/>
      </right>
      <top style="thin">
        <color theme="2" tint="-0.0982299968600273"/>
      </top>
      <bottom/>
    </border>
    <border>
      <left style="thin">
        <color theme="2" tint="-0.248229995369911"/>
      </left>
      <right style="thin">
        <color theme="2" tint="-0.248229995369911"/>
      </right>
      <top style="thin">
        <color theme="2" tint="-0.248229995369911"/>
      </top>
      <bottom style="thick">
        <color theme="4" tint="-0.248229995369911"/>
      </bottom>
    </border>
    <border>
      <left style="thick">
        <color theme="0" tint="-0.248229995369911"/>
      </left>
      <right style="thin">
        <color theme="0" tint="-0.148249998688698"/>
      </right>
      <top/>
      <bottom style="thin">
        <color theme="0" tint="-0.148249998688698"/>
      </bottom>
    </border>
    <border>
      <left style="thin">
        <color theme="0" tint="-0.148249998688698"/>
      </left>
      <right style="thin">
        <color theme="0" tint="-0.148249998688698"/>
      </right>
      <top/>
      <bottom style="thin">
        <color theme="0" tint="-0.148249998688698"/>
      </bottom>
    </border>
    <border>
      <left style="thin">
        <color theme="0" tint="-0.148249998688698"/>
      </left>
      <right style="thin">
        <color theme="0" tint="-0.148249998688698"/>
      </right>
      <top style="thin">
        <color theme="0" tint="-0.148249998688698"/>
      </top>
      <bottom style="thin">
        <color theme="0" tint="-0.148249998688698"/>
      </bottom>
    </border>
    <border>
      <left style="thick">
        <color theme="0" tint="-0.248229995369911"/>
      </left>
      <right/>
      <top style="thin">
        <color theme="0" tint="-0.148249998688698"/>
      </top>
      <bottom style="thin">
        <color theme="0" tint="-0.148249998688698"/>
      </bottom>
    </border>
    <border>
      <left/>
      <right/>
      <top style="thin">
        <color theme="0" tint="-0.148249998688698"/>
      </top>
      <bottom style="thin">
        <color theme="0" tint="-0.148249998688698"/>
      </bottom>
    </border>
    <border>
      <left style="medium">
        <color theme="7" tint="0.399949997663498"/>
      </left>
      <right style="medium">
        <color theme="7" tint="0.399949997663498"/>
      </right>
      <top style="medium">
        <color theme="7" tint="0.399949997663498"/>
      </top>
      <bottom style="thin">
        <color theme="2" tint="-0.0982299968600273"/>
      </bottom>
    </border>
    <border>
      <left style="medium">
        <color theme="7" tint="0.399949997663498"/>
      </left>
      <right style="medium">
        <color theme="7" tint="0.399949997663498"/>
      </right>
      <top style="thin">
        <color theme="2" tint="-0.0982299968600273"/>
      </top>
      <bottom style="thin">
        <color theme="2" tint="-0.0982299968600273"/>
      </bottom>
    </border>
    <border>
      <left style="medium">
        <color theme="7" tint="0.399949997663498"/>
      </left>
      <right style="medium">
        <color theme="7" tint="0.399949997663498"/>
      </right>
      <top style="thin">
        <color theme="2" tint="-0.0982299968600273"/>
      </top>
      <bottom style="medium">
        <color theme="7" tint="0.399949997663498"/>
      </bottom>
    </border>
    <border>
      <left style="thick">
        <color theme="0" tint="-0.248229995369911"/>
      </left>
      <right style="thin">
        <color theme="0" tint="-0.148249998688698"/>
      </right>
      <top style="thin">
        <color theme="0" tint="-0.148249998688698"/>
      </top>
      <bottom style="thin">
        <color theme="0" tint="-0.148249998688698"/>
      </bottom>
    </border>
    <border>
      <left style="thick">
        <color theme="0" tint="-0.248229995369911"/>
      </left>
      <right style="thin">
        <color theme="0" tint="-0.148249998688698"/>
      </right>
      <top/>
      <bottom style="thick">
        <color theme="0" tint="-0.248229995369911"/>
      </bottom>
    </border>
    <border>
      <left style="thin">
        <color theme="0" tint="-0.148249998688698"/>
      </left>
      <right style="thin">
        <color theme="0" tint="-0.148249998688698"/>
      </right>
      <top/>
      <bottom style="thick">
        <color theme="0" tint="-0.248229995369911"/>
      </bottom>
    </border>
    <border>
      <left style="thin">
        <color theme="0" tint="-0.148249998688698"/>
      </left>
      <right style="thin">
        <color theme="0" tint="-0.148249998688698"/>
      </right>
      <top style="thin">
        <color theme="0" tint="-0.148249998688698"/>
      </top>
      <bottom style="thick">
        <color theme="0" tint="-0.248229995369911"/>
      </bottom>
    </border>
    <border>
      <left style="thin">
        <color theme="2" tint="-0.498259991407394"/>
      </left>
      <right/>
      <top/>
      <bottom/>
    </border>
    <border>
      <left style="thick">
        <color theme="0" tint="-0.248229995369911"/>
      </left>
      <right style="thin">
        <color theme="0" tint="-0.148249998688698"/>
      </right>
      <top style="thick">
        <color theme="0" tint="-0.248229995369911"/>
      </top>
      <bottom style="medium">
        <color theme="0" tint="-0.248229995369911"/>
      </bottom>
    </border>
    <border>
      <left style="thin">
        <color theme="0" tint="-0.148249998688698"/>
      </left>
      <right style="thin">
        <color theme="0" tint="-0.148249998688698"/>
      </right>
      <top style="thick">
        <color theme="0" tint="-0.248229995369911"/>
      </top>
      <bottom style="medium">
        <color theme="0" tint="-0.248229995369911"/>
      </bottom>
    </border>
    <border>
      <left style="thin">
        <color theme="0" tint="-0.148249998688698"/>
      </left>
      <right style="thick">
        <color theme="0" tint="-0.248229995369911"/>
      </right>
      <top/>
      <bottom style="thin">
        <color theme="0" tint="-0.148249998688698"/>
      </bottom>
    </border>
    <border>
      <left/>
      <right style="thick">
        <color theme="0" tint="-0.248229995369911"/>
      </right>
      <top style="thin">
        <color theme="0" tint="-0.148249998688698"/>
      </top>
      <bottom style="thin">
        <color theme="0" tint="-0.148249998688698"/>
      </bottom>
    </border>
    <border>
      <left style="thin">
        <color theme="0" tint="-0.148249998688698"/>
      </left>
      <right style="thick">
        <color theme="0" tint="-0.248229995369911"/>
      </right>
      <top style="thin">
        <color theme="0" tint="-0.148249998688698"/>
      </top>
      <bottom style="thin">
        <color theme="0" tint="-0.148249998688698"/>
      </bottom>
    </border>
    <border>
      <left style="thin">
        <color theme="0" tint="-0.148249998688698"/>
      </left>
      <right style="thick">
        <color theme="0" tint="-0.248229995369911"/>
      </right>
      <top/>
      <bottom style="thick">
        <color theme="0" tint="-0.248229995369911"/>
      </bottom>
    </border>
    <border>
      <left style="thin">
        <color theme="0" tint="-0.148249998688698"/>
      </left>
      <right style="thick">
        <color theme="0" tint="-0.248229995369911"/>
      </right>
      <top style="thick">
        <color theme="0" tint="-0.248229995369911"/>
      </top>
      <bottom style="medium">
        <color theme="0" tint="-0.248229995369911"/>
      </bottom>
    </border>
    <border>
      <left style="thin">
        <color theme="2" tint="-0.0982299968600273"/>
      </left>
      <right style="thin">
        <color theme="2" tint="-0.0982000008225441"/>
      </right>
      <top style="thin">
        <color theme="2" tint="-0.0982299968600273"/>
      </top>
      <bottom style="double">
        <color theme="2" tint="-0.248229995369911"/>
      </bottom>
    </border>
    <border>
      <left style="thin">
        <color theme="2" tint="-0.0982000008225441"/>
      </left>
      <right style="thin">
        <color theme="2" tint="-0.0982000008225441"/>
      </right>
      <top style="thin">
        <color theme="2" tint="-0.0982299968600273"/>
      </top>
      <bottom style="double">
        <color theme="2" tint="-0.248229995369911"/>
      </bottom>
    </border>
    <border>
      <left style="thin">
        <color theme="2" tint="-0.0982000008225441"/>
      </left>
      <right style="thick">
        <color theme="2" tint="-0.248229995369911"/>
      </right>
      <top style="thin">
        <color theme="2" tint="-0.0982299968600273"/>
      </top>
      <bottom style="double">
        <color theme="2" tint="-0.248229995369911"/>
      </bottom>
    </border>
    <border>
      <left/>
      <right/>
      <top style="thin">
        <color theme="0" tint="-0.148249998688698"/>
      </top>
      <bottom style="thick">
        <color theme="4"/>
      </bottom>
    </border>
    <border>
      <left/>
      <right/>
      <top style="thin">
        <color theme="0" tint="-0.148249998688698"/>
      </top>
      <bottom/>
    </border>
    <border>
      <left/>
      <right/>
      <top style="thin">
        <color theme="2" tint="-0.0982299968600273"/>
      </top>
      <bottom style="thin">
        <color theme="0" tint="-0.148249998688698"/>
      </bottom>
    </border>
    <border>
      <left style="thick">
        <color rgb="FFD8D8D8"/>
      </left>
      <right style="thick">
        <color rgb="FF5B9BD5"/>
      </right>
      <top style="medium">
        <color rgb="FFD8D8D8"/>
      </top>
      <bottom style="medium">
        <color rgb="FFD8D8D8"/>
      </bottom>
    </border>
    <border>
      <left style="thick">
        <color rgb="FFD8D8D8"/>
      </left>
      <right style="thick">
        <color rgb="FF5B9BD5"/>
      </right>
      <top/>
      <bottom style="medium">
        <color rgb="FFD8D8D8"/>
      </bottom>
    </border>
    <border>
      <left style="medium">
        <color theme="0" tint="-0.148220002651215"/>
      </left>
      <right style="medium">
        <color theme="0" tint="-0.148190006613731"/>
      </right>
      <top style="thin">
        <color theme="0" tint="-0.148249998688698"/>
      </top>
      <bottom style="thin">
        <color theme="0" tint="-0.148249998688698"/>
      </bottom>
    </border>
    <border>
      <left/>
      <right style="medium">
        <color theme="0" tint="-0.148220002651215"/>
      </right>
      <top style="thin">
        <color theme="0" tint="-0.148249998688698"/>
      </top>
      <bottom style="thin">
        <color theme="0" tint="-0.148249998688698"/>
      </bottom>
    </border>
    <border>
      <left style="medium">
        <color theme="0" tint="-0.148220002651215"/>
      </left>
      <right/>
      <top style="thin">
        <color theme="0" tint="-0.148249998688698"/>
      </top>
      <bottom style="thin">
        <color theme="0" tint="-0.148249998688698"/>
      </bottom>
    </border>
    <border>
      <left/>
      <right style="medium">
        <color theme="0" tint="-0.148220002651215"/>
      </right>
      <top style="thin">
        <color theme="0" tint="-0.148249998688698"/>
      </top>
      <bottom/>
    </border>
    <border>
      <left style="medium">
        <color theme="0" tint="-0.148220002651215"/>
      </left>
      <right/>
      <top/>
      <bottom/>
    </border>
    <border>
      <left/>
      <right style="medium">
        <color theme="0" tint="-0.148220002651215"/>
      </right>
      <top style="thin">
        <color theme="0" tint="-0.148249998688698"/>
      </top>
      <bottom style="thick">
        <color theme="4"/>
      </bottom>
    </border>
    <border>
      <left style="medium">
        <color theme="0" tint="-0.148220002651215"/>
      </left>
      <right/>
      <top style="thin">
        <color theme="0" tint="-0.148249998688698"/>
      </top>
      <bottom style="thick">
        <color theme="4"/>
      </bottom>
    </border>
    <border>
      <left style="medium">
        <color theme="0" tint="-0.148220002651215"/>
      </left>
      <right style="medium">
        <color theme="0" tint="-0.148190006613731"/>
      </right>
      <top style="thin">
        <color theme="0" tint="-0.148249998688698"/>
      </top>
      <bottom/>
    </border>
    <border>
      <left style="medium">
        <color theme="0" tint="-0.148190006613731"/>
      </left>
      <right style="medium">
        <color theme="0" tint="-0.148220002651215"/>
      </right>
      <top style="thin">
        <color theme="0" tint="-0.148249998688698"/>
      </top>
      <bottom/>
    </border>
    <border>
      <left style="medium">
        <color theme="0" tint="-0.148190006613731"/>
      </left>
      <right style="medium">
        <color theme="0" tint="-0.148220002651215"/>
      </right>
      <top style="thin">
        <color theme="0" tint="-0.148249998688698"/>
      </top>
      <bottom style="thin">
        <color theme="0" tint="-0.148249998688698"/>
      </bottom>
    </border>
    <border>
      <left style="medium">
        <color theme="0" tint="-0.148220002651215"/>
      </left>
      <right style="medium">
        <color theme="0" tint="-0.148190006613731"/>
      </right>
      <top style="thin">
        <color theme="2" tint="-0.0982299968600273"/>
      </top>
      <bottom style="thin">
        <color theme="0" tint="-0.148249998688698"/>
      </bottom>
    </border>
    <border>
      <left style="medium">
        <color theme="0" tint="-0.148190006613731"/>
      </left>
      <right style="medium">
        <color theme="0" tint="-0.148220002651215"/>
      </right>
      <top style="thin">
        <color theme="2" tint="-0.0982299968600273"/>
      </top>
      <bottom style="thin">
        <color theme="0" tint="-0.148249998688698"/>
      </bottom>
    </border>
    <border>
      <left style="medium">
        <color theme="0" tint="-0.148220002651215"/>
      </left>
      <right style="medium">
        <color theme="0" tint="-0.148190006613731"/>
      </right>
      <top style="thin">
        <color theme="0" tint="-0.148249998688698"/>
      </top>
      <bottom style="thick">
        <color theme="4"/>
      </bottom>
    </border>
    <border>
      <left style="medium">
        <color theme="0" tint="-0.148190006613731"/>
      </left>
      <right style="medium">
        <color theme="0" tint="-0.148220002651215"/>
      </right>
      <top style="thin">
        <color theme="0" tint="-0.148249998688698"/>
      </top>
      <bottom style="thick">
        <color theme="4"/>
      </bottom>
    </border>
    <border>
      <left style="thin">
        <color theme="1" tint="0.499980002641678"/>
      </left>
      <right/>
      <top style="medium">
        <color theme="1" tint="0.499980002641678"/>
      </top>
      <bottom/>
    </border>
    <border>
      <left/>
      <right/>
      <top style="medium">
        <color theme="1" tint="0.499980002641678"/>
      </top>
      <bottom/>
    </border>
    <border>
      <left/>
      <right style="thin">
        <color theme="1" tint="0.499980002641678"/>
      </right>
      <top style="medium">
        <color theme="1" tint="0.499980002641678"/>
      </top>
      <bottom/>
    </border>
    <border>
      <left style="thin">
        <color theme="1" tint="0.499980002641678"/>
      </left>
      <right/>
      <top style="thin">
        <color theme="1" tint="0.499980002641678"/>
      </top>
      <bottom/>
    </border>
    <border>
      <left/>
      <right/>
      <top style="thin">
        <color theme="1" tint="0.499980002641678"/>
      </top>
      <bottom/>
    </border>
    <border>
      <left/>
      <right style="thin">
        <color theme="1" tint="0.499980002641678"/>
      </right>
      <top style="thin">
        <color theme="1" tint="0.499980002641678"/>
      </top>
      <bottom/>
    </border>
    <border>
      <left style="thin">
        <color theme="1" tint="0.499980002641678"/>
      </left>
      <right/>
      <top style="thin">
        <color theme="1" tint="0.499980002641678"/>
      </top>
      <bottom style="medium">
        <color theme="1" tint="0.499980002641678"/>
      </bottom>
    </border>
    <border>
      <left/>
      <right style="thin">
        <color theme="1" tint="0.499980002641678"/>
      </right>
      <top style="thin">
        <color theme="1" tint="0.499980002641678"/>
      </top>
      <bottom style="medium">
        <color theme="1" tint="0.499980002641678"/>
      </bottom>
    </border>
    <border>
      <left style="medium">
        <color theme="1" tint="0.499980002641678"/>
      </left>
      <right/>
      <top style="medium">
        <color theme="1" tint="0.499980002641678"/>
      </top>
      <bottom/>
    </border>
    <border>
      <left/>
      <right style="medium">
        <color theme="1" tint="0.499980002641678"/>
      </right>
      <top style="medium">
        <color theme="1" tint="0.499980002641678"/>
      </top>
      <bottom/>
    </border>
    <border>
      <left style="medium">
        <color theme="1" tint="0.499980002641678"/>
      </left>
      <right/>
      <top/>
      <bottom style="medium">
        <color theme="1" tint="0.499980002641678"/>
      </bottom>
    </border>
    <border>
      <left/>
      <right style="medium">
        <color theme="1" tint="0.499980002641678"/>
      </right>
      <top/>
      <bottom style="medium">
        <color theme="1" tint="0.499980002641678"/>
      </bottom>
    </border>
    <border>
      <left style="thin">
        <color theme="2" tint="-0.248229995369911"/>
      </left>
      <right/>
      <top style="thin">
        <color theme="2" tint="-0.248229995369911"/>
      </top>
      <bottom/>
    </border>
    <border>
      <left/>
      <right/>
      <top style="thin">
        <color theme="2" tint="-0.248229995369911"/>
      </top>
      <bottom/>
    </border>
    <border>
      <left/>
      <right style="thin">
        <color theme="2" tint="-0.248229995369911"/>
      </right>
      <top style="thin">
        <color theme="2" tint="-0.248229995369911"/>
      </top>
      <bottom/>
    </border>
    <border>
      <left style="thin">
        <color theme="1" tint="0.499980002641678"/>
      </left>
      <right/>
      <top/>
      <bottom style="thin">
        <color theme="1" tint="0.499980002641678"/>
      </bottom>
    </border>
    <border>
      <left/>
      <right style="thin">
        <color theme="1" tint="0.499980002641678"/>
      </right>
      <top/>
      <bottom style="thin">
        <color theme="1" tint="0.499980002641678"/>
      </bottom>
    </border>
    <border>
      <left style="thin">
        <color theme="2" tint="-0.248229995369911"/>
      </left>
      <right/>
      <top style="thin">
        <color theme="2" tint="-0.248229995369911"/>
      </top>
      <bottom style="thick">
        <color theme="2" tint="-0.248229995369911"/>
      </bottom>
    </border>
    <border>
      <left/>
      <right/>
      <top style="thin">
        <color theme="2" tint="-0.248229995369911"/>
      </top>
      <bottom style="thick">
        <color theme="2" tint="-0.248229995369911"/>
      </bottom>
    </border>
    <border>
      <left/>
      <right style="thin">
        <color theme="2" tint="-0.248229995369911"/>
      </right>
      <top style="thin">
        <color theme="2" tint="-0.248229995369911"/>
      </top>
      <bottom style="thick">
        <color theme="2" tint="-0.248229995369911"/>
      </bottom>
    </border>
    <border>
      <left style="thick">
        <color theme="2" tint="-0.248229995369911"/>
      </left>
      <right/>
      <top style="thin">
        <color theme="2" tint="-0.0982299968600273"/>
      </top>
      <bottom style="double">
        <color theme="2" tint="-0.248229995369911"/>
      </bottom>
    </border>
    <border>
      <left/>
      <right/>
      <top style="thin">
        <color theme="2" tint="-0.0982299968600273"/>
      </top>
      <bottom style="double">
        <color theme="2" tint="-0.248229995369911"/>
      </bottom>
    </border>
    <border>
      <left/>
      <right style="thin">
        <color theme="2" tint="-0.0982299968600273"/>
      </right>
      <top style="thin">
        <color theme="2" tint="-0.0982299968600273"/>
      </top>
      <bottom style="double">
        <color theme="2" tint="-0.248229995369911"/>
      </bottom>
    </border>
    <border>
      <left style="thick">
        <color theme="2" tint="-0.248229995369911"/>
      </left>
      <right/>
      <top style="double">
        <color theme="2" tint="-0.248229995369911"/>
      </top>
      <bottom style="thick">
        <color theme="2" tint="-0.248229995369911"/>
      </bottom>
    </border>
    <border>
      <left/>
      <right/>
      <top style="double">
        <color theme="2" tint="-0.248229995369911"/>
      </top>
      <bottom style="thick">
        <color theme="2" tint="-0.248229995369911"/>
      </bottom>
    </border>
    <border>
      <left/>
      <right style="thin">
        <color theme="2" tint="-0.0982299968600273"/>
      </right>
      <top style="double">
        <color theme="2" tint="-0.248229995369911"/>
      </top>
      <bottom style="thick">
        <color theme="2" tint="-0.248229995369911"/>
      </bottom>
    </border>
    <border>
      <left style="thin">
        <color theme="2" tint="-0.0982299968600273"/>
      </left>
      <right/>
      <top style="double">
        <color theme="2" tint="-0.248229995369911"/>
      </top>
      <bottom style="thick">
        <color theme="2" tint="-0.248229995369911"/>
      </bottom>
    </border>
    <border>
      <left/>
      <right style="thick">
        <color theme="2" tint="-0.248229995369911"/>
      </right>
      <top style="double">
        <color theme="2" tint="-0.248229995369911"/>
      </top>
      <bottom style="thick">
        <color theme="2" tint="-0.248229995369911"/>
      </bottom>
    </border>
    <border>
      <left style="thick">
        <color theme="2" tint="-0.248229995369911"/>
      </left>
      <right/>
      <top style="thick">
        <color theme="2" tint="-0.248229995369911"/>
      </top>
      <bottom style="thin">
        <color theme="2" tint="-0.248229995369911"/>
      </bottom>
    </border>
    <border>
      <left style="thick">
        <color theme="2" tint="-0.248229995369911"/>
      </left>
      <right/>
      <top style="thin">
        <color theme="2" tint="-0.248229995369911"/>
      </top>
      <bottom style="thin">
        <color theme="2" tint="-0.248229995369911"/>
      </bottom>
    </border>
    <border>
      <left/>
      <right style="thick">
        <color theme="2" tint="-0.248229995369911"/>
      </right>
      <top style="thin">
        <color theme="2" tint="-0.248229995369911"/>
      </top>
      <bottom style="thin">
        <color theme="2" tint="-0.248229995369911"/>
      </bottom>
    </border>
    <border>
      <left style="thick">
        <color theme="2" tint="-0.248229995369911"/>
      </left>
      <right/>
      <top style="thin">
        <color theme="2" tint="-0.248229995369911"/>
      </top>
      <bottom style="thick">
        <color theme="2" tint="-0.248229995369911"/>
      </bottom>
    </border>
    <border>
      <left/>
      <right style="thick">
        <color theme="2" tint="-0.248229995369911"/>
      </right>
      <top style="thin">
        <color theme="2" tint="-0.248229995369911"/>
      </top>
      <bottom style="thick">
        <color theme="2" tint="-0.248229995369911"/>
      </bottom>
    </border>
    <border>
      <left/>
      <right style="thin">
        <color theme="2" tint="-0.0982299968600273"/>
      </right>
      <top style="thin">
        <color theme="2" tint="-0.0982299968600273"/>
      </top>
      <bottom style="thin">
        <color theme="2" tint="-0.0982299968600273"/>
      </bottom>
    </border>
    <border>
      <left style="thick">
        <color theme="2" tint="-0.248229995369911"/>
      </left>
      <right/>
      <top/>
      <bottom style="thin">
        <color theme="2" tint="-0.248229995369911"/>
      </bottom>
    </border>
    <border>
      <left/>
      <right style="thick">
        <color theme="2" tint="-0.248229995369911"/>
      </right>
      <top/>
      <bottom style="thin">
        <color theme="2" tint="-0.248229995369911"/>
      </bottom>
    </border>
    <border>
      <left style="thick">
        <color theme="2" tint="-0.248229995369911"/>
      </left>
      <right/>
      <top/>
      <bottom style="thick">
        <color theme="2" tint="-0.248229995369911"/>
      </bottom>
    </border>
    <border>
      <left/>
      <right style="thick">
        <color theme="2" tint="-0.248229995369911"/>
      </right>
      <top style="thick">
        <color theme="2" tint="-0.248229995369911"/>
      </top>
      <bottom/>
    </border>
    <border>
      <left style="thick">
        <color theme="2" tint="-0.248229995369911"/>
      </left>
      <right style="thin">
        <color theme="2" tint="-0.0982299968600273"/>
      </right>
      <top style="thick">
        <color theme="2" tint="-0.248229995369911"/>
      </top>
      <bottom style="thin">
        <color theme="2" tint="-0.0982299968600273"/>
      </bottom>
    </border>
    <border>
      <left/>
      <right style="thin">
        <color theme="0" tint="-0.148249998688698"/>
      </right>
      <top style="thick">
        <color theme="2" tint="-0.248229995369911"/>
      </top>
      <bottom style="thin">
        <color theme="2" tint="-0.248229995369911"/>
      </bottom>
    </border>
    <border>
      <left style="thin">
        <color rgb="FFDE500A"/>
      </left>
      <right/>
      <top style="medium">
        <color rgb="FFDE500A"/>
      </top>
      <bottom style="medium">
        <color rgb="FFDE500A"/>
      </bottom>
    </border>
    <border>
      <left/>
      <right style="thin">
        <color rgb="FFDE500A"/>
      </right>
      <top style="medium">
        <color rgb="FFDE500A"/>
      </top>
      <bottom style="medium">
        <color rgb="FFDE500A"/>
      </bottom>
    </border>
    <border>
      <left style="thick">
        <color theme="4" tint="-0.248229995369911"/>
      </left>
      <right style="medium">
        <color theme="2" tint="-0.248229995369911"/>
      </right>
      <top style="thick">
        <color theme="4" tint="-0.248229995369911"/>
      </top>
      <bottom/>
    </border>
    <border>
      <left style="thick">
        <color theme="4" tint="-0.248229995369911"/>
      </left>
      <right style="medium">
        <color theme="2" tint="-0.248229995369911"/>
      </right>
      <top/>
      <bottom/>
    </border>
    <border>
      <left style="thick">
        <color theme="4" tint="-0.248229995369911"/>
      </left>
      <right style="medium">
        <color theme="2" tint="-0.248229995369911"/>
      </right>
      <top/>
      <bottom style="medium">
        <color theme="4" tint="-0.248229995369911"/>
      </bottom>
    </border>
    <border>
      <left style="thin">
        <color theme="2" tint="-0.248229995369911"/>
      </left>
      <right style="thick">
        <color theme="4"/>
      </right>
      <top style="thick">
        <color theme="4"/>
      </top>
      <bottom/>
    </border>
    <border>
      <left style="thin">
        <color theme="2" tint="-0.248229995369911"/>
      </left>
      <right style="thick">
        <color theme="4"/>
      </right>
      <top/>
      <bottom style="thin">
        <color theme="2" tint="-0.498259991407394"/>
      </bottom>
    </border>
    <border>
      <left style="thick">
        <color theme="4"/>
      </left>
      <right style="thick">
        <color theme="4"/>
      </right>
      <top style="thick">
        <color theme="4"/>
      </top>
      <bottom/>
    </border>
    <border>
      <left style="thick">
        <color theme="4"/>
      </left>
      <right style="thick">
        <color theme="4"/>
      </right>
      <top/>
      <bottom style="thin">
        <color theme="2" tint="-0.498259991407394"/>
      </bottom>
    </border>
    <border>
      <left style="thin">
        <color theme="2" tint="-0.248229995369911"/>
      </left>
      <right style="thin">
        <color theme="2" tint="-0.248229995369911"/>
      </right>
      <top style="thick">
        <color theme="4"/>
      </top>
      <bottom/>
    </border>
    <border>
      <left style="thin">
        <color theme="2" tint="-0.248229995369911"/>
      </left>
      <right style="thin">
        <color theme="2" tint="-0.248229995369911"/>
      </right>
      <top/>
      <bottom style="thin">
        <color theme="2" tint="-0.498259991407394"/>
      </bottom>
    </border>
    <border>
      <left style="thick">
        <color theme="4"/>
      </left>
      <right style="thick">
        <color theme="4"/>
      </right>
      <top/>
      <bottom/>
    </border>
    <border>
      <left style="thick">
        <color theme="4"/>
      </left>
      <right style="thin">
        <color theme="2" tint="-0.248229995369911"/>
      </right>
      <top style="thick">
        <color theme="4"/>
      </top>
      <bottom/>
    </border>
    <border>
      <left style="thick">
        <color theme="4"/>
      </left>
      <right style="thin">
        <color theme="2" tint="-0.248229995369911"/>
      </right>
      <top/>
      <bottom style="thin">
        <color theme="2" tint="-0.498259991407394"/>
      </bottom>
    </border>
    <border>
      <left style="medium">
        <color theme="4"/>
      </left>
      <right style="medium">
        <color theme="4"/>
      </right>
      <top style="medium">
        <color theme="4"/>
      </top>
      <bottom/>
    </border>
    <border>
      <left style="medium">
        <color theme="4"/>
      </left>
      <right style="medium">
        <color theme="4"/>
      </right>
      <top/>
      <bottom style="medium">
        <color theme="4"/>
      </bottom>
    </border>
    <border>
      <left style="thick">
        <color theme="4"/>
      </left>
      <right style="thin">
        <color theme="2" tint="-0.248229995369911"/>
      </right>
      <top/>
      <bottom/>
    </border>
    <border>
      <left style="thin">
        <color auto="1"/>
      </left>
      <right/>
      <top style="thin">
        <color auto="1"/>
      </top>
      <bottom style="thin">
        <color auto="1"/>
      </bottom>
    </border>
    <border>
      <left/>
      <right style="thin">
        <color auto="1"/>
      </right>
      <top style="thin">
        <color auto="1"/>
      </top>
      <bottom style="thin">
        <color auto="1"/>
      </bottom>
    </border>
    <border>
      <left style="thin">
        <color theme="2" tint="-0.498259991407394"/>
      </left>
      <right style="thin">
        <color theme="2" tint="-0.498259991407394"/>
      </right>
      <top style="medium">
        <color theme="2" tint="-0.498259991407394"/>
      </top>
      <bottom style="thin">
        <color theme="2" tint="-0.498259991407394"/>
      </bottom>
    </border>
    <border>
      <left style="thin">
        <color rgb="FF7F7F7F"/>
      </left>
      <right/>
      <top/>
      <bottom style="medium">
        <color rgb="FF7F7F7F"/>
      </bottom>
    </border>
    <border>
      <left style="thin">
        <color rgb="FFFFFFFF"/>
      </left>
      <right style="thin">
        <color rgb="FF7F7F7F"/>
      </right>
      <top/>
      <bottom style="medium">
        <color rgb="FF7F7F7F"/>
      </bottom>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33" fillId="0" borderId="0" applyNumberFormat="0" applyFill="0" applyBorder="0" applyAlignment="0" applyProtection="0"/>
  </cellStyleXfs>
  <cellXfs count="911">
    <xf numFmtId="0" fontId="0" fillId="0" borderId="0" xfId="0"/>
    <xf numFmtId="0" fontId="0" fillId="2" borderId="1" xfId="0" applyFill="1" applyBorder="1" applyAlignment="1" applyProtection="1">
      <alignment horizontal="center" vertical="center"/>
      <protection locked="0"/>
    </xf>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12" fillId="0" borderId="0" xfId="0" applyFont="1" applyAlignment="1">
      <alignment horizontal="center" vertical="center"/>
    </xf>
    <xf numFmtId="0" fontId="0" fillId="0" borderId="0" xfId="0" applyAlignment="1">
      <alignment horizontal="left"/>
    </xf>
    <xf numFmtId="164" fontId="6" fillId="0" borderId="4" xfId="0" applyNumberFormat="1" applyFont="1" applyBorder="1" applyAlignment="1">
      <alignment horizont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9" fillId="0" borderId="0" xfId="0" applyFont="1"/>
    <xf numFmtId="0" fontId="10" fillId="0" borderId="0" xfId="0" applyFont="1" applyAlignment="1">
      <alignment horizontal="center" vertical="center"/>
    </xf>
    <xf numFmtId="0" fontId="0" fillId="0" borderId="6" xfId="0" applyBorder="1"/>
    <xf numFmtId="0" fontId="0" fillId="0" borderId="7" xfId="0" applyBorder="1"/>
    <xf numFmtId="0" fontId="10" fillId="0" borderId="0" xfId="0" applyFont="1"/>
    <xf numFmtId="0" fontId="11" fillId="0" borderId="0" xfId="0" applyFont="1"/>
    <xf numFmtId="0" fontId="6" fillId="0" borderId="0" xfId="0" applyFont="1"/>
    <xf numFmtId="164" fontId="6" fillId="0" borderId="0" xfId="0" applyNumberFormat="1" applyFont="1" applyAlignment="1">
      <alignment horizontal="center"/>
    </xf>
    <xf numFmtId="0" fontId="7" fillId="0" borderId="0" xfId="0" applyFont="1" applyAlignment="1">
      <alignment horizontal="center" vertical="center"/>
    </xf>
    <xf numFmtId="0" fontId="4" fillId="0" borderId="0" xfId="0" applyFont="1" applyAlignment="1">
      <alignment horizontal="center"/>
    </xf>
    <xf numFmtId="0" fontId="11"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0" fillId="0" borderId="0" xfId="0" applyAlignment="1">
      <alignment horizontal="center" vertical="center"/>
    </xf>
    <xf numFmtId="49" fontId="20"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6" fillId="0" borderId="8" xfId="0" applyFont="1" applyBorder="1"/>
    <xf numFmtId="0" fontId="8" fillId="0" borderId="0" xfId="0" applyFont="1" applyAlignment="1">
      <alignment horizontal="center" vertical="center"/>
    </xf>
    <xf numFmtId="0" fontId="23" fillId="0" borderId="0" xfId="0" applyFont="1"/>
    <xf numFmtId="0" fontId="0" fillId="0" borderId="9" xfId="0" applyBorder="1" applyAlignment="1">
      <alignment horizontal="center"/>
    </xf>
    <xf numFmtId="0" fontId="0" fillId="0" borderId="9"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2" xfId="0" applyBorder="1"/>
    <xf numFmtId="0" fontId="0" fillId="0" borderId="13" xfId="0" applyBorder="1" applyAlignment="1">
      <alignment horizontal="center"/>
    </xf>
    <xf numFmtId="0" fontId="0" fillId="0" borderId="0" xfId="0" applyAlignment="1">
      <alignment horizontal="right"/>
    </xf>
    <xf numFmtId="0" fontId="0" fillId="3" borderId="14" xfId="0" applyFill="1" applyBorder="1"/>
    <xf numFmtId="0" fontId="0" fillId="0" borderId="15" xfId="0" applyBorder="1"/>
    <xf numFmtId="0" fontId="0" fillId="0" borderId="15" xfId="0" applyBorder="1" applyAlignment="1">
      <alignment horizontal="center"/>
    </xf>
    <xf numFmtId="0" fontId="26" fillId="0" borderId="0" xfId="0" applyFont="1" applyAlignment="1">
      <alignment horizontal="center"/>
    </xf>
    <xf numFmtId="0" fontId="27" fillId="0" borderId="0" xfId="0" applyFont="1"/>
    <xf numFmtId="0" fontId="0" fillId="0" borderId="16" xfId="0" applyBorder="1" applyAlignment="1">
      <alignment horizontal="right" indent="1"/>
    </xf>
    <xf numFmtId="0" fontId="0" fillId="0" borderId="8" xfId="0" applyBorder="1" applyAlignment="1">
      <alignment horizontal="right" indent="1"/>
    </xf>
    <xf numFmtId="0" fontId="21" fillId="0" borderId="17" xfId="0" applyFont="1" applyBorder="1" applyAlignment="1">
      <alignment horizontal="center"/>
    </xf>
    <xf numFmtId="0" fontId="0" fillId="0" borderId="0" xfId="0" applyAlignment="1">
      <alignment horizontal="right" indent="1"/>
    </xf>
    <xf numFmtId="0" fontId="24" fillId="0" borderId="0" xfId="0" applyFont="1" applyAlignment="1">
      <alignment horizontal="center"/>
    </xf>
    <xf numFmtId="0" fontId="0" fillId="0" borderId="18" xfId="0" applyBorder="1" applyAlignment="1">
      <alignment horizontal="center"/>
    </xf>
    <xf numFmtId="0" fontId="0" fillId="4" borderId="14" xfId="0" applyFill="1" applyBorder="1" applyAlignment="1">
      <alignment horizontal="center"/>
    </xf>
    <xf numFmtId="0" fontId="24" fillId="0" borderId="0" xfId="0" applyFont="1" applyAlignment="1">
      <alignment horizontal="right"/>
    </xf>
    <xf numFmtId="0" fontId="0" fillId="0" borderId="0" xfId="0" applyAlignment="1" applyProtection="1">
      <alignment horizontal="center"/>
      <protection locked="0"/>
    </xf>
    <xf numFmtId="0" fontId="0" fillId="5" borderId="0" xfId="0" applyFill="1" applyAlignment="1">
      <alignment horizontal="center"/>
    </xf>
    <xf numFmtId="0" fontId="5" fillId="0" borderId="0" xfId="0" applyFont="1" applyAlignment="1">
      <alignment horizontal="center"/>
    </xf>
    <xf numFmtId="0" fontId="7" fillId="6" borderId="4" xfId="0" applyFont="1" applyFill="1" applyBorder="1" applyAlignment="1">
      <alignment horizontal="center" vertical="center"/>
    </xf>
    <xf numFmtId="0" fontId="7" fillId="6" borderId="5" xfId="0" applyFont="1" applyFill="1" applyBorder="1" applyAlignment="1">
      <alignment horizontal="center" vertical="center"/>
    </xf>
    <xf numFmtId="0" fontId="24" fillId="0" borderId="0" xfId="0" applyFont="1" applyAlignment="1" quotePrefix="1">
      <alignment horizontal="center"/>
    </xf>
    <xf numFmtId="0" fontId="0" fillId="0" borderId="0" xfId="0" applyAlignment="1">
      <alignment horizontal="right" vertical="center"/>
    </xf>
    <xf numFmtId="0" fontId="0" fillId="0" borderId="0" xfId="0" applyAlignment="1">
      <alignment horizontal="left" vertical="center" indent="1"/>
    </xf>
    <xf numFmtId="0" fontId="35" fillId="0" borderId="0" xfId="0" applyFont="1"/>
    <xf numFmtId="0" fontId="2" fillId="7" borderId="19" xfId="0" applyFont="1" applyFill="1" applyBorder="1" applyAlignment="1" applyProtection="1">
      <alignment horizontal="center" vertical="center"/>
      <protection locked="0"/>
    </xf>
    <xf numFmtId="0" fontId="0" fillId="0" borderId="0" xfId="0" applyAlignment="1">
      <alignment horizontal="left" indent="1"/>
    </xf>
    <xf numFmtId="0" fontId="0" fillId="0" borderId="20" xfId="0" applyBorder="1" applyAlignment="1">
      <alignment horizontal="left" indent="1"/>
    </xf>
    <xf numFmtId="0" fontId="0" fillId="8" borderId="0" xfId="0" applyFill="1" applyAlignment="1">
      <alignment horizontal="right" indent="2"/>
    </xf>
    <xf numFmtId="0" fontId="0" fillId="8" borderId="21" xfId="0" applyFill="1" applyBorder="1" applyAlignment="1">
      <alignment horizontal="left" indent="1"/>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36" fillId="0" borderId="0" xfId="0" applyFont="1" applyAlignment="1">
      <alignment horizontal="center"/>
    </xf>
    <xf numFmtId="0" fontId="0" fillId="9" borderId="25" xfId="0" applyFill="1" applyBorder="1" applyAlignment="1">
      <alignment horizontal="center"/>
    </xf>
    <xf numFmtId="0" fontId="0" fillId="2" borderId="0" xfId="0" applyFill="1" applyAlignment="1">
      <alignment horizontal="left"/>
    </xf>
    <xf numFmtId="0" fontId="0" fillId="2" borderId="26" xfId="0" applyFill="1" applyBorder="1"/>
    <xf numFmtId="0" fontId="21" fillId="0" borderId="0" xfId="0" applyFont="1"/>
    <xf numFmtId="0" fontId="21" fillId="0" borderId="0" xfId="0" applyFont="1" applyAlignment="1">
      <alignment horizontal="center"/>
    </xf>
    <xf numFmtId="0" fontId="16" fillId="0" borderId="0" xfId="0" applyFont="1" applyAlignment="1">
      <alignment vertical="center"/>
    </xf>
    <xf numFmtId="0" fontId="19" fillId="0" borderId="0" xfId="0" applyFont="1" applyAlignment="1">
      <alignment vertical="center"/>
    </xf>
    <xf numFmtId="0" fontId="29" fillId="0" borderId="0" xfId="0" applyFont="1"/>
    <xf numFmtId="0" fontId="25" fillId="0" borderId="0" xfId="0" applyFont="1"/>
    <xf numFmtId="0" fontId="4" fillId="0" borderId="0" xfId="0" applyFont="1"/>
    <xf numFmtId="0" fontId="34" fillId="0" borderId="0" xfId="0" applyFont="1" applyAlignment="1">
      <alignment horizontal="center"/>
    </xf>
    <xf numFmtId="0" fontId="37" fillId="0" borderId="0" xfId="0" applyFont="1" applyAlignment="1">
      <alignment horizontal="left" vertical="center"/>
    </xf>
    <xf numFmtId="0" fontId="12" fillId="0" borderId="0" xfId="0" applyFont="1" applyAlignment="1">
      <alignment horizontal="center" vertical="top"/>
    </xf>
    <xf numFmtId="0" fontId="0" fillId="0" borderId="0" xfId="0" applyAlignment="1">
      <alignment vertical="top"/>
    </xf>
    <xf numFmtId="0" fontId="30" fillId="0" borderId="0" xfId="0" applyFont="1"/>
    <xf numFmtId="0" fontId="11" fillId="0" borderId="0" xfId="0" applyFont="1" applyAlignment="1">
      <alignment vertical="top"/>
    </xf>
    <xf numFmtId="0" fontId="40" fillId="7" borderId="8" xfId="0" applyFont="1" applyFill="1" applyBorder="1" applyAlignment="1" applyProtection="1">
      <alignment horizontal="center"/>
      <protection locked="0"/>
    </xf>
    <xf numFmtId="0" fontId="40" fillId="7" borderId="16" xfId="0" applyFont="1" applyFill="1" applyBorder="1" applyAlignment="1" applyProtection="1">
      <alignment horizontal="center"/>
      <protection locked="0"/>
    </xf>
    <xf numFmtId="0" fontId="0" fillId="0" borderId="27" xfId="0" applyBorder="1" applyAlignment="1">
      <alignment horizontal="left" indent="1"/>
    </xf>
    <xf numFmtId="165" fontId="0" fillId="0" borderId="0" xfId="0" applyNumberFormat="1" applyAlignment="1">
      <alignment horizontal="right" indent="2"/>
    </xf>
    <xf numFmtId="0" fontId="3" fillId="8" borderId="28" xfId="0" applyFont="1" applyFill="1" applyBorder="1"/>
    <xf numFmtId="0" fontId="41" fillId="0" borderId="0" xfId="0" applyFont="1"/>
    <xf numFmtId="0" fontId="0" fillId="7" borderId="29" xfId="0" applyFill="1" applyBorder="1" applyAlignment="1" applyProtection="1">
      <alignment horizontal="left" indent="1"/>
      <protection locked="0"/>
    </xf>
    <xf numFmtId="0" fontId="0" fillId="7" borderId="30" xfId="0" applyFill="1" applyBorder="1" applyAlignment="1" applyProtection="1">
      <alignment horizontal="left" indent="1"/>
      <protection locked="0"/>
    </xf>
    <xf numFmtId="0" fontId="34" fillId="0" borderId="31" xfId="0" applyFont="1" applyBorder="1" applyAlignment="1">
      <alignment horizontal="left" indent="1"/>
    </xf>
    <xf numFmtId="0" fontId="0" fillId="0" borderId="32" xfId="0" applyBorder="1" applyAlignment="1">
      <alignment horizontal="left" indent="1"/>
    </xf>
    <xf numFmtId="0" fontId="0" fillId="0" borderId="33" xfId="0" applyBorder="1" applyAlignment="1">
      <alignment horizontal="left" indent="1"/>
    </xf>
    <xf numFmtId="0" fontId="13" fillId="0" borderId="0" xfId="0" applyFont="1" applyAlignment="1">
      <alignment horizontal="center" vertical="center"/>
    </xf>
    <xf numFmtId="0" fontId="13" fillId="0" borderId="0" xfId="0" applyFont="1" applyAlignment="1">
      <alignment horizontal="center" vertical="top"/>
    </xf>
    <xf numFmtId="0" fontId="43" fillId="0" borderId="0" xfId="0" applyFont="1" applyAlignment="1">
      <alignment horizontal="right"/>
    </xf>
    <xf numFmtId="0" fontId="44" fillId="0" borderId="0" xfId="0" applyFont="1" applyAlignment="1">
      <alignment horizontal="right"/>
    </xf>
    <xf numFmtId="0" fontId="3" fillId="0" borderId="0" xfId="0" applyFont="1" applyAlignment="1">
      <alignment horizontal="center"/>
    </xf>
    <xf numFmtId="0" fontId="0" fillId="0" borderId="34" xfId="0" applyBorder="1"/>
    <xf numFmtId="0" fontId="0" fillId="0" borderId="35" xfId="0" applyBorder="1" applyAlignment="1">
      <alignment horizontal="right" indent="1"/>
    </xf>
    <xf numFmtId="0" fontId="0" fillId="0" borderId="36" xfId="0" applyBorder="1" applyAlignment="1">
      <alignment horizontal="center"/>
    </xf>
    <xf numFmtId="0" fontId="0" fillId="0" borderId="37" xfId="0" applyBorder="1" applyAlignment="1">
      <alignment horizontal="center"/>
    </xf>
    <xf numFmtId="0" fontId="0" fillId="2" borderId="13" xfId="0" applyFill="1" applyBorder="1"/>
    <xf numFmtId="0" fontId="0" fillId="0" borderId="38" xfId="0" applyBorder="1" applyAlignment="1">
      <alignment horizontal="center"/>
    </xf>
    <xf numFmtId="0" fontId="45" fillId="0" borderId="0" xfId="0" applyFont="1"/>
    <xf numFmtId="0" fontId="3" fillId="0" borderId="0" xfId="0" applyFont="1" applyAlignment="1">
      <alignment horizontal="center" wrapText="1"/>
    </xf>
    <xf numFmtId="0" fontId="3" fillId="0" borderId="0" xfId="0" applyFont="1"/>
    <xf numFmtId="0" fontId="3" fillId="8" borderId="0" xfId="0" applyFont="1" applyFill="1" applyAlignment="1">
      <alignment horizontal="center"/>
    </xf>
    <xf numFmtId="0" fontId="0" fillId="0" borderId="0" xfId="0" applyAlignment="1" quotePrefix="1">
      <alignment horizontal="center"/>
    </xf>
    <xf numFmtId="0" fontId="47" fillId="0" borderId="0" xfId="0" applyFont="1"/>
    <xf numFmtId="0" fontId="19" fillId="0" borderId="0" xfId="0" applyFont="1" applyAlignment="1">
      <alignment horizontal="center" vertical="center" wrapText="1"/>
    </xf>
    <xf numFmtId="0" fontId="2" fillId="0" borderId="0" xfId="0" applyFont="1" applyAlignment="1">
      <alignment horizontal="center" vertical="center"/>
    </xf>
    <xf numFmtId="0" fontId="3" fillId="0" borderId="39" xfId="0" applyFont="1" applyBorder="1" applyAlignment="1">
      <alignment horizontal="center"/>
    </xf>
    <xf numFmtId="0" fontId="21" fillId="0" borderId="40" xfId="0" applyFont="1" applyBorder="1" applyAlignment="1">
      <alignment horizontal="center" wrapText="1"/>
    </xf>
    <xf numFmtId="0" fontId="0" fillId="0" borderId="41" xfId="0" applyBorder="1"/>
    <xf numFmtId="0" fontId="0" fillId="8" borderId="42" xfId="0" applyFill="1" applyBorder="1" applyAlignment="1">
      <alignment horizontal="center" vertical="center"/>
    </xf>
    <xf numFmtId="0" fontId="0" fillId="0" borderId="43" xfId="0" applyBorder="1" applyAlignment="1">
      <alignment horizontal="center" vertical="center"/>
    </xf>
    <xf numFmtId="0" fontId="0" fillId="8" borderId="44" xfId="0" applyFill="1" applyBorder="1" applyAlignment="1">
      <alignment horizontal="center" vertical="center"/>
    </xf>
    <xf numFmtId="0" fontId="11" fillId="0" borderId="0" xfId="0" applyFont="1" applyAlignment="1">
      <alignment vertical="center"/>
    </xf>
    <xf numFmtId="0" fontId="0" fillId="0" borderId="0" xfId="0" applyAlignment="1">
      <alignment vertical="center"/>
    </xf>
    <xf numFmtId="0" fontId="0" fillId="0" borderId="45" xfId="0" applyBorder="1" applyAlignment="1">
      <alignment horizontal="left" indent="1"/>
    </xf>
    <xf numFmtId="0" fontId="0" fillId="0" borderId="46" xfId="0" applyBorder="1" applyAlignment="1">
      <alignment horizontal="left" indent="1"/>
    </xf>
    <xf numFmtId="0" fontId="21" fillId="0" borderId="47" xfId="0" applyFont="1" applyBorder="1" applyAlignment="1">
      <alignment horizontal="center" wrapText="1"/>
    </xf>
    <xf numFmtId="0" fontId="28" fillId="0" borderId="0" xfId="0" applyFont="1" applyAlignment="1">
      <alignment vertical="top" wrapText="1"/>
    </xf>
    <xf numFmtId="0" fontId="49" fillId="0" borderId="0" xfId="0" applyFont="1" applyAlignment="1">
      <alignment horizontal="center" vertical="center"/>
    </xf>
    <xf numFmtId="0" fontId="0" fillId="10" borderId="48" xfId="0" applyFill="1" applyBorder="1"/>
    <xf numFmtId="0" fontId="0" fillId="10" borderId="49" xfId="0" applyFill="1" applyBorder="1"/>
    <xf numFmtId="0" fontId="0" fillId="10" borderId="50" xfId="0" applyFill="1" applyBorder="1"/>
    <xf numFmtId="0" fontId="0" fillId="10" borderId="51" xfId="0" applyFill="1" applyBorder="1"/>
    <xf numFmtId="0" fontId="0" fillId="10" borderId="52" xfId="0" applyFill="1" applyBorder="1"/>
    <xf numFmtId="0" fontId="0" fillId="10" borderId="53" xfId="0" applyFill="1" applyBorder="1"/>
    <xf numFmtId="0" fontId="0" fillId="10" borderId="54" xfId="0" applyFill="1" applyBorder="1"/>
    <xf numFmtId="0" fontId="0" fillId="10" borderId="55" xfId="0" applyFill="1" applyBorder="1"/>
    <xf numFmtId="0" fontId="0" fillId="7" borderId="56" xfId="0" applyFill="1" applyBorder="1" applyAlignment="1" applyProtection="1">
      <alignment horizontal="left" vertical="top" wrapText="1" indent="1"/>
      <protection locked="0"/>
    </xf>
    <xf numFmtId="0" fontId="32" fillId="11" borderId="57" xfId="0" applyFont="1" applyFill="1" applyBorder="1" applyAlignment="1">
      <alignment horizontal="center"/>
    </xf>
    <xf numFmtId="0" fontId="0" fillId="10" borderId="58" xfId="0" applyFill="1" applyBorder="1" applyAlignment="1">
      <alignment horizontal="center"/>
    </xf>
    <xf numFmtId="0" fontId="0" fillId="10" borderId="59" xfId="0" applyFill="1" applyBorder="1" applyAlignment="1">
      <alignment horizontal="center"/>
    </xf>
    <xf numFmtId="0" fontId="32" fillId="11" borderId="58" xfId="0" applyFont="1" applyFill="1" applyBorder="1" applyAlignment="1">
      <alignment horizontal="center"/>
    </xf>
    <xf numFmtId="0" fontId="0" fillId="10" borderId="60" xfId="0" applyFill="1" applyBorder="1" applyAlignment="1">
      <alignment horizontal="center"/>
    </xf>
    <xf numFmtId="0" fontId="0" fillId="12" borderId="61" xfId="0" applyFill="1" applyBorder="1" applyAlignment="1" applyProtection="1">
      <alignment horizontal="left" indent="1"/>
      <protection locked="0"/>
    </xf>
    <xf numFmtId="0" fontId="0" fillId="3" borderId="62" xfId="0" applyFill="1" applyBorder="1" applyAlignment="1" applyProtection="1">
      <alignment horizontal="left" indent="1"/>
      <protection locked="0"/>
    </xf>
    <xf numFmtId="0" fontId="0" fillId="9" borderId="61" xfId="0" applyFill="1" applyBorder="1" applyAlignment="1" applyProtection="1">
      <alignment horizontal="left" indent="1"/>
      <protection locked="0"/>
    </xf>
    <xf numFmtId="0" fontId="0" fillId="13" borderId="61" xfId="0" applyFill="1" applyBorder="1" applyAlignment="1" applyProtection="1">
      <alignment horizontal="left" indent="1"/>
      <protection locked="0"/>
    </xf>
    <xf numFmtId="0" fontId="0" fillId="3" borderId="63" xfId="0" applyFill="1" applyBorder="1" applyAlignment="1" applyProtection="1">
      <alignment horizontal="left" indent="1"/>
      <protection locked="0"/>
    </xf>
    <xf numFmtId="0" fontId="0" fillId="9" borderId="64" xfId="0" applyFill="1" applyBorder="1" applyAlignment="1" applyProtection="1">
      <alignment horizontal="left" indent="1"/>
      <protection locked="0"/>
    </xf>
    <xf numFmtId="0" fontId="0" fillId="12" borderId="64" xfId="0" applyFill="1" applyBorder="1" applyAlignment="1" applyProtection="1">
      <alignment horizontal="left" indent="1"/>
      <protection locked="0"/>
    </xf>
    <xf numFmtId="0" fontId="0" fillId="13" borderId="64" xfId="0" applyFill="1" applyBorder="1" applyAlignment="1" applyProtection="1">
      <alignment horizontal="left" indent="1"/>
      <protection locked="0"/>
    </xf>
    <xf numFmtId="0" fontId="0" fillId="3" borderId="65" xfId="0" applyFill="1" applyBorder="1" applyAlignment="1" applyProtection="1">
      <alignment horizontal="left" vertical="top" wrapText="1" indent="1"/>
      <protection locked="0"/>
    </xf>
    <xf numFmtId="0" fontId="0" fillId="9" borderId="66" xfId="0" applyFill="1" applyBorder="1" applyAlignment="1" applyProtection="1">
      <alignment horizontal="left" vertical="top" wrapText="1" indent="1"/>
      <protection locked="0"/>
    </xf>
    <xf numFmtId="0" fontId="0" fillId="12" borderId="66" xfId="0" applyFill="1" applyBorder="1" applyAlignment="1" applyProtection="1">
      <alignment horizontal="left" vertical="top" wrapText="1" indent="1"/>
      <protection locked="0"/>
    </xf>
    <xf numFmtId="0" fontId="0" fillId="13" borderId="66"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3" fillId="0" borderId="0" xfId="0" applyNumberFormat="1" applyFont="1"/>
    <xf numFmtId="22" fontId="0" fillId="0" borderId="0" xfId="0" applyNumberFormat="1"/>
    <xf numFmtId="0" fontId="24" fillId="0" borderId="0" xfId="0" applyFont="1" applyAlignment="1">
      <alignment horizontal="left"/>
    </xf>
    <xf numFmtId="0" fontId="0" fillId="0" borderId="0" xfId="0" applyAlignment="1">
      <alignment vertical="center" wrapText="1"/>
    </xf>
    <xf numFmtId="0" fontId="25" fillId="0" borderId="0" xfId="0" applyFont="1" applyAlignment="1">
      <alignment horizontal="right"/>
    </xf>
    <xf numFmtId="0" fontId="25" fillId="0" borderId="0" xfId="0" applyFont="1" applyAlignment="1">
      <alignment horizontal="left" indent="1"/>
    </xf>
    <xf numFmtId="0" fontId="0" fillId="12" borderId="67" xfId="0" applyFill="1" applyBorder="1" applyAlignment="1" applyProtection="1">
      <alignment horizontal="left" vertical="top" wrapText="1" indent="1"/>
      <protection locked="0"/>
    </xf>
    <xf numFmtId="0" fontId="3" fillId="11" borderId="68" xfId="0" applyFont="1" applyFill="1" applyBorder="1" applyAlignment="1">
      <alignment horizontal="center" vertical="center" wrapText="1"/>
    </xf>
    <xf numFmtId="0" fontId="0" fillId="10" borderId="57" xfId="0" applyFill="1" applyBorder="1" applyAlignment="1">
      <alignment horizontal="center"/>
    </xf>
    <xf numFmtId="0" fontId="3" fillId="0" borderId="39" xfId="0" applyFont="1" applyBorder="1" applyAlignment="1">
      <alignment horizontal="center" vertical="center" wrapText="1"/>
    </xf>
    <xf numFmtId="0" fontId="0" fillId="8" borderId="21" xfId="0" applyFill="1" applyBorder="1" applyAlignment="1">
      <alignment horizontal="center" vertical="center"/>
    </xf>
    <xf numFmtId="0" fontId="34" fillId="0" borderId="69" xfId="0" applyFont="1" applyBorder="1" applyAlignment="1">
      <alignment horizontal="left" indent="1"/>
    </xf>
    <xf numFmtId="0" fontId="0" fillId="0" borderId="70" xfId="0" applyBorder="1" applyAlignment="1">
      <alignment horizontal="left" indent="1"/>
    </xf>
    <xf numFmtId="0" fontId="0" fillId="0" borderId="71" xfId="0" applyBorder="1" applyAlignment="1">
      <alignment horizontal="left" indent="1"/>
    </xf>
    <xf numFmtId="0" fontId="0" fillId="0" borderId="72" xfId="0" applyBorder="1" applyAlignment="1">
      <alignment horizontal="left" indent="1"/>
    </xf>
    <xf numFmtId="0" fontId="0" fillId="3" borderId="73" xfId="0" applyFill="1" applyBorder="1" applyAlignment="1" applyProtection="1">
      <alignment horizontal="center"/>
      <protection locked="0"/>
    </xf>
    <xf numFmtId="0" fontId="0" fillId="3" borderId="45" xfId="0" applyFill="1" applyBorder="1" applyAlignment="1" applyProtection="1">
      <alignment horizontal="center"/>
      <protection locked="0"/>
    </xf>
    <xf numFmtId="0" fontId="0" fillId="3" borderId="74" xfId="0" applyFill="1" applyBorder="1" applyAlignment="1" applyProtection="1">
      <alignment horizontal="center"/>
      <protection locked="0"/>
    </xf>
    <xf numFmtId="0" fontId="0" fillId="3" borderId="75" xfId="0" applyFill="1" applyBorder="1" applyAlignment="1" applyProtection="1">
      <alignment horizontal="center"/>
      <protection locked="0"/>
    </xf>
    <xf numFmtId="0" fontId="0" fillId="0" borderId="76" xfId="0" applyBorder="1" applyAlignment="1">
      <alignment horizontal="right" indent="2"/>
    </xf>
    <xf numFmtId="0" fontId="0" fillId="0" borderId="77" xfId="0" applyBorder="1" applyAlignment="1">
      <alignment horizontal="right" indent="2"/>
    </xf>
    <xf numFmtId="165" fontId="0" fillId="0" borderId="78" xfId="0" applyNumberFormat="1" applyBorder="1" applyAlignment="1">
      <alignment horizontal="right" indent="2"/>
    </xf>
    <xf numFmtId="0" fontId="0" fillId="0" borderId="75" xfId="0" applyBorder="1" applyAlignment="1">
      <alignment horizontal="left" indent="1"/>
    </xf>
    <xf numFmtId="0" fontId="0" fillId="0" borderId="79" xfId="0" applyBorder="1" applyAlignment="1">
      <alignment horizontal="center"/>
    </xf>
    <xf numFmtId="0" fontId="0" fillId="0" borderId="80" xfId="0" applyBorder="1" applyAlignment="1">
      <alignment horizontal="left" indent="1"/>
    </xf>
    <xf numFmtId="0" fontId="0" fillId="0" borderId="81" xfId="0" applyBorder="1" applyAlignment="1">
      <alignment horizontal="center"/>
    </xf>
    <xf numFmtId="0" fontId="0" fillId="0" borderId="82" xfId="0" applyBorder="1" applyAlignment="1">
      <alignment horizontal="left" indent="1"/>
    </xf>
    <xf numFmtId="0" fontId="0" fillId="0" borderId="83" xfId="0" applyBorder="1" applyAlignment="1">
      <alignment horizontal="center"/>
    </xf>
    <xf numFmtId="0" fontId="0" fillId="0" borderId="84" xfId="0" applyBorder="1" applyAlignment="1">
      <alignment horizontal="left" indent="1"/>
    </xf>
    <xf numFmtId="0" fontId="0" fillId="0" borderId="85" xfId="0" applyBorder="1"/>
    <xf numFmtId="0" fontId="0" fillId="0" borderId="86" xfId="0" applyBorder="1"/>
    <xf numFmtId="0" fontId="0" fillId="10" borderId="87" xfId="0" applyFill="1" applyBorder="1" applyAlignment="1">
      <alignment horizontal="center"/>
    </xf>
    <xf numFmtId="0" fontId="52" fillId="0" borderId="0" xfId="0" applyFont="1"/>
    <xf numFmtId="0" fontId="0" fillId="7" borderId="29" xfId="0" applyFill="1" applyBorder="1" applyAlignment="1">
      <alignment horizontal="left" indent="1"/>
    </xf>
    <xf numFmtId="0" fontId="0" fillId="10" borderId="88" xfId="0" applyFill="1" applyBorder="1" applyAlignment="1">
      <alignment horizontal="center"/>
    </xf>
    <xf numFmtId="0" fontId="32" fillId="11" borderId="89" xfId="0" applyFont="1" applyFill="1" applyBorder="1"/>
    <xf numFmtId="0" fontId="32" fillId="11" borderId="90" xfId="0" applyFont="1" applyFill="1" applyBorder="1" applyAlignment="1">
      <alignment horizontal="left" indent="1"/>
    </xf>
    <xf numFmtId="0" fontId="3" fillId="0" borderId="12" xfId="0" applyFont="1" applyBorder="1" applyAlignment="1">
      <alignment horizontal="center"/>
    </xf>
    <xf numFmtId="0" fontId="3" fillId="0" borderId="9" xfId="0" applyFont="1" applyBorder="1" applyAlignment="1">
      <alignment horizontal="center"/>
    </xf>
    <xf numFmtId="167" fontId="0" fillId="0" borderId="0" xfId="0" applyNumberFormat="1" applyAlignment="1">
      <alignment horizontal="right"/>
    </xf>
    <xf numFmtId="0" fontId="0" fillId="3" borderId="91" xfId="0" applyFill="1" applyBorder="1"/>
    <xf numFmtId="0" fontId="0" fillId="3" borderId="92" xfId="0" applyFill="1" applyBorder="1" applyAlignment="1">
      <alignment horizontal="center"/>
    </xf>
    <xf numFmtId="0" fontId="0" fillId="3" borderId="93" xfId="0" applyFill="1" applyBorder="1"/>
    <xf numFmtId="0" fontId="0" fillId="3" borderId="94" xfId="0" applyFill="1" applyBorder="1"/>
    <xf numFmtId="0" fontId="0" fillId="3" borderId="95" xfId="0" applyFill="1" applyBorder="1" applyAlignment="1">
      <alignment horizontal="center"/>
    </xf>
    <xf numFmtId="0" fontId="0" fillId="3" borderId="96" xfId="0" applyFill="1" applyBorder="1"/>
    <xf numFmtId="0" fontId="0" fillId="3" borderId="93" xfId="0" applyFill="1" applyBorder="1" applyAlignment="1">
      <alignment horizontal="left"/>
    </xf>
    <xf numFmtId="0" fontId="0" fillId="3" borderId="96" xfId="0" applyFill="1" applyBorder="1" applyAlignment="1">
      <alignment horizontal="left"/>
    </xf>
    <xf numFmtId="0" fontId="0" fillId="0" borderId="97" xfId="0" applyBorder="1" applyAlignment="1">
      <alignment horizontal="center"/>
    </xf>
    <xf numFmtId="0" fontId="0" fillId="0" borderId="98" xfId="0" applyBorder="1" applyAlignment="1">
      <alignment horizontal="center"/>
    </xf>
    <xf numFmtId="0" fontId="0" fillId="0" borderId="99" xfId="0" applyBorder="1" applyAlignment="1">
      <alignment horizontal="center"/>
    </xf>
    <xf numFmtId="0" fontId="0" fillId="0" borderId="100" xfId="0" applyBorder="1" applyAlignment="1">
      <alignment horizontal="center"/>
    </xf>
    <xf numFmtId="0" fontId="0" fillId="0" borderId="101" xfId="0" applyBorder="1" applyAlignment="1">
      <alignment horizontal="center"/>
    </xf>
    <xf numFmtId="0" fontId="0" fillId="0" borderId="102" xfId="0" applyBorder="1" applyAlignment="1">
      <alignment horizontal="center"/>
    </xf>
    <xf numFmtId="0" fontId="0" fillId="0" borderId="103" xfId="0" applyBorder="1" applyAlignment="1">
      <alignment horizontal="center"/>
    </xf>
    <xf numFmtId="0" fontId="54" fillId="0" borderId="8" xfId="0" applyFont="1" applyBorder="1"/>
    <xf numFmtId="0" fontId="54" fillId="0" borderId="16" xfId="0" applyFont="1" applyBorder="1"/>
    <xf numFmtId="0" fontId="0" fillId="7" borderId="0" xfId="0" applyFill="1" applyAlignment="1">
      <alignment horizontal="center"/>
    </xf>
    <xf numFmtId="0" fontId="0" fillId="7" borderId="0" xfId="0" applyFill="1"/>
    <xf numFmtId="0" fontId="0" fillId="7" borderId="100" xfId="0" applyFill="1" applyBorder="1" applyAlignment="1">
      <alignment horizontal="center"/>
    </xf>
    <xf numFmtId="0" fontId="0" fillId="7" borderId="104" xfId="0" applyFill="1" applyBorder="1" applyAlignment="1">
      <alignment horizontal="center"/>
    </xf>
    <xf numFmtId="168" fontId="0" fillId="0" borderId="0" xfId="0" applyNumberFormat="1"/>
    <xf numFmtId="3" fontId="0" fillId="0" borderId="0" xfId="0" applyNumberFormat="1"/>
    <xf numFmtId="0" fontId="21" fillId="0" borderId="15" xfId="0" applyFont="1" applyBorder="1" applyAlignment="1">
      <alignment horizontal="center"/>
    </xf>
    <xf numFmtId="0" fontId="0" fillId="0" borderId="104" xfId="0" applyBorder="1" applyAlignment="1">
      <alignment horizontal="center"/>
    </xf>
    <xf numFmtId="0" fontId="0" fillId="0" borderId="105" xfId="0" applyBorder="1"/>
    <xf numFmtId="0" fontId="0" fillId="0" borderId="106" xfId="0" applyBorder="1" applyAlignment="1">
      <alignment horizontal="center"/>
    </xf>
    <xf numFmtId="0" fontId="0" fillId="0" borderId="106" xfId="0" applyBorder="1"/>
    <xf numFmtId="0" fontId="0" fillId="0" borderId="107" xfId="0" applyBorder="1"/>
    <xf numFmtId="0" fontId="0" fillId="0" borderId="108" xfId="0" applyBorder="1"/>
    <xf numFmtId="0" fontId="0" fillId="0" borderId="109" xfId="0" applyBorder="1" applyAlignment="1">
      <alignment horizontal="center"/>
    </xf>
    <xf numFmtId="0" fontId="0" fillId="0" borderId="109" xfId="0" applyBorder="1"/>
    <xf numFmtId="0" fontId="0" fillId="9" borderId="110" xfId="0" applyFill="1" applyBorder="1"/>
    <xf numFmtId="3" fontId="0" fillId="0" borderId="0" xfId="0" applyNumberFormat="1" applyAlignment="1">
      <alignment horizontal="center"/>
    </xf>
    <xf numFmtId="0" fontId="42" fillId="0" borderId="0" xfId="0" applyFont="1" applyAlignment="1">
      <alignment vertical="center"/>
    </xf>
    <xf numFmtId="0" fontId="9" fillId="0" borderId="0" xfId="0" applyFont="1" applyAlignment="1">
      <alignment horizontal="center"/>
    </xf>
    <xf numFmtId="0" fontId="24" fillId="0" borderId="0" xfId="0" applyFont="1"/>
    <xf numFmtId="0" fontId="0" fillId="7" borderId="30" xfId="0" applyFill="1" applyBorder="1" applyAlignment="1">
      <alignment horizontal="left" indent="1"/>
    </xf>
    <xf numFmtId="0" fontId="38" fillId="0" borderId="0" xfId="0" applyFont="1"/>
    <xf numFmtId="0" fontId="38" fillId="0" borderId="0" xfId="0" applyFont="1" applyAlignment="1">
      <alignment horizontal="center" vertical="center"/>
    </xf>
    <xf numFmtId="0" fontId="40" fillId="0" borderId="0" xfId="0" applyFont="1" applyAlignment="1">
      <alignment horizontal="center"/>
    </xf>
    <xf numFmtId="0" fontId="52" fillId="12" borderId="111" xfId="0" applyFont="1" applyFill="1" applyBorder="1" applyAlignment="1">
      <alignment horizontal="center"/>
    </xf>
    <xf numFmtId="0" fontId="0" fillId="0" borderId="82" xfId="0" applyBorder="1" applyAlignment="1" quotePrefix="1">
      <alignment horizontal="left" indent="1"/>
    </xf>
    <xf numFmtId="0" fontId="8" fillId="0" borderId="0" xfId="0" applyFont="1" applyAlignment="1">
      <alignment vertical="center"/>
    </xf>
    <xf numFmtId="49" fontId="10" fillId="0" borderId="0" xfId="0" applyNumberFormat="1" applyFont="1" applyAlignment="1">
      <alignment horizontal="left" vertical="center"/>
    </xf>
    <xf numFmtId="49" fontId="11" fillId="0" borderId="0" xfId="0" applyNumberFormat="1" applyFont="1"/>
    <xf numFmtId="49" fontId="0" fillId="0" borderId="0" xfId="0" applyNumberFormat="1"/>
    <xf numFmtId="0" fontId="66" fillId="0" borderId="0" xfId="0" applyFont="1" applyAlignment="1">
      <alignment horizontal="center" vertical="center" wrapText="1"/>
    </xf>
    <xf numFmtId="0" fontId="49" fillId="0" borderId="112" xfId="0" applyFont="1" applyBorder="1" applyAlignment="1">
      <alignment horizontal="center" vertical="center" wrapText="1"/>
    </xf>
    <xf numFmtId="0" fontId="49" fillId="0" borderId="113" xfId="0" applyFont="1" applyBorder="1" applyAlignment="1">
      <alignment horizontal="center" vertical="center" wrapText="1"/>
    </xf>
    <xf numFmtId="0" fontId="67" fillId="0" borderId="114" xfId="0" applyFont="1" applyBorder="1" applyAlignment="1">
      <alignment horizontal="center" vertical="center" wrapText="1"/>
    </xf>
    <xf numFmtId="0" fontId="67" fillId="0" borderId="115" xfId="0" applyFont="1" applyBorder="1" applyAlignment="1">
      <alignment horizontal="center" vertical="center" wrapText="1"/>
    </xf>
    <xf numFmtId="0" fontId="67" fillId="0" borderId="116" xfId="0" applyFont="1" applyBorder="1" applyAlignment="1">
      <alignment horizontal="center" vertical="center" wrapText="1"/>
    </xf>
    <xf numFmtId="0" fontId="67" fillId="0" borderId="117" xfId="0" applyFont="1" applyBorder="1" applyAlignment="1">
      <alignment horizontal="center" vertical="center" wrapText="1"/>
    </xf>
    <xf numFmtId="0" fontId="67" fillId="0" borderId="118" xfId="0" applyFont="1" applyBorder="1" applyAlignment="1">
      <alignment horizontal="center" vertical="center" wrapText="1"/>
    </xf>
    <xf numFmtId="0" fontId="67" fillId="0" borderId="119" xfId="0" applyFont="1" applyBorder="1" applyAlignment="1">
      <alignment horizontal="center" vertical="center" wrapText="1"/>
    </xf>
    <xf numFmtId="0" fontId="67" fillId="0" borderId="120" xfId="0" applyFont="1" applyBorder="1" applyAlignment="1">
      <alignment horizontal="center" vertical="center" wrapText="1"/>
    </xf>
    <xf numFmtId="0" fontId="67" fillId="0" borderId="121" xfId="0" applyFont="1" applyBorder="1" applyAlignment="1">
      <alignment horizontal="center" vertical="center" wrapText="1"/>
    </xf>
    <xf numFmtId="0" fontId="67" fillId="0" borderId="122" xfId="0" applyFont="1" applyBorder="1" applyAlignment="1">
      <alignment horizontal="center" vertical="center" wrapText="1"/>
    </xf>
    <xf numFmtId="0" fontId="49" fillId="0" borderId="123" xfId="0" applyFont="1" applyBorder="1" applyAlignment="1">
      <alignment horizontal="center" vertical="center" wrapText="1"/>
    </xf>
    <xf numFmtId="0" fontId="49" fillId="0" borderId="124" xfId="0" applyFont="1" applyBorder="1" applyAlignment="1">
      <alignment horizontal="center" vertical="center" wrapText="1"/>
    </xf>
    <xf numFmtId="0" fontId="49" fillId="0" borderId="125" xfId="0" applyFont="1" applyBorder="1" applyAlignment="1">
      <alignment horizontal="center" vertical="center" wrapText="1"/>
    </xf>
    <xf numFmtId="0" fontId="49" fillId="0" borderId="126" xfId="0" applyFont="1" applyBorder="1" applyAlignment="1">
      <alignment horizontal="center" vertical="center" wrapText="1"/>
    </xf>
    <xf numFmtId="0" fontId="49" fillId="0" borderId="127" xfId="0" applyFont="1" applyBorder="1" applyAlignment="1">
      <alignment horizontal="center" vertical="center" wrapText="1"/>
    </xf>
    <xf numFmtId="0" fontId="49" fillId="0" borderId="128" xfId="0" applyFont="1" applyBorder="1" applyAlignment="1">
      <alignment horizontal="center" vertical="center" wrapText="1"/>
    </xf>
    <xf numFmtId="0" fontId="24" fillId="0" borderId="0" xfId="0" applyFont="1" applyAlignment="1">
      <alignment horizontal="right" indent="1"/>
    </xf>
    <xf numFmtId="0" fontId="6" fillId="14" borderId="129" xfId="0" applyFont="1" applyFill="1" applyBorder="1" applyAlignment="1">
      <alignment horizontal="center"/>
    </xf>
    <xf numFmtId="0" fontId="6" fillId="14" borderId="130" xfId="0" applyFont="1" applyFill="1" applyBorder="1" applyAlignment="1">
      <alignment horizontal="left"/>
    </xf>
    <xf numFmtId="0" fontId="6" fillId="14" borderId="131" xfId="0" applyFont="1" applyFill="1" applyBorder="1" applyAlignment="1">
      <alignment horizontal="center"/>
    </xf>
    <xf numFmtId="0" fontId="6" fillId="14" borderId="132" xfId="0" applyFont="1" applyFill="1" applyBorder="1" applyAlignment="1">
      <alignment horizontal="left"/>
    </xf>
    <xf numFmtId="0" fontId="6" fillId="14" borderId="133" xfId="0" applyFont="1" applyFill="1" applyBorder="1" applyAlignment="1">
      <alignment horizontal="center"/>
    </xf>
    <xf numFmtId="0" fontId="6" fillId="14" borderId="134" xfId="0" applyFont="1" applyFill="1" applyBorder="1" applyAlignment="1">
      <alignment horizontal="left"/>
    </xf>
    <xf numFmtId="0" fontId="0" fillId="0" borderId="135" xfId="0" applyBorder="1" applyAlignment="1">
      <alignment horizontal="center"/>
    </xf>
    <xf numFmtId="0" fontId="0" fillId="0" borderId="136" xfId="0" applyBorder="1"/>
    <xf numFmtId="0" fontId="0" fillId="0" borderId="136" xfId="0" applyBorder="1" applyAlignment="1">
      <alignment horizontal="center"/>
    </xf>
    <xf numFmtId="168" fontId="0" fillId="0" borderId="136" xfId="0" applyNumberFormat="1" applyBorder="1"/>
    <xf numFmtId="0" fontId="0" fillId="0" borderId="137" xfId="0" applyBorder="1" applyAlignment="1">
      <alignment horizontal="center"/>
    </xf>
    <xf numFmtId="0" fontId="0" fillId="0" borderId="138" xfId="0" applyBorder="1"/>
    <xf numFmtId="0" fontId="0" fillId="0" borderId="138" xfId="0" applyBorder="1" applyAlignment="1">
      <alignment horizontal="center"/>
    </xf>
    <xf numFmtId="168" fontId="0" fillId="0" borderId="138" xfId="0" applyNumberFormat="1" applyBorder="1"/>
    <xf numFmtId="0" fontId="0" fillId="0" borderId="139" xfId="0" applyBorder="1" applyAlignment="1">
      <alignment horizontal="center"/>
    </xf>
    <xf numFmtId="0" fontId="0" fillId="0" borderId="140" xfId="0" applyBorder="1"/>
    <xf numFmtId="0" fontId="0" fillId="0" borderId="140" xfId="0" applyBorder="1" applyAlignment="1">
      <alignment horizontal="center"/>
    </xf>
    <xf numFmtId="168" fontId="0" fillId="0" borderId="140" xfId="0" applyNumberFormat="1" applyBorder="1"/>
    <xf numFmtId="0" fontId="6" fillId="14" borderId="141" xfId="0" applyFont="1" applyFill="1" applyBorder="1"/>
    <xf numFmtId="0" fontId="6" fillId="14" borderId="142" xfId="0" applyFont="1" applyFill="1" applyBorder="1"/>
    <xf numFmtId="0" fontId="6" fillId="14" borderId="143" xfId="0" applyFont="1" applyFill="1" applyBorder="1"/>
    <xf numFmtId="0" fontId="0" fillId="0" borderId="141" xfId="0" applyBorder="1" applyAlignment="1">
      <alignment horizontal="center"/>
    </xf>
    <xf numFmtId="0" fontId="0" fillId="0" borderId="144" xfId="0" applyBorder="1" applyAlignment="1">
      <alignment horizontal="center"/>
    </xf>
    <xf numFmtId="0" fontId="0" fillId="0" borderId="142" xfId="0" applyBorder="1" applyAlignment="1">
      <alignment horizontal="center"/>
    </xf>
    <xf numFmtId="0" fontId="0" fillId="0" borderId="145" xfId="0" applyBorder="1" applyAlignment="1">
      <alignment horizontal="center"/>
    </xf>
    <xf numFmtId="0" fontId="0" fillId="0" borderId="143" xfId="0" applyBorder="1" applyAlignment="1">
      <alignment horizontal="center"/>
    </xf>
    <xf numFmtId="0" fontId="0" fillId="0" borderId="146" xfId="0" applyBorder="1" applyAlignment="1">
      <alignment horizontal="center"/>
    </xf>
    <xf numFmtId="0" fontId="56" fillId="14" borderId="136" xfId="0" applyFont="1" applyFill="1" applyBorder="1" applyAlignment="1">
      <alignment horizontal="center"/>
    </xf>
    <xf numFmtId="0" fontId="56" fillId="14" borderId="138" xfId="0" applyFont="1" applyFill="1" applyBorder="1" applyAlignment="1">
      <alignment horizontal="center"/>
    </xf>
    <xf numFmtId="0" fontId="56" fillId="14" borderId="140" xfId="0" applyFont="1" applyFill="1" applyBorder="1" applyAlignment="1">
      <alignment horizontal="center"/>
    </xf>
    <xf numFmtId="0" fontId="0" fillId="0" borderId="144" xfId="0" applyBorder="1"/>
    <xf numFmtId="0" fontId="0" fillId="0" borderId="147" xfId="0" applyBorder="1" applyAlignment="1">
      <alignment horizontal="center"/>
    </xf>
    <xf numFmtId="0" fontId="0" fillId="0" borderId="148" xfId="0" applyBorder="1" applyAlignment="1">
      <alignment horizontal="center"/>
    </xf>
    <xf numFmtId="0" fontId="0" fillId="0" borderId="149" xfId="0" applyBorder="1" applyAlignment="1">
      <alignment horizontal="center"/>
    </xf>
    <xf numFmtId="0" fontId="57" fillId="15" borderId="150" xfId="0" applyFont="1" applyFill="1" applyBorder="1" applyAlignment="1" applyProtection="1">
      <alignment horizontal="center" vertical="center"/>
      <protection locked="0"/>
    </xf>
    <xf numFmtId="0" fontId="57" fillId="15" borderId="2" xfId="0" applyFont="1" applyFill="1" applyBorder="1" applyAlignment="1" applyProtection="1">
      <alignment horizontal="center" vertical="center"/>
      <protection locked="0"/>
    </xf>
    <xf numFmtId="0" fontId="57" fillId="15" borderId="1" xfId="0" applyFont="1" applyFill="1" applyBorder="1" applyAlignment="1" applyProtection="1">
      <alignment horizontal="center" vertical="center"/>
      <protection locked="0"/>
    </xf>
    <xf numFmtId="0" fontId="57" fillId="15" borderId="3" xfId="0" applyFont="1" applyFill="1" applyBorder="1" applyAlignment="1" applyProtection="1">
      <alignment horizontal="center" vertical="center"/>
      <protection locked="0"/>
    </xf>
    <xf numFmtId="0" fontId="48" fillId="0" borderId="0" xfId="0" applyFont="1" applyAlignment="1">
      <alignment horizontal="center" vertical="center"/>
    </xf>
    <xf numFmtId="49" fontId="9" fillId="6" borderId="151" xfId="0" applyNumberFormat="1" applyFont="1" applyFill="1" applyBorder="1" applyAlignment="1" applyProtection="1">
      <alignment horizontal="left"/>
      <protection locked="0"/>
    </xf>
    <xf numFmtId="49" fontId="9" fillId="6" borderId="4" xfId="0" applyNumberFormat="1" applyFont="1" applyFill="1" applyBorder="1" applyAlignment="1" applyProtection="1">
      <alignment horizontal="left"/>
      <protection locked="0"/>
    </xf>
    <xf numFmtId="0" fontId="62" fillId="0" borderId="0" xfId="0" applyFont="1"/>
    <xf numFmtId="0" fontId="59" fillId="0" borderId="0" xfId="0" applyFont="1" applyAlignment="1">
      <alignment vertical="center" wrapText="1"/>
    </xf>
    <xf numFmtId="0" fontId="58" fillId="0" borderId="0" xfId="0" applyFont="1" applyAlignment="1">
      <alignment vertical="center" wrapText="1"/>
    </xf>
    <xf numFmtId="0" fontId="61" fillId="0" borderId="0" xfId="0" applyFont="1"/>
    <xf numFmtId="0" fontId="63" fillId="0" borderId="0" xfId="0" applyFont="1" applyAlignment="1">
      <alignment vertical="center" wrapText="1"/>
    </xf>
    <xf numFmtId="0" fontId="44" fillId="0" borderId="0" xfId="0" applyFont="1" applyAlignment="1">
      <alignment vertical="center" wrapText="1"/>
    </xf>
    <xf numFmtId="0" fontId="15" fillId="0" borderId="152" xfId="0" applyFont="1" applyBorder="1" applyAlignment="1">
      <alignment horizontal="center"/>
    </xf>
    <xf numFmtId="0" fontId="15" fillId="16" borderId="153" xfId="0" applyFont="1" applyFill="1" applyBorder="1" applyAlignment="1">
      <alignment horizontal="center"/>
    </xf>
    <xf numFmtId="0" fontId="64" fillId="16" borderId="153" xfId="0" applyFont="1" applyFill="1" applyBorder="1" applyAlignment="1">
      <alignment horizontal="center"/>
    </xf>
    <xf numFmtId="0" fontId="15" fillId="16" borderId="154" xfId="0" applyFont="1" applyFill="1" applyBorder="1" applyAlignment="1">
      <alignment horizontal="center"/>
    </xf>
    <xf numFmtId="0" fontId="64" fillId="16" borderId="155" xfId="0" applyFont="1" applyFill="1" applyBorder="1" applyAlignment="1">
      <alignment horizontal="center"/>
    </xf>
    <xf numFmtId="0" fontId="38" fillId="17" borderId="156" xfId="0" applyFont="1" applyFill="1" applyBorder="1"/>
    <xf numFmtId="0" fontId="38" fillId="18" borderId="156" xfId="0" applyFont="1" applyFill="1" applyBorder="1" applyAlignment="1">
      <alignment horizontal="center" vertical="center"/>
    </xf>
    <xf numFmtId="0" fontId="38" fillId="17" borderId="157" xfId="0" applyFont="1" applyFill="1" applyBorder="1"/>
    <xf numFmtId="0" fontId="0" fillId="19" borderId="158" xfId="0" applyFill="1" applyBorder="1"/>
    <xf numFmtId="0" fontId="0" fillId="19" borderId="159" xfId="0" applyFill="1" applyBorder="1" applyAlignment="1">
      <alignment horizontal="center"/>
    </xf>
    <xf numFmtId="0" fontId="78" fillId="0" borderId="0" xfId="0" applyFont="1" applyAlignment="1">
      <alignment horizontal="right" vertical="center" indent="1"/>
    </xf>
    <xf numFmtId="0" fontId="70" fillId="0" borderId="0" xfId="0" applyFont="1" applyAlignment="1">
      <alignment horizontal="right" vertical="center" wrapText="1" indent="1"/>
    </xf>
    <xf numFmtId="0" fontId="0" fillId="20" borderId="66" xfId="0" applyFill="1" applyBorder="1" applyAlignment="1" applyProtection="1">
      <alignment horizontal="left" indent="1"/>
      <protection locked="0"/>
    </xf>
    <xf numFmtId="0" fontId="0" fillId="20" borderId="61" xfId="0" applyFill="1" applyBorder="1" applyAlignment="1" applyProtection="1">
      <alignment horizontal="left" indent="1"/>
      <protection locked="0"/>
    </xf>
    <xf numFmtId="0" fontId="0" fillId="20" borderId="64" xfId="0" applyFill="1" applyBorder="1" applyAlignment="1" applyProtection="1">
      <alignment horizontal="left" indent="1"/>
      <protection locked="0"/>
    </xf>
    <xf numFmtId="165" fontId="0" fillId="20" borderId="45" xfId="0" applyNumberFormat="1" applyFill="1" applyBorder="1" applyAlignment="1" applyProtection="1">
      <alignment horizontal="right" indent="2"/>
      <protection locked="0"/>
    </xf>
    <xf numFmtId="165" fontId="0" fillId="20" borderId="75" xfId="0" applyNumberFormat="1" applyFill="1" applyBorder="1" applyAlignment="1" applyProtection="1">
      <alignment horizontal="right" indent="2"/>
      <protection locked="0"/>
    </xf>
    <xf numFmtId="0" fontId="0" fillId="20" borderId="75" xfId="0" applyFill="1" applyBorder="1" applyAlignment="1" applyProtection="1">
      <alignment horizontal="center" vertical="center"/>
      <protection locked="0"/>
    </xf>
    <xf numFmtId="0" fontId="0" fillId="20" borderId="160" xfId="0" applyFill="1" applyBorder="1" applyAlignment="1" applyProtection="1">
      <alignment horizontal="center" vertical="center"/>
      <protection locked="0"/>
    </xf>
    <xf numFmtId="0" fontId="0" fillId="20" borderId="161" xfId="0" applyFill="1" applyBorder="1" applyAlignment="1" applyProtection="1">
      <alignment horizontal="center" vertical="center"/>
      <protection locked="0"/>
    </xf>
    <xf numFmtId="0" fontId="0" fillId="20" borderId="45" xfId="0" applyFill="1" applyBorder="1" applyAlignment="1" applyProtection="1">
      <alignment horizontal="center" vertical="center"/>
      <protection locked="0"/>
    </xf>
    <xf numFmtId="0" fontId="0" fillId="20" borderId="162" xfId="0" applyFill="1" applyBorder="1" applyAlignment="1" applyProtection="1">
      <alignment horizontal="left" indent="3"/>
      <protection locked="0"/>
    </xf>
    <xf numFmtId="0" fontId="0" fillId="20" borderId="162" xfId="0" applyFill="1" applyBorder="1" applyAlignment="1" applyProtection="1">
      <alignment horizontal="left" indent="1"/>
      <protection locked="0"/>
    </xf>
    <xf numFmtId="0" fontId="0" fillId="0" borderId="36" xfId="0" applyBorder="1"/>
    <xf numFmtId="0" fontId="0" fillId="0" borderId="163" xfId="0" applyBorder="1" applyAlignment="1">
      <alignment horizontal="center"/>
    </xf>
    <xf numFmtId="0" fontId="0" fillId="0" borderId="164" xfId="0" applyBorder="1" applyAlignment="1">
      <alignment horizontal="center"/>
    </xf>
    <xf numFmtId="0" fontId="3" fillId="0" borderId="165" xfId="0" applyFont="1" applyBorder="1" applyAlignment="1">
      <alignment horizontal="center"/>
    </xf>
    <xf numFmtId="0" fontId="0" fillId="0" borderId="166" xfId="0" applyBorder="1" applyAlignment="1">
      <alignment horizontal="center"/>
    </xf>
    <xf numFmtId="0" fontId="3" fillId="0" borderId="167" xfId="0" applyFont="1" applyBorder="1" applyAlignment="1">
      <alignment horizontal="center"/>
    </xf>
    <xf numFmtId="0" fontId="0" fillId="0" borderId="168" xfId="0" applyBorder="1" applyAlignment="1">
      <alignment horizontal="center"/>
    </xf>
    <xf numFmtId="0" fontId="3" fillId="0" borderId="169" xfId="0" applyFont="1" applyBorder="1" applyAlignment="1">
      <alignment horizontal="center"/>
    </xf>
    <xf numFmtId="0" fontId="0" fillId="0" borderId="170" xfId="0" applyBorder="1" applyAlignment="1">
      <alignment horizontal="center"/>
    </xf>
    <xf numFmtId="0" fontId="0" fillId="0" borderId="171" xfId="0" applyBorder="1"/>
    <xf numFmtId="0" fontId="0" fillId="0" borderId="172" xfId="0" applyBorder="1"/>
    <xf numFmtId="0" fontId="0" fillId="0" borderId="173" xfId="0" applyBorder="1"/>
    <xf numFmtId="0" fontId="83" fillId="0" borderId="0" xfId="0" applyFont="1" applyAlignment="1">
      <alignment horizontal="center"/>
    </xf>
    <xf numFmtId="0" fontId="82" fillId="0" borderId="165" xfId="0" applyFont="1" applyBorder="1" applyAlignment="1">
      <alignment horizontal="center"/>
    </xf>
    <xf numFmtId="0" fontId="82" fillId="0" borderId="166" xfId="0" applyFont="1" applyBorder="1" applyAlignment="1">
      <alignment horizontal="center"/>
    </xf>
    <xf numFmtId="0" fontId="82" fillId="0" borderId="171" xfId="0" applyFont="1" applyBorder="1"/>
    <xf numFmtId="0" fontId="82" fillId="0" borderId="163" xfId="0" applyFont="1" applyBorder="1" applyAlignment="1">
      <alignment horizontal="center"/>
    </xf>
    <xf numFmtId="0" fontId="82" fillId="0" borderId="174" xfId="0" applyFont="1" applyBorder="1" applyAlignment="1">
      <alignment horizontal="left"/>
    </xf>
    <xf numFmtId="0" fontId="82" fillId="0" borderId="167" xfId="0" applyFont="1" applyBorder="1" applyAlignment="1">
      <alignment horizontal="center"/>
    </xf>
    <xf numFmtId="0" fontId="82" fillId="0" borderId="168" xfId="0" applyFont="1" applyBorder="1" applyAlignment="1">
      <alignment horizontal="center"/>
    </xf>
    <xf numFmtId="0" fontId="82" fillId="0" borderId="172" xfId="0" applyFont="1" applyBorder="1"/>
    <xf numFmtId="0" fontId="82" fillId="0" borderId="36" xfId="0" applyFont="1" applyBorder="1" applyAlignment="1">
      <alignment horizontal="center"/>
    </xf>
    <xf numFmtId="0" fontId="82" fillId="0" borderId="175" xfId="0" applyFont="1" applyBorder="1" applyAlignment="1">
      <alignment horizontal="left"/>
    </xf>
    <xf numFmtId="0" fontId="82" fillId="0" borderId="169" xfId="0" applyFont="1" applyBorder="1" applyAlignment="1">
      <alignment horizontal="center"/>
    </xf>
    <xf numFmtId="0" fontId="82" fillId="0" borderId="170" xfId="0" applyFont="1" applyBorder="1" applyAlignment="1">
      <alignment horizontal="center"/>
    </xf>
    <xf numFmtId="0" fontId="82" fillId="0" borderId="173" xfId="0" applyFont="1" applyBorder="1"/>
    <xf numFmtId="0" fontId="82" fillId="0" borderId="164" xfId="0" applyFont="1" applyBorder="1" applyAlignment="1">
      <alignment horizontal="center"/>
    </xf>
    <xf numFmtId="0" fontId="82" fillId="0" borderId="176" xfId="0" applyFont="1" applyBorder="1" applyAlignment="1">
      <alignment horizontal="left"/>
    </xf>
    <xf numFmtId="0" fontId="70" fillId="0" borderId="177" xfId="0" applyFont="1" applyBorder="1" applyAlignment="1">
      <alignment horizontal="center"/>
    </xf>
    <xf numFmtId="0" fontId="70" fillId="0" borderId="178" xfId="0" applyFont="1" applyBorder="1" applyAlignment="1">
      <alignment horizontal="center"/>
    </xf>
    <xf numFmtId="0" fontId="70" fillId="0" borderId="179" xfId="0" applyFont="1" applyBorder="1" applyAlignment="1">
      <alignment horizontal="center"/>
    </xf>
    <xf numFmtId="0" fontId="60" fillId="7" borderId="180" xfId="0" applyFont="1" applyFill="1" applyBorder="1" applyAlignment="1">
      <alignment vertical="center" wrapText="1"/>
    </xf>
    <xf numFmtId="0" fontId="60" fillId="7" borderId="0" xfId="0" applyFont="1" applyFill="1" applyAlignment="1">
      <alignment vertical="center" wrapText="1"/>
    </xf>
    <xf numFmtId="0" fontId="60" fillId="7" borderId="181" xfId="0" applyFont="1" applyFill="1" applyBorder="1" applyAlignment="1">
      <alignment vertical="center" wrapText="1"/>
    </xf>
    <xf numFmtId="0" fontId="60" fillId="7" borderId="182" xfId="0" applyFont="1" applyFill="1" applyBorder="1" applyAlignment="1">
      <alignment vertical="center" wrapText="1"/>
    </xf>
    <xf numFmtId="0" fontId="60" fillId="7" borderId="183" xfId="0" applyFont="1" applyFill="1" applyBorder="1" applyAlignment="1">
      <alignment vertical="center" wrapText="1"/>
    </xf>
    <xf numFmtId="0" fontId="60" fillId="7" borderId="184" xfId="0" applyFont="1" applyFill="1" applyBorder="1" applyAlignment="1">
      <alignment vertical="center" wrapText="1"/>
    </xf>
    <xf numFmtId="0" fontId="60" fillId="0" borderId="0" xfId="0" applyFont="1" applyAlignment="1">
      <alignment vertical="center" wrapText="1"/>
    </xf>
    <xf numFmtId="0" fontId="0" fillId="7" borderId="180" xfId="0" applyFill="1" applyBorder="1"/>
    <xf numFmtId="0" fontId="0" fillId="7" borderId="181" xfId="0" applyFill="1" applyBorder="1"/>
    <xf numFmtId="0" fontId="86" fillId="0" borderId="0" xfId="0" applyFont="1" applyAlignment="1">
      <alignment horizontal="left" indent="2"/>
    </xf>
    <xf numFmtId="0" fontId="51" fillId="0" borderId="185" xfId="0" applyFont="1" applyBorder="1" applyAlignment="1">
      <alignment horizontal="center" vertical="center"/>
    </xf>
    <xf numFmtId="0" fontId="0" fillId="0" borderId="186" xfId="0" applyBorder="1" applyAlignment="1">
      <alignment horizontal="center" vertical="center"/>
    </xf>
    <xf numFmtId="0" fontId="0" fillId="0" borderId="187" xfId="0" applyBorder="1" applyAlignment="1">
      <alignment horizontal="center" vertical="center"/>
    </xf>
    <xf numFmtId="0" fontId="51" fillId="0" borderId="188" xfId="0" applyFont="1" applyBorder="1" applyAlignment="1">
      <alignment horizontal="center" vertical="center"/>
    </xf>
    <xf numFmtId="0" fontId="0" fillId="0" borderId="189" xfId="0" applyBorder="1" applyAlignment="1">
      <alignment horizontal="center" vertical="center"/>
    </xf>
    <xf numFmtId="0" fontId="0" fillId="0" borderId="190" xfId="0" applyBorder="1" applyAlignment="1">
      <alignment horizontal="center" vertical="center"/>
    </xf>
    <xf numFmtId="0" fontId="51" fillId="0" borderId="191" xfId="0" applyFont="1" applyBorder="1" applyAlignment="1">
      <alignment horizontal="center" vertical="center"/>
    </xf>
    <xf numFmtId="0" fontId="0" fillId="0" borderId="192" xfId="0" applyBorder="1" applyAlignment="1">
      <alignment horizontal="center" vertical="center"/>
    </xf>
    <xf numFmtId="0" fontId="0" fillId="0" borderId="193" xfId="0" applyBorder="1" applyAlignment="1">
      <alignment horizontal="center" vertical="center"/>
    </xf>
    <xf numFmtId="0" fontId="0" fillId="19" borderId="194" xfId="0" applyFill="1" applyBorder="1" applyAlignment="1">
      <alignment horizontal="center" vertical="center"/>
    </xf>
    <xf numFmtId="0" fontId="0" fillId="0" borderId="191" xfId="0" applyBorder="1" applyAlignment="1">
      <alignment horizontal="center" vertical="center"/>
    </xf>
    <xf numFmtId="0" fontId="0" fillId="0" borderId="185" xfId="0" applyBorder="1" applyAlignment="1">
      <alignment horizontal="center" vertical="center"/>
    </xf>
    <xf numFmtId="0" fontId="0" fillId="0" borderId="187" xfId="0" applyBorder="1" applyAlignment="1" applyProtection="1">
      <alignment horizontal="center" vertical="center"/>
      <protection locked="0"/>
    </xf>
    <xf numFmtId="0" fontId="21" fillId="0" borderId="187" xfId="0" applyFont="1" applyBorder="1" applyAlignment="1">
      <alignment horizontal="center" vertical="center"/>
    </xf>
    <xf numFmtId="0" fontId="0" fillId="0" borderId="188" xfId="0" applyBorder="1" applyAlignment="1">
      <alignment horizontal="center" vertical="center"/>
    </xf>
    <xf numFmtId="0" fontId="0" fillId="19" borderId="195" xfId="0" applyFill="1" applyBorder="1" applyAlignment="1">
      <alignment horizontal="center" vertical="center"/>
    </xf>
    <xf numFmtId="0" fontId="0" fillId="0" borderId="104" xfId="0" applyBorder="1"/>
    <xf numFmtId="0" fontId="0" fillId="0" borderId="163" xfId="0" applyBorder="1" applyAlignment="1">
      <alignment horizontal="left"/>
    </xf>
    <xf numFmtId="0" fontId="0" fillId="0" borderId="36" xfId="0" applyBorder="1" applyAlignment="1">
      <alignment horizontal="left"/>
    </xf>
    <xf numFmtId="0" fontId="0" fillId="0" borderId="164" xfId="0" applyBorder="1" applyAlignment="1">
      <alignment horizontal="left"/>
    </xf>
    <xf numFmtId="0" fontId="0" fillId="0" borderId="178" xfId="0" applyBorder="1" applyAlignment="1">
      <alignment horizontal="center"/>
    </xf>
    <xf numFmtId="0" fontId="0" fillId="0" borderId="177" xfId="0" applyBorder="1" applyAlignment="1">
      <alignment horizontal="center"/>
    </xf>
    <xf numFmtId="0" fontId="0" fillId="0" borderId="179" xfId="0" applyBorder="1" applyAlignment="1">
      <alignment horizontal="center"/>
    </xf>
    <xf numFmtId="0" fontId="0" fillId="10" borderId="51" xfId="0" applyFill="1" applyBorder="1" applyAlignment="1">
      <alignment vertical="center"/>
    </xf>
    <xf numFmtId="0" fontId="0" fillId="10" borderId="53" xfId="0" applyFill="1" applyBorder="1" applyAlignment="1">
      <alignment vertical="center"/>
    </xf>
    <xf numFmtId="0" fontId="0" fillId="10" borderId="54" xfId="0" applyFill="1" applyBorder="1" applyAlignment="1">
      <alignment vertical="center"/>
    </xf>
    <xf numFmtId="0" fontId="0" fillId="0" borderId="106" xfId="0" applyBorder="1" applyAlignment="1" quotePrefix="1">
      <alignment horizontal="center"/>
    </xf>
    <xf numFmtId="0" fontId="0" fillId="0" borderId="109" xfId="0" applyBorder="1" applyAlignment="1" quotePrefix="1">
      <alignment horizontal="center"/>
    </xf>
    <xf numFmtId="0" fontId="0" fillId="0" borderId="196" xfId="0" applyBorder="1" applyAlignment="1">
      <alignment horizontal="center"/>
    </xf>
    <xf numFmtId="0" fontId="0" fillId="0" borderId="197" xfId="0" applyBorder="1" applyAlignment="1">
      <alignment horizontal="center"/>
    </xf>
    <xf numFmtId="0" fontId="0" fillId="0" borderId="198" xfId="0" applyBorder="1" applyAlignment="1">
      <alignment horizontal="center"/>
    </xf>
    <xf numFmtId="0" fontId="82" fillId="0" borderId="199" xfId="0" applyFont="1" applyBorder="1" applyAlignment="1">
      <alignment horizontal="center"/>
    </xf>
    <xf numFmtId="0" fontId="82" fillId="0" borderId="200" xfId="0" applyFont="1" applyBorder="1" applyAlignment="1">
      <alignment horizontal="center"/>
    </xf>
    <xf numFmtId="0" fontId="82" fillId="0" borderId="201" xfId="0" applyFont="1" applyBorder="1" applyAlignment="1">
      <alignment horizontal="center"/>
    </xf>
    <xf numFmtId="0" fontId="82" fillId="0" borderId="202" xfId="0" applyFont="1" applyBorder="1" applyAlignment="1">
      <alignment horizontal="center"/>
    </xf>
    <xf numFmtId="0" fontId="82" fillId="0" borderId="203" xfId="0" applyFont="1" applyBorder="1" applyAlignment="1">
      <alignment horizontal="center"/>
    </xf>
    <xf numFmtId="0" fontId="82" fillId="0" borderId="204" xfId="0" applyFont="1" applyBorder="1" applyAlignment="1">
      <alignment horizontal="center"/>
    </xf>
    <xf numFmtId="0" fontId="40" fillId="0" borderId="165" xfId="0" applyFont="1" applyBorder="1" applyAlignment="1">
      <alignment horizontal="center"/>
    </xf>
    <xf numFmtId="0" fontId="40" fillId="0" borderId="167" xfId="0" applyFont="1" applyBorder="1" applyAlignment="1">
      <alignment horizontal="center"/>
    </xf>
    <xf numFmtId="0" fontId="40" fillId="0" borderId="169" xfId="0" applyFont="1" applyBorder="1" applyAlignment="1">
      <alignment horizontal="center"/>
    </xf>
    <xf numFmtId="0" fontId="0" fillId="9" borderId="0" xfId="0" applyFill="1"/>
    <xf numFmtId="0" fontId="12" fillId="21" borderId="205" xfId="0" applyFont="1" applyFill="1" applyBorder="1" applyAlignment="1">
      <alignment horizontal="center" vertical="center"/>
    </xf>
    <xf numFmtId="0" fontId="12" fillId="22" borderId="206" xfId="0" applyFont="1" applyFill="1" applyBorder="1" applyAlignment="1">
      <alignment horizontal="center" vertical="center"/>
    </xf>
    <xf numFmtId="0" fontId="12" fillId="22" borderId="205" xfId="0" applyFont="1" applyFill="1" applyBorder="1" applyAlignment="1">
      <alignment horizontal="center" vertical="center"/>
    </xf>
    <xf numFmtId="0" fontId="12" fillId="22" borderId="207" xfId="0" applyFont="1" applyFill="1" applyBorder="1" applyAlignment="1">
      <alignment horizontal="left" vertical="center"/>
    </xf>
    <xf numFmtId="0" fontId="12" fillId="22" borderId="208" xfId="0" applyFont="1" applyFill="1" applyBorder="1" applyAlignment="1">
      <alignment horizontal="left" vertical="top"/>
    </xf>
    <xf numFmtId="0" fontId="12" fillId="21" borderId="209" xfId="0" applyFont="1" applyFill="1" applyBorder="1" applyAlignment="1">
      <alignment horizontal="center" vertical="center"/>
    </xf>
    <xf numFmtId="0" fontId="12" fillId="21" borderId="210" xfId="0" applyFont="1" applyFill="1" applyBorder="1" applyAlignment="1">
      <alignment horizontal="left" vertical="center"/>
    </xf>
    <xf numFmtId="0" fontId="12" fillId="21" borderId="207" xfId="0" applyFont="1" applyFill="1" applyBorder="1" applyAlignment="1">
      <alignment horizontal="left" vertical="center"/>
    </xf>
    <xf numFmtId="169" fontId="0" fillId="0" borderId="0" xfId="0" applyNumberFormat="1"/>
    <xf numFmtId="169" fontId="0" fillId="0" borderId="38" xfId="0" applyNumberFormat="1" applyBorder="1"/>
    <xf numFmtId="169" fontId="0" fillId="0" borderId="18" xfId="0" applyNumberFormat="1" applyBorder="1"/>
    <xf numFmtId="169" fontId="0" fillId="0" borderId="26" xfId="0" applyNumberFormat="1" applyBorder="1"/>
    <xf numFmtId="0" fontId="14" fillId="21" borderId="154" xfId="0" applyFont="1" applyFill="1" applyBorder="1"/>
    <xf numFmtId="0" fontId="14" fillId="22" borderId="211" xfId="0" applyFont="1" applyFill="1" applyBorder="1" applyAlignment="1">
      <alignment horizontal="left" indent="1"/>
    </xf>
    <xf numFmtId="0" fontId="14" fillId="22" borderId="212" xfId="0" applyFont="1" applyFill="1" applyBorder="1" applyAlignment="1">
      <alignment horizontal="left"/>
    </xf>
    <xf numFmtId="0" fontId="89" fillId="0" borderId="0" xfId="0" applyFont="1" applyAlignment="1">
      <alignment horizontal="center" vertical="center"/>
    </xf>
    <xf numFmtId="0" fontId="89" fillId="0" borderId="0" xfId="0" applyFont="1" applyAlignment="1">
      <alignment horizontal="center" vertical="center" wrapText="1"/>
    </xf>
    <xf numFmtId="0" fontId="89" fillId="0" borderId="213" xfId="0" applyFont="1" applyBorder="1" applyAlignment="1">
      <alignment horizontal="center" vertical="center" wrapText="1"/>
    </xf>
    <xf numFmtId="0" fontId="3" fillId="0" borderId="214" xfId="0" applyFont="1" applyBorder="1" applyAlignment="1">
      <alignment horizontal="left" vertical="center" indent="1"/>
    </xf>
    <xf numFmtId="0" fontId="3" fillId="0" borderId="215" xfId="0" applyFont="1" applyBorder="1" applyAlignment="1">
      <alignment horizontal="left" vertical="center" indent="1"/>
    </xf>
    <xf numFmtId="0" fontId="0" fillId="0" borderId="213" xfId="0" applyBorder="1" applyAlignment="1">
      <alignment horizontal="center"/>
    </xf>
    <xf numFmtId="0" fontId="0" fillId="0" borderId="216" xfId="0" applyBorder="1" applyAlignment="1">
      <alignment horizontal="center" vertical="center" textRotation="90"/>
    </xf>
    <xf numFmtId="0" fontId="0" fillId="0" borderId="217" xfId="0" applyBorder="1" applyAlignment="1">
      <alignment horizontal="center" vertical="center" textRotation="90"/>
    </xf>
    <xf numFmtId="0" fontId="52" fillId="0" borderId="0" xfId="0" applyFont="1" applyAlignment="1">
      <alignment horizontal="center" vertical="center" wrapText="1"/>
    </xf>
    <xf numFmtId="0" fontId="5" fillId="8" borderId="218" xfId="0" applyFont="1" applyFill="1" applyBorder="1" applyAlignment="1">
      <alignment horizontal="left" vertical="center" indent="1"/>
    </xf>
    <xf numFmtId="0" fontId="0" fillId="8" borderId="219" xfId="0" applyFill="1" applyBorder="1"/>
    <xf numFmtId="0" fontId="5" fillId="8" borderId="219" xfId="0" applyFont="1" applyFill="1" applyBorder="1" applyAlignment="1">
      <alignment horizontal="left" vertical="center" indent="1"/>
    </xf>
    <xf numFmtId="0" fontId="0" fillId="8" borderId="219" xfId="0" applyFill="1" applyBorder="1" applyAlignment="1">
      <alignment horizontal="left" indent="1"/>
    </xf>
    <xf numFmtId="0" fontId="0" fillId="8" borderId="219" xfId="0" applyFill="1" applyBorder="1" applyAlignment="1">
      <alignment horizontal="center" vertical="center"/>
    </xf>
    <xf numFmtId="0" fontId="0" fillId="8" borderId="220" xfId="0" applyFill="1" applyBorder="1" applyAlignment="1">
      <alignment horizontal="left" vertical="center"/>
    </xf>
    <xf numFmtId="0" fontId="46" fillId="8" borderId="219" xfId="0" applyFont="1" applyFill="1" applyBorder="1" applyAlignment="1">
      <alignment horizontal="left" vertical="center" indent="1"/>
    </xf>
    <xf numFmtId="0" fontId="91" fillId="8" borderId="219" xfId="0" applyFont="1" applyFill="1" applyBorder="1" applyAlignment="1">
      <alignment horizontal="left" indent="1"/>
    </xf>
    <xf numFmtId="0" fontId="0" fillId="8" borderId="219" xfId="0" applyFill="1" applyBorder="1" applyAlignment="1">
      <alignment horizontal="left" vertical="center"/>
    </xf>
    <xf numFmtId="0" fontId="0" fillId="8" borderId="220" xfId="0" applyFill="1" applyBorder="1" applyAlignment="1">
      <alignment horizontal="left" indent="1"/>
    </xf>
    <xf numFmtId="0" fontId="0" fillId="0" borderId="221" xfId="0" applyBorder="1" applyAlignment="1">
      <alignment horizontal="center"/>
    </xf>
    <xf numFmtId="0" fontId="0" fillId="0" borderId="222" xfId="0" applyBorder="1" applyAlignment="1">
      <alignment horizontal="left" indent="1"/>
    </xf>
    <xf numFmtId="0" fontId="0" fillId="0" borderId="222" xfId="0" applyBorder="1" applyAlignment="1">
      <alignment horizontal="center"/>
    </xf>
    <xf numFmtId="0" fontId="92" fillId="0" borderId="222" xfId="0" applyFont="1" applyBorder="1" applyAlignment="1">
      <alignment horizontal="center" vertical="center"/>
    </xf>
    <xf numFmtId="0" fontId="92" fillId="0" borderId="223" xfId="0" applyFont="1" applyBorder="1" applyAlignment="1">
      <alignment horizontal="center" vertical="center"/>
    </xf>
    <xf numFmtId="0" fontId="90" fillId="13" borderId="222" xfId="0" applyFont="1" applyFill="1" applyBorder="1" applyAlignment="1" applyProtection="1">
      <alignment horizontal="center"/>
      <protection locked="0"/>
    </xf>
    <xf numFmtId="0" fontId="0" fillId="6" borderId="224" xfId="0" applyFill="1" applyBorder="1" applyAlignment="1">
      <alignment horizontal="center"/>
    </xf>
    <xf numFmtId="0" fontId="0" fillId="6" borderId="225" xfId="0" applyFill="1" applyBorder="1" applyAlignment="1">
      <alignment horizontal="center"/>
    </xf>
    <xf numFmtId="0" fontId="0" fillId="6" borderId="226" xfId="0" applyFill="1" applyBorder="1" applyAlignment="1">
      <alignment horizontal="center"/>
    </xf>
    <xf numFmtId="0" fontId="0" fillId="6" borderId="227" xfId="0" applyFill="1" applyBorder="1" applyAlignment="1">
      <alignment horizontal="center"/>
    </xf>
    <xf numFmtId="0" fontId="0" fillId="6" borderId="228" xfId="0" applyFill="1" applyBorder="1" applyAlignment="1">
      <alignment horizontal="center"/>
    </xf>
    <xf numFmtId="0" fontId="0" fillId="6" borderId="229" xfId="0" applyFill="1" applyBorder="1" applyAlignment="1">
      <alignment horizontal="center"/>
    </xf>
    <xf numFmtId="0" fontId="0" fillId="8" borderId="219" xfId="0" applyFill="1" applyBorder="1" applyAlignment="1">
      <alignment horizontal="center"/>
    </xf>
    <xf numFmtId="0" fontId="92" fillId="8" borderId="219" xfId="0" applyFont="1" applyFill="1" applyBorder="1" applyAlignment="1">
      <alignment horizontal="center" vertical="center"/>
    </xf>
    <xf numFmtId="0" fontId="92" fillId="8" borderId="220" xfId="0" applyFont="1" applyFill="1" applyBorder="1" applyAlignment="1">
      <alignment horizontal="left" vertical="center"/>
    </xf>
    <xf numFmtId="0" fontId="90" fillId="13" borderId="221" xfId="0" applyFont="1" applyFill="1" applyBorder="1" applyAlignment="1" applyProtection="1">
      <alignment horizontal="center"/>
      <protection locked="0"/>
    </xf>
    <xf numFmtId="0" fontId="90" fillId="6" borderId="230" xfId="0" applyFont="1" applyFill="1" applyBorder="1" applyAlignment="1">
      <alignment horizontal="center"/>
    </xf>
    <xf numFmtId="0" fontId="90" fillId="6" borderId="231" xfId="0" applyFont="1" applyFill="1" applyBorder="1" applyAlignment="1">
      <alignment horizontal="center"/>
    </xf>
    <xf numFmtId="0" fontId="0" fillId="6" borderId="231" xfId="0" applyFill="1" applyBorder="1" applyAlignment="1">
      <alignment horizontal="center"/>
    </xf>
    <xf numFmtId="167" fontId="0" fillId="6" borderId="231" xfId="0" applyNumberFormat="1" applyFill="1" applyBorder="1" applyAlignment="1">
      <alignment horizontal="center"/>
    </xf>
    <xf numFmtId="0" fontId="0" fillId="0" borderId="223" xfId="0" applyBorder="1" applyAlignment="1">
      <alignment horizontal="center"/>
    </xf>
    <xf numFmtId="0" fontId="90" fillId="6" borderId="232" xfId="0" applyFont="1" applyFill="1" applyBorder="1" applyAlignment="1">
      <alignment horizontal="center"/>
    </xf>
    <xf numFmtId="0" fontId="90" fillId="6" borderId="0" xfId="0" applyFont="1" applyFill="1" applyAlignment="1">
      <alignment horizontal="center"/>
    </xf>
    <xf numFmtId="0" fontId="0" fillId="6" borderId="0" xfId="0" applyFill="1" applyAlignment="1">
      <alignment horizontal="center"/>
    </xf>
    <xf numFmtId="167" fontId="0" fillId="6" borderId="0" xfId="0" applyNumberFormat="1" applyFill="1" applyAlignment="1">
      <alignment horizontal="center"/>
    </xf>
    <xf numFmtId="0" fontId="90" fillId="6" borderId="233" xfId="0" applyFont="1" applyFill="1" applyBorder="1" applyAlignment="1">
      <alignment horizontal="center"/>
    </xf>
    <xf numFmtId="0" fontId="90" fillId="6" borderId="234" xfId="0" applyFont="1" applyFill="1" applyBorder="1" applyAlignment="1">
      <alignment horizontal="center"/>
    </xf>
    <xf numFmtId="0" fontId="0" fillId="6" borderId="234" xfId="0" applyFill="1" applyBorder="1" applyAlignment="1">
      <alignment horizontal="center"/>
    </xf>
    <xf numFmtId="167" fontId="0" fillId="6" borderId="234" xfId="0" applyNumberFormat="1" applyFill="1" applyBorder="1" applyAlignment="1">
      <alignment horizontal="center"/>
    </xf>
    <xf numFmtId="0" fontId="0" fillId="0" borderId="235" xfId="0" applyBorder="1" applyAlignment="1">
      <alignment horizontal="center"/>
    </xf>
    <xf numFmtId="0" fontId="0" fillId="0" borderId="236" xfId="0" applyBorder="1" applyAlignment="1">
      <alignment horizontal="left" indent="1"/>
    </xf>
    <xf numFmtId="0" fontId="0" fillId="0" borderId="236" xfId="0" applyBorder="1" applyAlignment="1">
      <alignment horizontal="center"/>
    </xf>
    <xf numFmtId="0" fontId="0" fillId="0" borderId="236" xfId="0" applyBorder="1" applyAlignment="1">
      <alignment horizontal="left" vertical="center" indent="1"/>
    </xf>
    <xf numFmtId="0" fontId="92" fillId="0" borderId="236" xfId="0" applyFont="1" applyBorder="1" applyAlignment="1">
      <alignment horizontal="center" vertical="center"/>
    </xf>
    <xf numFmtId="0" fontId="92" fillId="0" borderId="237" xfId="0" applyFont="1" applyBorder="1" applyAlignment="1">
      <alignment horizontal="center" vertical="center"/>
    </xf>
    <xf numFmtId="0" fontId="90" fillId="13" borderId="235" xfId="0" applyFont="1" applyFill="1" applyBorder="1" applyAlignment="1" applyProtection="1">
      <alignment horizontal="center"/>
      <protection locked="0"/>
    </xf>
    <xf numFmtId="0" fontId="90" fillId="13" borderId="236" xfId="0" applyFont="1" applyFill="1" applyBorder="1" applyAlignment="1" applyProtection="1">
      <alignment horizontal="left" indent="1"/>
      <protection locked="0"/>
    </xf>
    <xf numFmtId="0" fontId="90" fillId="13" borderId="236" xfId="0" applyFont="1" applyFill="1" applyBorder="1" applyAlignment="1" applyProtection="1">
      <alignment horizontal="center"/>
      <protection locked="0"/>
    </xf>
    <xf numFmtId="0" fontId="0" fillId="0" borderId="238" xfId="0" applyBorder="1" applyAlignment="1">
      <alignment horizontal="center"/>
    </xf>
    <xf numFmtId="0" fontId="0" fillId="0" borderId="239" xfId="0" applyBorder="1" applyAlignment="1">
      <alignment horizontal="center"/>
    </xf>
    <xf numFmtId="0" fontId="0" fillId="0" borderId="240" xfId="0" applyBorder="1" applyAlignment="1">
      <alignment horizontal="center"/>
    </xf>
    <xf numFmtId="0" fontId="0" fillId="0" borderId="241" xfId="0" applyBorder="1" applyAlignment="1">
      <alignment horizontal="center"/>
    </xf>
    <xf numFmtId="0" fontId="0" fillId="0" borderId="242" xfId="0" applyBorder="1" applyAlignment="1">
      <alignment vertical="center" wrapText="1"/>
    </xf>
    <xf numFmtId="0" fontId="0" fillId="13" borderId="217" xfId="0" applyFill="1" applyBorder="1" applyAlignment="1" applyProtection="1">
      <alignment horizontal="center" vertical="center"/>
      <protection locked="0"/>
    </xf>
    <xf numFmtId="0" fontId="94" fillId="13" borderId="243" xfId="0" applyFont="1" applyFill="1" applyBorder="1" applyAlignment="1" applyProtection="1">
      <alignment horizontal="center" vertical="center"/>
      <protection locked="0"/>
    </xf>
    <xf numFmtId="0" fontId="0" fillId="0" borderId="244" xfId="0" applyBorder="1" applyAlignment="1">
      <alignment horizontal="center"/>
    </xf>
    <xf numFmtId="0" fontId="0" fillId="0" borderId="245" xfId="0" applyBorder="1" applyAlignment="1">
      <alignment horizontal="center" vertical="center"/>
    </xf>
    <xf numFmtId="0" fontId="0" fillId="13" borderId="223" xfId="0" applyFill="1" applyBorder="1" applyAlignment="1" applyProtection="1">
      <alignment horizontal="center" vertical="center"/>
      <protection locked="0"/>
    </xf>
    <xf numFmtId="0" fontId="0" fillId="13" borderId="138" xfId="0" applyFill="1" applyBorder="1" applyAlignment="1" applyProtection="1">
      <alignment horizontal="center" vertical="center"/>
      <protection locked="0"/>
    </xf>
    <xf numFmtId="0" fontId="0" fillId="0" borderId="180" xfId="0" applyBorder="1" applyAlignment="1">
      <alignment vertical="center"/>
    </xf>
    <xf numFmtId="0" fontId="0" fillId="0" borderId="246" xfId="0" applyBorder="1" applyAlignment="1">
      <alignment horizontal="center"/>
    </xf>
    <xf numFmtId="0" fontId="0" fillId="0" borderId="180" xfId="0" applyBorder="1"/>
    <xf numFmtId="0" fontId="0" fillId="13" borderId="225" xfId="0" applyFill="1" applyBorder="1" applyAlignment="1" applyProtection="1">
      <alignment horizontal="center" vertical="center"/>
      <protection locked="0"/>
    </xf>
    <xf numFmtId="0" fontId="0" fillId="13" borderId="237" xfId="0" applyFill="1" applyBorder="1" applyAlignment="1" applyProtection="1">
      <alignment horizontal="center" vertical="center"/>
      <protection locked="0"/>
    </xf>
    <xf numFmtId="0" fontId="0" fillId="0" borderId="247" xfId="0" applyBorder="1"/>
    <xf numFmtId="0" fontId="0" fillId="0" borderId="248" xfId="0" applyBorder="1" applyAlignment="1">
      <alignment horizontal="center"/>
    </xf>
    <xf numFmtId="0" fontId="0" fillId="3" borderId="62" xfId="0" applyFill="1" applyBorder="1" applyAlignment="1" applyProtection="1">
      <alignment horizontal="left" vertical="top" wrapText="1" indent="1"/>
      <protection locked="0"/>
    </xf>
    <xf numFmtId="0" fontId="0" fillId="9" borderId="61" xfId="0" applyFill="1" applyBorder="1" applyAlignment="1" applyProtection="1">
      <alignment horizontal="left" vertical="top" wrapText="1" indent="1"/>
      <protection locked="0"/>
    </xf>
    <xf numFmtId="0" fontId="0" fillId="12" borderId="61" xfId="0" applyFill="1" applyBorder="1" applyAlignment="1" applyProtection="1">
      <alignment horizontal="left" vertical="top" wrapText="1" indent="1"/>
      <protection locked="0"/>
    </xf>
    <xf numFmtId="0" fontId="0" fillId="13" borderId="61" xfId="0" applyFill="1" applyBorder="1" applyAlignment="1" applyProtection="1">
      <alignment horizontal="left" vertical="top" wrapText="1" indent="1"/>
      <protection locked="0"/>
    </xf>
    <xf numFmtId="0" fontId="0" fillId="7" borderId="29" xfId="0" applyFill="1" applyBorder="1" applyAlignment="1" applyProtection="1">
      <alignment horizontal="left" vertical="top" wrapText="1" indent="1"/>
      <protection locked="0"/>
    </xf>
    <xf numFmtId="0" fontId="0" fillId="3" borderId="249" xfId="0" applyFill="1" applyBorder="1" applyAlignment="1" applyProtection="1">
      <alignment horizontal="left" vertical="top" wrapText="1" indent="1"/>
      <protection locked="0"/>
    </xf>
    <xf numFmtId="0" fontId="0" fillId="9" borderId="250" xfId="0" applyFill="1" applyBorder="1" applyAlignment="1" applyProtection="1">
      <alignment horizontal="left" vertical="top" wrapText="1" indent="1"/>
      <protection locked="0"/>
    </xf>
    <xf numFmtId="0" fontId="0" fillId="12" borderId="250" xfId="0" applyFill="1" applyBorder="1" applyAlignment="1" applyProtection="1">
      <alignment horizontal="left" vertical="top" wrapText="1" indent="1"/>
      <protection locked="0"/>
    </xf>
    <xf numFmtId="0" fontId="0" fillId="13" borderId="250" xfId="0" applyFill="1" applyBorder="1" applyAlignment="1" applyProtection="1">
      <alignment horizontal="left" vertical="top" wrapText="1" indent="1"/>
      <protection locked="0"/>
    </xf>
    <xf numFmtId="0" fontId="0" fillId="7" borderId="251" xfId="0" applyFill="1" applyBorder="1" applyAlignment="1" applyProtection="1">
      <alignment horizontal="left" vertical="top" wrapText="1" indent="1"/>
      <protection locked="0"/>
    </xf>
    <xf numFmtId="0" fontId="0" fillId="3" borderId="63" xfId="0" applyFill="1" applyBorder="1" applyAlignment="1" applyProtection="1">
      <alignment horizontal="left" vertical="top" wrapText="1" indent="1"/>
      <protection locked="0"/>
    </xf>
    <xf numFmtId="0" fontId="0" fillId="9" borderId="64" xfId="0" applyFill="1" applyBorder="1" applyAlignment="1" applyProtection="1">
      <alignment horizontal="left" vertical="top" wrapText="1" indent="1"/>
      <protection locked="0"/>
    </xf>
    <xf numFmtId="0" fontId="0" fillId="12" borderId="64" xfId="0" applyFill="1" applyBorder="1" applyAlignment="1" applyProtection="1">
      <alignment horizontal="left" vertical="top" wrapText="1" indent="1"/>
      <protection locked="0"/>
    </xf>
    <xf numFmtId="0" fontId="0" fillId="13" borderId="64" xfId="0" applyFill="1" applyBorder="1" applyAlignment="1" applyProtection="1">
      <alignment horizontal="left" vertical="top" wrapText="1" indent="1"/>
      <protection locked="0"/>
    </xf>
    <xf numFmtId="0" fontId="0" fillId="7" borderId="30" xfId="0" applyFill="1" applyBorder="1" applyAlignment="1" applyProtection="1">
      <alignment horizontal="left" vertical="top" wrapText="1" indent="1"/>
      <protection locked="0"/>
    </xf>
    <xf numFmtId="0" fontId="0" fillId="0" borderId="252" xfId="0" applyBorder="1" applyAlignment="1">
      <alignment horizontal="right" indent="1"/>
    </xf>
    <xf numFmtId="0" fontId="3" fillId="0" borderId="253" xfId="0" applyFont="1" applyBorder="1" applyAlignment="1">
      <alignment horizontal="left" vertical="center" indent="1"/>
    </xf>
    <xf numFmtId="0" fontId="3" fillId="0" borderId="254" xfId="0" applyFont="1" applyBorder="1" applyAlignment="1">
      <alignment horizontal="center" vertical="center"/>
    </xf>
    <xf numFmtId="0" fontId="3" fillId="0" borderId="0" xfId="0" applyFont="1" applyAlignment="1">
      <alignment horizontal="center" vertical="center"/>
    </xf>
    <xf numFmtId="0" fontId="3" fillId="0" borderId="252" xfId="0" applyFont="1" applyBorder="1" applyAlignment="1">
      <alignment horizontal="center" vertical="center"/>
    </xf>
    <xf numFmtId="0" fontId="3" fillId="0" borderId="252" xfId="0" applyFont="1" applyBorder="1" applyAlignment="1">
      <alignment horizontal="left" vertical="center" indent="1"/>
    </xf>
    <xf numFmtId="0" fontId="3" fillId="0" borderId="255" xfId="0" applyFont="1" applyBorder="1" applyAlignment="1">
      <alignment horizontal="center" vertical="center"/>
    </xf>
    <xf numFmtId="0" fontId="0" fillId="0" borderId="256" xfId="0" applyBorder="1" applyAlignment="1">
      <alignment horizontal="right" indent="1"/>
    </xf>
    <xf numFmtId="0" fontId="0" fillId="0" borderId="228" xfId="0" applyBorder="1" applyAlignment="1">
      <alignment horizontal="left" indent="1"/>
    </xf>
    <xf numFmtId="0" fontId="0" fillId="0" borderId="229" xfId="0" applyBorder="1" applyAlignment="1">
      <alignment horizontal="right" indent="1"/>
    </xf>
    <xf numFmtId="0" fontId="0" fillId="0" borderId="257" xfId="0" applyBorder="1" applyAlignment="1">
      <alignment horizontal="center"/>
    </xf>
    <xf numFmtId="0" fontId="0" fillId="0" borderId="258" xfId="0" applyBorder="1" applyAlignment="1">
      <alignment horizontal="left" indent="1"/>
    </xf>
    <xf numFmtId="0" fontId="0" fillId="0" borderId="259" xfId="0" applyBorder="1" applyAlignment="1">
      <alignment horizontal="right" indent="1"/>
    </xf>
    <xf numFmtId="0" fontId="0" fillId="0" borderId="221" xfId="0" applyBorder="1" applyAlignment="1">
      <alignment horizontal="right" indent="1"/>
    </xf>
    <xf numFmtId="0" fontId="0" fillId="0" borderId="260" xfId="0" applyBorder="1" applyAlignment="1">
      <alignment horizontal="center"/>
    </xf>
    <xf numFmtId="0" fontId="0" fillId="0" borderId="221" xfId="0" applyBorder="1" applyAlignment="1">
      <alignment horizontal="left" indent="1"/>
    </xf>
    <xf numFmtId="0" fontId="0" fillId="0" borderId="223" xfId="0" applyBorder="1" applyAlignment="1">
      <alignment horizontal="right" indent="1"/>
    </xf>
    <xf numFmtId="0" fontId="0" fillId="0" borderId="235" xfId="0" applyBorder="1" applyAlignment="1">
      <alignment horizontal="right" indent="1"/>
    </xf>
    <xf numFmtId="0" fontId="0" fillId="0" borderId="237" xfId="0" applyBorder="1" applyAlignment="1">
      <alignment horizontal="right" indent="1"/>
    </xf>
    <xf numFmtId="0" fontId="0" fillId="0" borderId="261" xfId="0" applyBorder="1" applyAlignment="1">
      <alignment horizontal="center"/>
    </xf>
    <xf numFmtId="0" fontId="0" fillId="0" borderId="235" xfId="0" applyBorder="1" applyAlignment="1">
      <alignment horizontal="left" indent="1"/>
    </xf>
    <xf numFmtId="167" fontId="0" fillId="6" borderId="224" xfId="0" applyNumberFormat="1" applyFill="1" applyBorder="1" applyAlignment="1">
      <alignment horizontal="center"/>
    </xf>
    <xf numFmtId="167" fontId="0" fillId="6" borderId="225" xfId="0" applyNumberFormat="1" applyFill="1" applyBorder="1" applyAlignment="1">
      <alignment horizontal="center"/>
    </xf>
    <xf numFmtId="167" fontId="0" fillId="6" borderId="226" xfId="0" applyNumberFormat="1" applyFill="1" applyBorder="1" applyAlignment="1">
      <alignment horizontal="center"/>
    </xf>
    <xf numFmtId="167" fontId="0" fillId="6" borderId="227" xfId="0" applyNumberFormat="1" applyFill="1" applyBorder="1" applyAlignment="1">
      <alignment horizontal="center"/>
    </xf>
    <xf numFmtId="167" fontId="0" fillId="6" borderId="229" xfId="0" applyNumberFormat="1" applyFill="1" applyBorder="1" applyAlignment="1">
      <alignment horizontal="center"/>
    </xf>
    <xf numFmtId="167" fontId="0" fillId="6" borderId="236" xfId="0" applyNumberFormat="1" applyFill="1" applyBorder="1" applyAlignment="1">
      <alignment horizontal="center"/>
    </xf>
    <xf numFmtId="0" fontId="0" fillId="0" borderId="237" xfId="0" applyBorder="1" applyAlignment="1">
      <alignment horizontal="center"/>
    </xf>
    <xf numFmtId="0" fontId="70" fillId="0" borderId="0" xfId="0" applyFont="1" applyAlignment="1">
      <alignment horizontal="right" vertical="top" wrapText="1"/>
    </xf>
    <xf numFmtId="0" fontId="52" fillId="0" borderId="0" xfId="0" applyFont="1" applyAlignment="1">
      <alignment horizontal="center"/>
    </xf>
    <xf numFmtId="0" fontId="0" fillId="19" borderId="158" xfId="0" applyFill="1" applyBorder="1" applyAlignment="1">
      <alignment horizontal="center"/>
    </xf>
    <xf numFmtId="0" fontId="0" fillId="0" borderId="242" xfId="0" applyBorder="1" applyAlignment="1">
      <alignment horizontal="right" indent="1"/>
    </xf>
    <xf numFmtId="0" fontId="0" fillId="0" borderId="246" xfId="0" applyBorder="1" applyAlignment="1">
      <alignment horizontal="right" indent="1"/>
    </xf>
    <xf numFmtId="0" fontId="80" fillId="0" borderId="0" xfId="0" applyFont="1" applyAlignment="1">
      <alignment horizontal="center"/>
    </xf>
    <xf numFmtId="0" fontId="19" fillId="0" borderId="0" xfId="0" applyFont="1" applyAlignment="1">
      <alignment horizontal="center" vertical="top"/>
    </xf>
    <xf numFmtId="0" fontId="0" fillId="23" borderId="61" xfId="0" applyFill="1" applyBorder="1" applyAlignment="1" applyProtection="1">
      <alignment horizontal="left" indent="1"/>
      <protection locked="0"/>
    </xf>
    <xf numFmtId="0" fontId="0" fillId="0" borderId="0" xfId="0" applyAlignment="1">
      <alignment horizontal="left" vertical="top" wrapText="1" indent="1"/>
    </xf>
    <xf numFmtId="0" fontId="34" fillId="0" borderId="262" xfId="0" applyFont="1" applyBorder="1" applyAlignment="1">
      <alignment horizontal="left" vertical="top" wrapText="1" indent="1"/>
    </xf>
    <xf numFmtId="0" fontId="0" fillId="0" borderId="263" xfId="0" applyBorder="1" applyAlignment="1">
      <alignment horizontal="left" vertical="top" wrapText="1" indent="1"/>
    </xf>
    <xf numFmtId="0" fontId="0" fillId="3" borderId="62" xfId="0" applyFill="1" applyBorder="1" applyAlignment="1">
      <alignment horizontal="left" vertical="top" wrapText="1" indent="1"/>
    </xf>
    <xf numFmtId="0" fontId="0" fillId="12" borderId="264" xfId="0" applyFill="1" applyBorder="1" applyAlignment="1" applyProtection="1">
      <alignment horizontal="left" vertical="top" wrapText="1" indent="1"/>
      <protection locked="0"/>
    </xf>
    <xf numFmtId="0" fontId="0" fillId="7" borderId="265" xfId="0" applyFill="1" applyBorder="1" applyAlignment="1" applyProtection="1">
      <alignment horizontal="left" vertical="top" wrapText="1" indent="1"/>
      <protection locked="0"/>
    </xf>
    <xf numFmtId="0" fontId="0" fillId="3" borderId="262" xfId="0" applyFill="1" applyBorder="1" applyAlignment="1" applyProtection="1">
      <alignment horizontal="left" vertical="top" wrapText="1" indent="1"/>
      <protection locked="0"/>
    </xf>
    <xf numFmtId="0" fontId="0" fillId="9" borderId="266" xfId="0" applyFill="1" applyBorder="1" applyAlignment="1" applyProtection="1">
      <alignment horizontal="left" vertical="top" wrapText="1" indent="1"/>
      <protection locked="0"/>
    </xf>
    <xf numFmtId="0" fontId="0" fillId="12" borderId="266" xfId="0" applyFill="1" applyBorder="1" applyAlignment="1" applyProtection="1">
      <alignment horizontal="left" vertical="top" wrapText="1" indent="1"/>
      <protection locked="0"/>
    </xf>
    <xf numFmtId="0" fontId="0" fillId="13" borderId="266" xfId="0" applyFill="1" applyBorder="1" applyAlignment="1" applyProtection="1">
      <alignment horizontal="left" vertical="top" wrapText="1" indent="1"/>
      <protection locked="0"/>
    </xf>
    <xf numFmtId="0" fontId="0" fillId="12" borderId="267" xfId="0" applyFill="1" applyBorder="1" applyAlignment="1" applyProtection="1">
      <alignment horizontal="left" vertical="top" wrapText="1" indent="1"/>
      <protection locked="0"/>
    </xf>
    <xf numFmtId="0" fontId="34" fillId="0" borderId="31" xfId="0" applyFont="1" applyBorder="1" applyAlignment="1">
      <alignment horizontal="left" vertical="top" wrapText="1" indent="1"/>
    </xf>
    <xf numFmtId="0" fontId="0" fillId="0" borderId="32" xfId="0" applyBorder="1" applyAlignment="1">
      <alignment horizontal="left" vertical="top" wrapText="1" indent="1"/>
    </xf>
    <xf numFmtId="0" fontId="0" fillId="0" borderId="33" xfId="0" applyBorder="1" applyAlignment="1">
      <alignment horizontal="left" vertical="top" wrapText="1" indent="1"/>
    </xf>
    <xf numFmtId="0" fontId="2" fillId="7" borderId="19"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2" fillId="0" borderId="0" xfId="0" applyFont="1" applyAlignment="1">
      <alignment horizontal="center" vertical="center"/>
    </xf>
    <xf numFmtId="0" fontId="0" fillId="6" borderId="268" xfId="0" applyFill="1" applyBorder="1" applyAlignment="1">
      <alignment horizontal="center"/>
    </xf>
    <xf numFmtId="167" fontId="0" fillId="6" borderId="269" xfId="0" applyNumberFormat="1" applyFill="1" applyBorder="1" applyAlignment="1">
      <alignment horizontal="center"/>
    </xf>
    <xf numFmtId="0" fontId="0" fillId="6" borderId="269" xfId="0" applyFill="1" applyBorder="1" applyAlignment="1">
      <alignment horizontal="center"/>
    </xf>
    <xf numFmtId="167" fontId="0" fillId="6" borderId="270" xfId="0" applyNumberFormat="1" applyFill="1" applyBorder="1" applyAlignment="1">
      <alignment horizontal="center"/>
    </xf>
    <xf numFmtId="0" fontId="0" fillId="0" borderId="228" xfId="0" applyBorder="1" applyAlignment="1">
      <alignment horizontal="center"/>
    </xf>
    <xf numFmtId="0" fontId="0" fillId="6" borderId="233" xfId="0" applyFill="1" applyBorder="1" applyAlignment="1">
      <alignment horizontal="center"/>
    </xf>
    <xf numFmtId="167" fontId="0" fillId="6" borderId="248" xfId="0" applyNumberFormat="1" applyFill="1" applyBorder="1" applyAlignment="1">
      <alignment horizontal="center"/>
    </xf>
    <xf numFmtId="0" fontId="90" fillId="13" borderId="271" xfId="0" applyFont="1" applyFill="1" applyBorder="1" applyAlignment="1" applyProtection="1">
      <alignment horizontal="center"/>
      <protection locked="0"/>
    </xf>
    <xf numFmtId="0" fontId="0" fillId="0" borderId="224" xfId="0" applyBorder="1" applyAlignment="1">
      <alignment horizontal="left" indent="1"/>
    </xf>
    <xf numFmtId="0" fontId="90" fillId="13" borderId="224" xfId="0" applyFont="1" applyFill="1" applyBorder="1" applyAlignment="1" applyProtection="1">
      <alignment horizontal="left" indent="1"/>
      <protection locked="0"/>
    </xf>
    <xf numFmtId="0" fontId="0" fillId="6" borderId="230" xfId="0" applyFill="1" applyBorder="1" applyAlignment="1">
      <alignment horizontal="center"/>
    </xf>
    <xf numFmtId="0" fontId="0" fillId="0" borderId="225" xfId="0" applyBorder="1" applyAlignment="1">
      <alignment horizontal="center"/>
    </xf>
    <xf numFmtId="0" fontId="14" fillId="21" borderId="153" xfId="0" applyFont="1" applyFill="1" applyBorder="1" applyAlignment="1">
      <alignment horizontal="left" indent="1"/>
    </xf>
    <xf numFmtId="0" fontId="98" fillId="0" borderId="272" xfId="0" applyFont="1" applyBorder="1" applyAlignment="1">
      <alignment horizontal="center" vertical="center" wrapText="1"/>
    </xf>
    <xf numFmtId="170" fontId="3" fillId="0" borderId="273" xfId="0" applyNumberFormat="1" applyFont="1" applyBorder="1" applyAlignment="1">
      <alignment horizontal="right" indent="2"/>
    </xf>
    <xf numFmtId="171" fontId="0" fillId="0" borderId="274" xfId="0" applyNumberFormat="1" applyBorder="1" applyAlignment="1">
      <alignment horizontal="right" indent="2"/>
    </xf>
    <xf numFmtId="0" fontId="0" fillId="3" borderId="274" xfId="0" applyFill="1" applyBorder="1" applyAlignment="1">
      <alignment horizontal="left" indent="1"/>
    </xf>
    <xf numFmtId="0" fontId="0" fillId="0" borderId="274" xfId="0" applyBorder="1" applyAlignment="1">
      <alignment horizontal="right" indent="2"/>
    </xf>
    <xf numFmtId="0" fontId="0" fillId="0" borderId="274" xfId="0" applyBorder="1" applyAlignment="1">
      <alignment horizontal="center"/>
    </xf>
    <xf numFmtId="0" fontId="0" fillId="0" borderId="275" xfId="0" applyBorder="1" applyAlignment="1">
      <alignment horizontal="right" indent="2"/>
    </xf>
    <xf numFmtId="170" fontId="3" fillId="0" borderId="276" xfId="0" applyNumberFormat="1" applyFont="1" applyBorder="1" applyAlignment="1">
      <alignment horizontal="right" indent="2"/>
    </xf>
    <xf numFmtId="171" fontId="0" fillId="0" borderId="277" xfId="0" applyNumberFormat="1" applyBorder="1" applyAlignment="1">
      <alignment horizontal="right" indent="2"/>
    </xf>
    <xf numFmtId="0" fontId="0" fillId="0" borderId="277" xfId="0" applyBorder="1" applyAlignment="1">
      <alignment horizontal="left" indent="1"/>
    </xf>
    <xf numFmtId="0" fontId="0" fillId="0" borderId="277" xfId="0" applyBorder="1" applyAlignment="1">
      <alignment horizontal="right" indent="2"/>
    </xf>
    <xf numFmtId="0" fontId="0" fillId="0" borderId="277" xfId="0" applyBorder="1" applyAlignment="1">
      <alignment horizontal="center"/>
    </xf>
    <xf numFmtId="0" fontId="100" fillId="0" borderId="0" xfId="0" applyFont="1" applyAlignment="1">
      <alignment horizontal="center" vertical="center"/>
    </xf>
    <xf numFmtId="0" fontId="0" fillId="7" borderId="278" xfId="0" applyFill="1" applyBorder="1" applyAlignment="1" applyProtection="1">
      <alignment horizontal="center"/>
      <protection locked="0"/>
    </xf>
    <xf numFmtId="0" fontId="0" fillId="24" borderId="0" xfId="0" applyFill="1" applyAlignment="1">
      <alignment horizontal="left" indent="1"/>
    </xf>
    <xf numFmtId="0" fontId="0" fillId="7" borderId="279" xfId="0" applyFill="1" applyBorder="1" applyAlignment="1" applyProtection="1">
      <alignment horizontal="center"/>
      <protection locked="0"/>
    </xf>
    <xf numFmtId="0" fontId="0" fillId="25" borderId="0" xfId="0" applyFill="1" applyAlignment="1">
      <alignment horizontal="left" indent="1"/>
    </xf>
    <xf numFmtId="0" fontId="0" fillId="26" borderId="0" xfId="0" applyFill="1" applyAlignment="1">
      <alignment horizontal="left" indent="1"/>
    </xf>
    <xf numFmtId="0" fontId="0" fillId="7" borderId="280" xfId="0" applyFill="1" applyBorder="1" applyAlignment="1" applyProtection="1">
      <alignment horizontal="center"/>
      <protection locked="0"/>
    </xf>
    <xf numFmtId="0" fontId="0" fillId="27" borderId="0" xfId="0" applyFill="1" applyAlignment="1">
      <alignment horizontal="left" indent="1"/>
    </xf>
    <xf numFmtId="170" fontId="3" fillId="0" borderId="281" xfId="0" applyNumberFormat="1" applyFont="1" applyBorder="1" applyAlignment="1">
      <alignment horizontal="right" indent="2"/>
    </xf>
    <xf numFmtId="171" fontId="0" fillId="0" borderId="275" xfId="0" applyNumberFormat="1" applyBorder="1" applyAlignment="1">
      <alignment horizontal="right" indent="2"/>
    </xf>
    <xf numFmtId="0" fontId="0" fillId="3" borderId="275" xfId="0" applyFill="1" applyBorder="1" applyAlignment="1">
      <alignment horizontal="left" indent="1"/>
    </xf>
    <xf numFmtId="170" fontId="3" fillId="0" borderId="282" xfId="0" applyNumberFormat="1" applyFont="1" applyBorder="1" applyAlignment="1">
      <alignment horizontal="right" indent="2"/>
    </xf>
    <xf numFmtId="171" fontId="0" fillId="0" borderId="283" xfId="0" applyNumberFormat="1" applyBorder="1" applyAlignment="1">
      <alignment horizontal="right" indent="2"/>
    </xf>
    <xf numFmtId="0" fontId="0" fillId="3" borderId="283" xfId="0" applyFill="1" applyBorder="1" applyAlignment="1">
      <alignment horizontal="left" indent="1"/>
    </xf>
    <xf numFmtId="0" fontId="0" fillId="0" borderId="284" xfId="0" applyBorder="1" applyAlignment="1">
      <alignment horizontal="right" indent="2"/>
    </xf>
    <xf numFmtId="0" fontId="0" fillId="0" borderId="283" xfId="0" applyBorder="1" applyAlignment="1">
      <alignment horizontal="center"/>
    </xf>
    <xf numFmtId="0" fontId="0" fillId="0" borderId="32" xfId="0" applyBorder="1"/>
    <xf numFmtId="0" fontId="0" fillId="0" borderId="32" xfId="0" applyBorder="1" applyAlignment="1">
      <alignment wrapText="1"/>
    </xf>
    <xf numFmtId="0" fontId="0" fillId="0" borderId="33" xfId="0" applyBorder="1"/>
    <xf numFmtId="0" fontId="0" fillId="7" borderId="265" xfId="0" applyFill="1" applyBorder="1" applyAlignment="1" applyProtection="1">
      <alignment horizontal="left" vertical="center" wrapText="1" indent="1"/>
      <protection locked="0"/>
    </xf>
    <xf numFmtId="0" fontId="0" fillId="3" borderId="62" xfId="0" applyFill="1" applyBorder="1" applyAlignment="1">
      <alignment horizontal="left" indent="1"/>
    </xf>
    <xf numFmtId="0" fontId="0" fillId="3" borderId="62" xfId="0" applyFill="1" applyBorder="1" applyAlignment="1" applyProtection="1">
      <alignment horizontal="left" wrapText="1" indent="1"/>
      <protection locked="0"/>
    </xf>
    <xf numFmtId="0" fontId="0" fillId="9" borderId="61" xfId="0" applyFill="1" applyBorder="1" applyAlignment="1" applyProtection="1">
      <alignment horizontal="left" wrapText="1" indent="1"/>
      <protection locked="0"/>
    </xf>
    <xf numFmtId="0" fontId="0" fillId="12" borderId="61" xfId="0" applyFill="1" applyBorder="1" applyAlignment="1" applyProtection="1">
      <alignment horizontal="left" wrapText="1" indent="1"/>
      <protection locked="0"/>
    </xf>
    <xf numFmtId="0" fontId="0" fillId="13" borderId="61" xfId="0" applyFill="1" applyBorder="1" applyAlignment="1" applyProtection="1">
      <alignment horizontal="left" wrapText="1" indent="1"/>
      <protection locked="0"/>
    </xf>
    <xf numFmtId="0" fontId="0" fillId="7" borderId="30" xfId="0" applyFill="1" applyBorder="1" applyAlignment="1" applyProtection="1">
      <alignment horizontal="left" vertical="center" wrapText="1" indent="1"/>
      <protection locked="0"/>
    </xf>
    <xf numFmtId="0" fontId="101" fillId="8" borderId="276" xfId="0" applyFont="1" applyFill="1" applyBorder="1" applyAlignment="1">
      <alignment horizontal="left" indent="1"/>
    </xf>
    <xf numFmtId="171" fontId="0" fillId="8" borderId="277" xfId="0" applyNumberFormat="1" applyFill="1" applyBorder="1" applyAlignment="1">
      <alignment horizontal="left" indent="1"/>
    </xf>
    <xf numFmtId="0" fontId="0" fillId="8" borderId="277" xfId="0" applyFill="1" applyBorder="1" applyAlignment="1">
      <alignment horizontal="left" indent="1"/>
    </xf>
    <xf numFmtId="0" fontId="3" fillId="8" borderId="277" xfId="0" applyFont="1" applyFill="1" applyBorder="1"/>
    <xf numFmtId="0" fontId="3" fillId="8" borderId="277" xfId="0" applyFont="1" applyFill="1" applyBorder="1" applyAlignment="1">
      <alignment horizontal="center"/>
    </xf>
    <xf numFmtId="0" fontId="0" fillId="0" borderId="275" xfId="0" applyBorder="1" applyAlignment="1">
      <alignment horizontal="center"/>
    </xf>
    <xf numFmtId="14" fontId="102" fillId="0" borderId="0" xfId="0" applyNumberFormat="1" applyFont="1"/>
    <xf numFmtId="0" fontId="11" fillId="0" borderId="0" xfId="0" applyFont="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57" fillId="15" borderId="150" xfId="0" applyFont="1" applyFill="1" applyBorder="1" applyAlignment="1">
      <alignment horizontal="center" vertical="center"/>
    </xf>
    <xf numFmtId="0" fontId="57" fillId="15" borderId="2" xfId="0" applyFont="1" applyFill="1" applyBorder="1" applyAlignment="1">
      <alignment horizontal="center" vertical="center"/>
    </xf>
    <xf numFmtId="0" fontId="76" fillId="0" borderId="0" xfId="0" applyFont="1" applyAlignment="1">
      <alignment horizontal="center" vertical="center"/>
    </xf>
    <xf numFmtId="0" fontId="72" fillId="0" borderId="0" xfId="0" applyFont="1" applyAlignment="1">
      <alignment horizontal="center"/>
    </xf>
    <xf numFmtId="0" fontId="15" fillId="0" borderId="0" xfId="0" applyFont="1" applyAlignment="1">
      <alignment horizontal="center"/>
    </xf>
    <xf numFmtId="0" fontId="14" fillId="0" borderId="285" xfId="0" applyFont="1" applyBorder="1" applyAlignment="1">
      <alignment horizontal="left" indent="1"/>
    </xf>
    <xf numFmtId="0" fontId="14" fillId="0" borderId="0" xfId="0" applyFont="1" applyAlignment="1">
      <alignment horizontal="left"/>
    </xf>
    <xf numFmtId="0" fontId="64" fillId="0" borderId="0" xfId="0" applyFont="1" applyAlignment="1">
      <alignment horizontal="center"/>
    </xf>
    <xf numFmtId="0" fontId="65" fillId="0" borderId="4" xfId="0" applyFont="1" applyBorder="1"/>
    <xf numFmtId="0" fontId="65" fillId="0" borderId="0" xfId="0" applyFont="1"/>
    <xf numFmtId="0" fontId="6" fillId="0" borderId="152" xfId="0" applyFont="1" applyBorder="1"/>
    <xf numFmtId="0" fontId="14" fillId="0" borderId="152" xfId="0" applyFont="1" applyBorder="1" applyAlignment="1">
      <alignment vertical="top"/>
    </xf>
    <xf numFmtId="0" fontId="14" fillId="0" borderId="0" xfId="0" applyFont="1" applyAlignment="1">
      <alignment vertical="top"/>
    </xf>
    <xf numFmtId="0" fontId="85" fillId="7" borderId="0" xfId="0" applyFont="1" applyFill="1" applyAlignment="1">
      <alignment vertical="top"/>
    </xf>
    <xf numFmtId="0" fontId="85" fillId="7" borderId="181" xfId="0" applyFont="1" applyFill="1" applyBorder="1" applyAlignment="1">
      <alignment vertical="top"/>
    </xf>
    <xf numFmtId="0" fontId="85" fillId="7" borderId="180" xfId="0" applyFont="1" applyFill="1" applyBorder="1" applyAlignment="1">
      <alignment horizontal="left" vertical="top" indent="1"/>
    </xf>
    <xf numFmtId="0" fontId="99" fillId="0" borderId="0" xfId="0" applyFont="1" applyAlignment="1">
      <alignment horizontal="center"/>
    </xf>
    <xf numFmtId="0" fontId="21" fillId="0" borderId="286" xfId="0" applyFont="1" applyBorder="1" applyAlignment="1">
      <alignment horizontal="center" vertical="center" wrapText="1"/>
    </xf>
    <xf numFmtId="0" fontId="3" fillId="0" borderId="287" xfId="0" applyFont="1" applyBorder="1" applyAlignment="1">
      <alignment horizontal="center" vertical="center"/>
    </xf>
    <xf numFmtId="0" fontId="21" fillId="0" borderId="287" xfId="0" applyFont="1" applyBorder="1" applyAlignment="1">
      <alignment horizontal="center" vertical="center" wrapText="1"/>
    </xf>
    <xf numFmtId="0" fontId="0" fillId="0" borderId="288" xfId="0" applyBorder="1" applyAlignment="1">
      <alignment horizontal="left" indent="1"/>
    </xf>
    <xf numFmtId="0" fontId="0" fillId="0" borderId="289" xfId="0" applyBorder="1" applyAlignment="1">
      <alignment horizontal="left" indent="1"/>
    </xf>
    <xf numFmtId="0" fontId="3" fillId="8" borderId="289" xfId="0" applyFont="1" applyFill="1" applyBorder="1" applyAlignment="1">
      <alignment horizontal="left" indent="1"/>
    </xf>
    <xf numFmtId="0" fontId="0" fillId="0" borderId="290" xfId="0" applyBorder="1" applyAlignment="1">
      <alignment horizontal="left" indent="1"/>
    </xf>
    <xf numFmtId="0" fontId="0" fillId="0" borderId="291" xfId="0" applyBorder="1" applyAlignment="1">
      <alignment horizontal="left" indent="1"/>
    </xf>
    <xf numFmtId="0" fontId="21" fillId="0" borderId="292" xfId="0" applyFont="1" applyBorder="1" applyAlignment="1">
      <alignment horizontal="left" vertical="center" wrapText="1" indent="1"/>
    </xf>
    <xf numFmtId="0" fontId="0" fillId="0" borderId="293" xfId="0" applyBorder="1" applyAlignment="1">
      <alignment horizontal="center"/>
    </xf>
    <xf numFmtId="0" fontId="0" fillId="0" borderId="294" xfId="0" applyBorder="1" applyAlignment="1">
      <alignment horizontal="center"/>
    </xf>
    <xf numFmtId="0" fontId="0" fillId="0" borderId="295" xfId="0" applyBorder="1" applyAlignment="1">
      <alignment horizontal="center"/>
    </xf>
    <xf numFmtId="0" fontId="0" fillId="21" borderId="277" xfId="0" applyFill="1" applyBorder="1" applyAlignment="1" applyProtection="1">
      <alignment horizontal="left" indent="1"/>
      <protection locked="0"/>
    </xf>
    <xf numFmtId="0" fontId="0" fillId="21" borderId="296" xfId="0" applyFill="1" applyBorder="1" applyAlignment="1" applyProtection="1">
      <alignment horizontal="left" indent="1"/>
      <protection locked="0"/>
    </xf>
    <xf numFmtId="0" fontId="0" fillId="21" borderId="277" xfId="0" applyFill="1" applyBorder="1" applyAlignment="1" applyProtection="1">
      <alignment horizontal="left" vertical="top" wrapText="1" indent="1"/>
      <protection locked="0"/>
    </xf>
    <xf numFmtId="0" fontId="0" fillId="21" borderId="297" xfId="0" applyFill="1" applyBorder="1" applyAlignment="1" applyProtection="1">
      <alignment horizontal="left" vertical="top" wrapText="1" indent="1"/>
      <protection locked="0"/>
    </xf>
    <xf numFmtId="0" fontId="0" fillId="21" borderId="0" xfId="0" applyFill="1" applyAlignment="1" applyProtection="1">
      <alignment horizontal="left" vertical="top" wrapText="1" indent="1"/>
      <protection locked="0"/>
    </xf>
    <xf numFmtId="0" fontId="0" fillId="21" borderId="296" xfId="0" applyFill="1" applyBorder="1" applyAlignment="1" applyProtection="1">
      <alignment horizontal="left" vertical="top" wrapText="1" indent="1"/>
      <protection locked="0"/>
    </xf>
    <xf numFmtId="0" fontId="0" fillId="21" borderId="298" xfId="0" applyFill="1" applyBorder="1" applyAlignment="1" applyProtection="1">
      <alignment horizontal="left" vertical="top" wrapText="1" indent="1"/>
      <protection locked="0"/>
    </xf>
    <xf numFmtId="0" fontId="0" fillId="21" borderId="297" xfId="0" applyFill="1" applyBorder="1" applyAlignment="1" applyProtection="1">
      <alignment horizontal="left" indent="1"/>
      <protection locked="0"/>
    </xf>
    <xf numFmtId="0" fontId="0" fillId="21" borderId="297" xfId="0" applyFill="1" applyBorder="1" applyAlignment="1" applyProtection="1">
      <alignment horizontal="left" wrapText="1" indent="1"/>
      <protection locked="0"/>
    </xf>
    <xf numFmtId="0" fontId="0" fillId="28" borderId="299" xfId="0" applyFill="1" applyBorder="1" applyAlignment="1">
      <alignment vertical="top" wrapText="1"/>
    </xf>
    <xf numFmtId="0" fontId="0" fillId="28" borderId="300" xfId="0" applyFill="1" applyBorder="1" applyAlignment="1">
      <alignment vertical="top" wrapText="1"/>
    </xf>
    <xf numFmtId="0" fontId="70" fillId="0" borderId="0" xfId="0" applyFont="1" applyAlignment="1">
      <alignment vertical="center" wrapText="1"/>
    </xf>
    <xf numFmtId="0" fontId="0" fillId="23" borderId="64" xfId="0" applyFill="1" applyBorder="1" applyAlignment="1" applyProtection="1">
      <alignment horizontal="left" indent="1"/>
      <protection locked="0"/>
    </xf>
    <xf numFmtId="0" fontId="0" fillId="23" borderId="61" xfId="0" applyFill="1" applyBorder="1" applyAlignment="1" applyProtection="1">
      <alignment horizontal="left" vertical="top" wrapText="1" indent="1"/>
      <protection locked="0"/>
    </xf>
    <xf numFmtId="0" fontId="0" fillId="23" borderId="301" xfId="0" applyFill="1" applyBorder="1" applyAlignment="1" applyProtection="1">
      <alignment horizontal="left" vertical="top" wrapText="1" indent="1"/>
      <protection locked="0"/>
    </xf>
    <xf numFmtId="0" fontId="0" fillId="23" borderId="302" xfId="0" applyFill="1" applyBorder="1" applyAlignment="1" applyProtection="1">
      <alignment horizontal="left" vertical="top" wrapText="1" indent="1"/>
      <protection locked="0"/>
    </xf>
    <xf numFmtId="0" fontId="0" fillId="21" borderId="303" xfId="0" applyFill="1" applyBorder="1" applyAlignment="1" applyProtection="1">
      <alignment horizontal="left" vertical="top" wrapText="1" indent="1"/>
      <protection locked="0"/>
    </xf>
    <xf numFmtId="0" fontId="0" fillId="23" borderId="304" xfId="0" applyFill="1" applyBorder="1" applyAlignment="1" applyProtection="1">
      <alignment horizontal="left" vertical="top" wrapText="1" indent="1"/>
      <protection locked="0"/>
    </xf>
    <xf numFmtId="0" fontId="0" fillId="21" borderId="67" xfId="0" applyFill="1" applyBorder="1" applyAlignment="1" applyProtection="1">
      <alignment horizontal="left" vertical="top" wrapText="1" indent="1"/>
      <protection locked="0"/>
    </xf>
    <xf numFmtId="0" fontId="0" fillId="21" borderId="305" xfId="0" applyFill="1" applyBorder="1" applyAlignment="1" applyProtection="1">
      <alignment horizontal="left" vertical="top" wrapText="1" indent="1"/>
      <protection locked="0"/>
    </xf>
    <xf numFmtId="0" fontId="0" fillId="23" borderId="306" xfId="0" applyFill="1" applyBorder="1" applyAlignment="1" applyProtection="1">
      <alignment horizontal="left" vertical="top" wrapText="1" indent="1"/>
      <protection locked="0"/>
    </xf>
    <xf numFmtId="0" fontId="0" fillId="21" borderId="307" xfId="0" applyFill="1" applyBorder="1" applyAlignment="1" applyProtection="1">
      <alignment horizontal="left" vertical="top" wrapText="1" indent="1"/>
      <protection locked="0"/>
    </xf>
    <xf numFmtId="0" fontId="0" fillId="0" borderId="277" xfId="0" applyBorder="1" applyAlignment="1">
      <alignment horizontal="left" vertical="top" wrapText="1" indent="1"/>
    </xf>
    <xf numFmtId="0" fontId="0" fillId="23" borderId="308" xfId="0" applyFill="1" applyBorder="1" applyAlignment="1" applyProtection="1">
      <alignment horizontal="left" vertical="top" wrapText="1" indent="1"/>
      <protection locked="0"/>
    </xf>
    <xf numFmtId="0" fontId="0" fillId="21" borderId="309" xfId="0" applyFill="1" applyBorder="1" applyAlignment="1" applyProtection="1">
      <alignment horizontal="left" vertical="top" wrapText="1" indent="1"/>
      <protection locked="0"/>
    </xf>
    <xf numFmtId="0" fontId="0" fillId="21" borderId="310" xfId="0" applyFill="1" applyBorder="1" applyAlignment="1" applyProtection="1">
      <alignment horizontal="left" vertical="top" wrapText="1" indent="1"/>
      <protection locked="0"/>
    </xf>
    <xf numFmtId="0" fontId="0" fillId="23" borderId="311" xfId="0" applyFill="1" applyBorder="1" applyAlignment="1" applyProtection="1">
      <alignment horizontal="left" vertical="top" wrapText="1" indent="1"/>
      <protection locked="0"/>
    </xf>
    <xf numFmtId="0" fontId="0" fillId="21" borderId="312" xfId="0" applyFill="1" applyBorder="1" applyAlignment="1" applyProtection="1">
      <alignment horizontal="left" vertical="top" wrapText="1" indent="1"/>
      <protection locked="0"/>
    </xf>
    <xf numFmtId="0" fontId="0" fillId="23" borderId="313" xfId="0" applyFill="1" applyBorder="1" applyAlignment="1" applyProtection="1">
      <alignment horizontal="left" vertical="top" wrapText="1" indent="1"/>
      <protection locked="0"/>
    </xf>
    <xf numFmtId="0" fontId="0" fillId="21" borderId="314" xfId="0" applyFill="1" applyBorder="1" applyAlignment="1" applyProtection="1">
      <alignment horizontal="left" vertical="top" wrapText="1" indent="1"/>
      <protection locked="0"/>
    </xf>
    <xf numFmtId="0" fontId="0" fillId="29" borderId="301" xfId="0" applyFill="1" applyBorder="1" applyAlignment="1" applyProtection="1">
      <alignment horizontal="left" vertical="top" wrapText="1"/>
      <protection locked="0"/>
    </xf>
    <xf numFmtId="0" fontId="0" fillId="21" borderId="309" xfId="0" applyFill="1" applyBorder="1" applyAlignment="1" applyProtection="1">
      <alignment horizontal="left" indent="1"/>
      <protection locked="0"/>
    </xf>
    <xf numFmtId="0" fontId="0" fillId="29" borderId="301" xfId="0" applyFill="1" applyBorder="1" applyAlignment="1" applyProtection="1">
      <alignment horizontal="left" wrapText="1"/>
      <protection locked="0"/>
    </xf>
    <xf numFmtId="0" fontId="0" fillId="21" borderId="309" xfId="0" applyFill="1" applyBorder="1" applyAlignment="1" applyProtection="1">
      <alignment horizontal="left" wrapText="1" indent="1"/>
      <protection locked="0"/>
    </xf>
    <xf numFmtId="0" fontId="0" fillId="29" borderId="313" xfId="0" applyFill="1" applyBorder="1" applyAlignment="1" applyProtection="1">
      <alignment horizontal="left" vertical="top" wrapText="1"/>
      <protection locked="0"/>
    </xf>
    <xf numFmtId="0" fontId="0" fillId="21" borderId="314" xfId="0" applyFill="1" applyBorder="1" applyAlignment="1" applyProtection="1">
      <alignment horizontal="left" indent="1"/>
      <protection locked="0"/>
    </xf>
    <xf numFmtId="0" fontId="0" fillId="10" borderId="0" xfId="0" applyFill="1"/>
    <xf numFmtId="0" fontId="46" fillId="10" borderId="0" xfId="0" applyFont="1" applyFill="1"/>
    <xf numFmtId="0" fontId="3" fillId="10" borderId="0" xfId="0" applyFont="1" applyFill="1"/>
    <xf numFmtId="0" fontId="0" fillId="10" borderId="0" xfId="0" applyFill="1" applyAlignment="1">
      <alignment vertical="center"/>
    </xf>
    <xf numFmtId="0" fontId="3" fillId="30" borderId="0" xfId="0" applyFont="1" applyFill="1" applyAlignment="1">
      <alignment horizontal="center"/>
    </xf>
    <xf numFmtId="0" fontId="39" fillId="31" borderId="0" xfId="0" applyFont="1" applyFill="1" applyAlignment="1">
      <alignment horizontal="center"/>
    </xf>
    <xf numFmtId="0" fontId="0" fillId="12" borderId="0" xfId="0" applyFill="1"/>
    <xf numFmtId="0" fontId="0" fillId="32" borderId="0" xfId="0" applyFill="1"/>
    <xf numFmtId="0" fontId="74" fillId="16" borderId="0" xfId="0" applyFont="1" applyFill="1" applyAlignment="1">
      <alignment horizontal="center" vertical="center"/>
    </xf>
    <xf numFmtId="0" fontId="68" fillId="6" borderId="315" xfId="0" applyFont="1" applyFill="1" applyBorder="1" applyAlignment="1">
      <alignment horizontal="center" vertical="center"/>
    </xf>
    <xf numFmtId="0" fontId="68" fillId="6" borderId="316" xfId="0" applyFont="1" applyFill="1" applyBorder="1" applyAlignment="1">
      <alignment horizontal="center" vertical="center"/>
    </xf>
    <xf numFmtId="0" fontId="68" fillId="6" borderId="317" xfId="0" applyFont="1" applyFill="1" applyBorder="1" applyAlignment="1">
      <alignment horizontal="center" vertical="center"/>
    </xf>
    <xf numFmtId="0" fontId="76" fillId="0" borderId="0" xfId="0" applyFont="1" applyAlignment="1">
      <alignment horizontal="center"/>
    </xf>
    <xf numFmtId="0" fontId="6" fillId="0" borderId="0" xfId="0" applyFont="1" applyAlignment="1">
      <alignment horizontal="right"/>
    </xf>
    <xf numFmtId="0" fontId="22" fillId="0" borderId="0" xfId="0" applyFont="1"/>
    <xf numFmtId="0" fontId="33" fillId="0" borderId="0" xfId="20" applyAlignment="1" applyProtection="1">
      <alignment horizontal="right"/>
      <protection locked="0"/>
    </xf>
    <xf numFmtId="0" fontId="50" fillId="18" borderId="318" xfId="0" applyFont="1" applyFill="1" applyBorder="1" applyAlignment="1">
      <alignment horizontal="center" vertical="center"/>
    </xf>
    <xf numFmtId="0" fontId="50" fillId="18" borderId="319" xfId="0" applyFont="1" applyFill="1" applyBorder="1" applyAlignment="1">
      <alignment horizontal="center" vertical="center"/>
    </xf>
    <xf numFmtId="0" fontId="50" fillId="18" borderId="320" xfId="0" applyFont="1" applyFill="1" applyBorder="1" applyAlignment="1">
      <alignment horizontal="center" vertical="center"/>
    </xf>
    <xf numFmtId="0" fontId="0" fillId="16" borderId="4" xfId="0" applyFill="1" applyBorder="1" applyAlignment="1">
      <alignment horizontal="center"/>
    </xf>
    <xf numFmtId="0" fontId="0" fillId="16" borderId="0" xfId="0" applyFill="1" applyAlignment="1">
      <alignment horizontal="center"/>
    </xf>
    <xf numFmtId="0" fontId="0" fillId="16" borderId="5" xfId="0" applyFill="1" applyBorder="1" applyAlignment="1">
      <alignment horizontal="center"/>
    </xf>
    <xf numFmtId="0" fontId="73" fillId="16" borderId="0" xfId="0" applyFont="1" applyFill="1" applyAlignment="1">
      <alignment horizontal="center" vertical="center"/>
    </xf>
    <xf numFmtId="166" fontId="6" fillId="6" borderId="4" xfId="0" applyNumberFormat="1" applyFont="1" applyFill="1" applyBorder="1" applyAlignment="1">
      <alignment horizontal="center"/>
    </xf>
    <xf numFmtId="166" fontId="6" fillId="6" borderId="0" xfId="0" applyNumberFormat="1" applyFont="1" applyFill="1" applyAlignment="1">
      <alignment horizontal="center"/>
    </xf>
    <xf numFmtId="166" fontId="6" fillId="6" borderId="5" xfId="0" applyNumberFormat="1" applyFont="1" applyFill="1" applyBorder="1" applyAlignment="1">
      <alignment horizontal="center"/>
    </xf>
    <xf numFmtId="0" fontId="8" fillId="18" borderId="319" xfId="0" applyFont="1" applyFill="1" applyBorder="1" applyAlignment="1">
      <alignment horizontal="center" vertical="center"/>
    </xf>
    <xf numFmtId="0" fontId="76" fillId="0" borderId="0" xfId="0" applyFont="1" applyAlignment="1">
      <alignment horizontal="center" vertical="center"/>
    </xf>
    <xf numFmtId="0" fontId="68" fillId="6" borderId="4" xfId="0" applyFont="1" applyFill="1" applyBorder="1" applyAlignment="1">
      <alignment horizontal="center" vertical="center"/>
    </xf>
    <xf numFmtId="0" fontId="68" fillId="6" borderId="5" xfId="0" applyFont="1" applyFill="1" applyBorder="1" applyAlignment="1">
      <alignment horizontal="center" vertical="center"/>
    </xf>
    <xf numFmtId="0" fontId="8" fillId="17" borderId="321" xfId="0" applyFont="1" applyFill="1" applyBorder="1" applyAlignment="1">
      <alignment horizontal="center" vertical="center"/>
    </xf>
    <xf numFmtId="0" fontId="8" fillId="17" borderId="322" xfId="0" applyFont="1" applyFill="1" applyBorder="1" applyAlignment="1">
      <alignment horizontal="center" vertical="center"/>
    </xf>
    <xf numFmtId="0" fontId="0" fillId="16" borderId="315" xfId="0" applyFill="1" applyBorder="1" applyAlignment="1">
      <alignment horizontal="center"/>
    </xf>
    <xf numFmtId="0" fontId="0" fillId="16" borderId="317" xfId="0" applyFill="1" applyBorder="1" applyAlignment="1">
      <alignment horizontal="center"/>
    </xf>
    <xf numFmtId="0" fontId="14" fillId="22" borderId="153" xfId="0" applyFont="1" applyFill="1" applyBorder="1" applyAlignment="1">
      <alignment horizontal="left" indent="1"/>
    </xf>
    <xf numFmtId="0" fontId="14" fillId="22" borderId="154" xfId="0" applyFont="1" applyFill="1" applyBorder="1" applyAlignment="1">
      <alignment horizontal="left" indent="1"/>
    </xf>
    <xf numFmtId="0" fontId="65" fillId="0" borderId="4" xfId="0" applyFont="1" applyBorder="1" applyAlignment="1">
      <alignment horizontal="left" indent="1"/>
    </xf>
    <xf numFmtId="0" fontId="65" fillId="0" borderId="5" xfId="0" applyFont="1" applyBorder="1" applyAlignment="1">
      <alignment horizontal="left" indent="1"/>
    </xf>
    <xf numFmtId="0" fontId="14" fillId="21" borderId="153" xfId="0" applyFont="1" applyFill="1" applyBorder="1" applyAlignment="1">
      <alignment horizontal="left" indent="1"/>
    </xf>
    <xf numFmtId="0" fontId="14" fillId="21" borderId="154" xfId="0" applyFont="1" applyFill="1" applyBorder="1" applyAlignment="1">
      <alignment horizontal="left" indent="1"/>
    </xf>
    <xf numFmtId="0" fontId="6" fillId="0" borderId="323" xfId="0" applyFont="1" applyBorder="1" applyAlignment="1">
      <alignment horizontal="center"/>
    </xf>
    <xf numFmtId="0" fontId="6" fillId="0" borderId="324" xfId="0" applyFont="1" applyBorder="1" applyAlignment="1">
      <alignment horizontal="center"/>
    </xf>
    <xf numFmtId="0" fontId="14" fillId="0" borderId="325" xfId="0" applyFont="1" applyBorder="1" applyAlignment="1">
      <alignment horizontal="center" vertical="top"/>
    </xf>
    <xf numFmtId="0" fontId="14" fillId="0" borderId="326" xfId="0" applyFont="1" applyBorder="1" applyAlignment="1">
      <alignment horizontal="center" vertical="top"/>
    </xf>
    <xf numFmtId="0" fontId="72" fillId="0" borderId="6" xfId="0" applyFont="1" applyBorder="1" applyAlignment="1">
      <alignment horizontal="center"/>
    </xf>
    <xf numFmtId="0" fontId="39" fillId="33" borderId="153" xfId="0" applyFont="1" applyFill="1" applyBorder="1" applyAlignment="1">
      <alignment horizontal="center"/>
    </xf>
    <xf numFmtId="0" fontId="39" fillId="33" borderId="154" xfId="0" applyFont="1" applyFill="1" applyBorder="1" applyAlignment="1">
      <alignment horizontal="center"/>
    </xf>
    <xf numFmtId="0" fontId="63" fillId="7" borderId="180" xfId="0" applyFont="1" applyFill="1" applyBorder="1" applyAlignment="1">
      <alignment horizontal="left" vertical="top" wrapText="1" indent="1"/>
    </xf>
    <xf numFmtId="0" fontId="63" fillId="7" borderId="0" xfId="0" applyFont="1" applyFill="1" applyAlignment="1">
      <alignment horizontal="left" vertical="top" wrapText="1" indent="1"/>
    </xf>
    <xf numFmtId="0" fontId="63" fillId="7" borderId="181" xfId="0" applyFont="1" applyFill="1" applyBorder="1" applyAlignment="1">
      <alignment horizontal="left" vertical="top" wrapText="1" indent="1"/>
    </xf>
    <xf numFmtId="0" fontId="63" fillId="7" borderId="182" xfId="0" applyFont="1" applyFill="1" applyBorder="1" applyAlignment="1">
      <alignment horizontal="left" vertical="top" wrapText="1" indent="1"/>
    </xf>
    <xf numFmtId="0" fontId="63" fillId="7" borderId="183" xfId="0" applyFont="1" applyFill="1" applyBorder="1" applyAlignment="1">
      <alignment horizontal="left" vertical="top" wrapText="1" indent="1"/>
    </xf>
    <xf numFmtId="0" fontId="63" fillId="7" borderId="184" xfId="0" applyFont="1" applyFill="1" applyBorder="1" applyAlignment="1">
      <alignment horizontal="left" vertical="top" wrapText="1" indent="1"/>
    </xf>
    <xf numFmtId="0" fontId="88" fillId="7" borderId="327" xfId="0" applyFont="1" applyFill="1" applyBorder="1" applyAlignment="1">
      <alignment horizontal="center" vertical="center" wrapText="1"/>
    </xf>
    <xf numFmtId="0" fontId="88" fillId="7" borderId="328" xfId="0" applyFont="1" applyFill="1" applyBorder="1" applyAlignment="1">
      <alignment horizontal="center" vertical="center" wrapText="1"/>
    </xf>
    <xf numFmtId="0" fontId="88" fillId="7" borderId="329" xfId="0" applyFont="1" applyFill="1" applyBorder="1" applyAlignment="1">
      <alignment horizontal="center" vertical="center" wrapText="1"/>
    </xf>
    <xf numFmtId="0" fontId="88" fillId="7" borderId="180" xfId="0" applyFont="1" applyFill="1" applyBorder="1" applyAlignment="1">
      <alignment horizontal="center" vertical="center" wrapText="1"/>
    </xf>
    <xf numFmtId="0" fontId="88" fillId="7" borderId="0" xfId="0" applyFont="1" applyFill="1" applyAlignment="1">
      <alignment horizontal="center" vertical="center" wrapText="1"/>
    </xf>
    <xf numFmtId="0" fontId="88" fillId="7" borderId="181" xfId="0" applyFont="1" applyFill="1" applyBorder="1" applyAlignment="1">
      <alignment horizontal="center" vertical="center" wrapText="1"/>
    </xf>
    <xf numFmtId="0" fontId="85" fillId="7" borderId="180" xfId="0" applyFont="1" applyFill="1" applyBorder="1" applyAlignment="1">
      <alignment horizontal="left" vertical="top" indent="2"/>
    </xf>
    <xf numFmtId="0" fontId="85" fillId="7" borderId="0" xfId="0" applyFont="1" applyFill="1" applyAlignment="1">
      <alignment horizontal="left" vertical="top" indent="2"/>
    </xf>
    <xf numFmtId="0" fontId="85" fillId="7" borderId="181" xfId="0" applyFont="1" applyFill="1" applyBorder="1" applyAlignment="1">
      <alignment horizontal="left" vertical="top" indent="2"/>
    </xf>
    <xf numFmtId="0" fontId="63" fillId="7" borderId="180" xfId="0" applyFont="1" applyFill="1" applyBorder="1" applyAlignment="1">
      <alignment horizontal="left" vertical="justify" wrapText="1" indent="1"/>
    </xf>
    <xf numFmtId="0" fontId="63" fillId="7" borderId="0" xfId="0" applyFont="1" applyFill="1" applyAlignment="1">
      <alignment horizontal="left" vertical="justify" wrapText="1" indent="1"/>
    </xf>
    <xf numFmtId="0" fontId="63" fillId="7" borderId="181" xfId="0" applyFont="1" applyFill="1" applyBorder="1" applyAlignment="1">
      <alignment horizontal="left" vertical="justify" wrapText="1" indent="1"/>
    </xf>
    <xf numFmtId="0" fontId="84" fillId="7" borderId="327" xfId="0" applyFont="1" applyFill="1" applyBorder="1" applyAlignment="1">
      <alignment horizontal="center"/>
    </xf>
    <xf numFmtId="0" fontId="84" fillId="7" borderId="328" xfId="0" applyFont="1" applyFill="1" applyBorder="1" applyAlignment="1">
      <alignment horizontal="center"/>
    </xf>
    <xf numFmtId="0" fontId="84" fillId="7" borderId="329" xfId="0" applyFont="1" applyFill="1" applyBorder="1" applyAlignment="1">
      <alignment horizontal="center"/>
    </xf>
    <xf numFmtId="0" fontId="84" fillId="7" borderId="180" xfId="0" applyFont="1" applyFill="1" applyBorder="1" applyAlignment="1">
      <alignment horizontal="center"/>
    </xf>
    <xf numFmtId="0" fontId="84" fillId="7" borderId="0" xfId="0" applyFont="1" applyFill="1" applyAlignment="1">
      <alignment horizontal="center"/>
    </xf>
    <xf numFmtId="0" fontId="84" fillId="7" borderId="181" xfId="0" applyFont="1" applyFill="1" applyBorder="1" applyAlignment="1">
      <alignment horizontal="center"/>
    </xf>
    <xf numFmtId="0" fontId="31" fillId="0" borderId="0" xfId="0" applyFont="1" applyAlignment="1">
      <alignment horizontal="center" vertical="center"/>
    </xf>
    <xf numFmtId="0" fontId="38" fillId="33" borderId="318" xfId="0" applyFont="1" applyFill="1" applyBorder="1" applyAlignment="1">
      <alignment horizontal="center"/>
    </xf>
    <xf numFmtId="0" fontId="38" fillId="33" borderId="320" xfId="0" applyFont="1" applyFill="1" applyBorder="1" applyAlignment="1">
      <alignment horizontal="center"/>
    </xf>
    <xf numFmtId="0" fontId="3" fillId="0" borderId="0" xfId="0" applyFont="1" applyAlignment="1">
      <alignment horizontal="center" wrapText="1"/>
    </xf>
    <xf numFmtId="0" fontId="69" fillId="0" borderId="0" xfId="0" applyFont="1" applyAlignment="1">
      <alignment horizontal="center"/>
    </xf>
    <xf numFmtId="0" fontId="71" fillId="0" borderId="0" xfId="0" applyFont="1" applyAlignment="1">
      <alignment horizontal="center" vertical="center"/>
    </xf>
    <xf numFmtId="0" fontId="72" fillId="0" borderId="6" xfId="0" applyFont="1" applyBorder="1" applyAlignment="1">
      <alignment horizontal="center" vertical="center"/>
    </xf>
    <xf numFmtId="0" fontId="72" fillId="0" borderId="0" xfId="0" applyFont="1" applyAlignment="1">
      <alignment horizontal="center"/>
    </xf>
    <xf numFmtId="0" fontId="39" fillId="33" borderId="330" xfId="0" applyFont="1" applyFill="1" applyBorder="1" applyAlignment="1">
      <alignment horizontal="center"/>
    </xf>
    <xf numFmtId="0" fontId="39" fillId="33" borderId="331" xfId="0" applyFont="1" applyFill="1" applyBorder="1" applyAlignment="1">
      <alignment horizontal="center"/>
    </xf>
    <xf numFmtId="0" fontId="33" fillId="0" borderId="0" xfId="20" applyAlignment="1" applyProtection="1">
      <alignment horizontal="right"/>
      <protection/>
    </xf>
    <xf numFmtId="0" fontId="99" fillId="0" borderId="0" xfId="0" applyFont="1" applyAlignment="1">
      <alignment horizontal="center"/>
    </xf>
    <xf numFmtId="0" fontId="5" fillId="0" borderId="0" xfId="0" applyFont="1" applyAlignment="1">
      <alignment horizontal="left"/>
    </xf>
    <xf numFmtId="0" fontId="21" fillId="0" borderId="287" xfId="0" applyFont="1" applyBorder="1" applyAlignment="1">
      <alignment horizontal="center" vertical="center" wrapText="1"/>
    </xf>
    <xf numFmtId="0" fontId="0" fillId="0" borderId="0" xfId="0" applyAlignment="1">
      <alignment horizontal="left" wrapText="1"/>
    </xf>
    <xf numFmtId="0" fontId="87" fillId="0" borderId="0" xfId="0" applyFont="1" applyAlignment="1">
      <alignment horizontal="center"/>
    </xf>
    <xf numFmtId="0" fontId="97" fillId="0" borderId="0" xfId="0" applyFont="1" applyAlignment="1">
      <alignment horizontal="center" vertical="center"/>
    </xf>
    <xf numFmtId="0" fontId="5" fillId="0" borderId="332" xfId="0" applyFont="1" applyBorder="1" applyAlignment="1">
      <alignment horizontal="center" vertical="center"/>
    </xf>
    <xf numFmtId="0" fontId="5" fillId="0" borderId="333" xfId="0" applyFont="1" applyBorder="1" applyAlignment="1">
      <alignment horizontal="center" vertical="center"/>
    </xf>
    <xf numFmtId="0" fontId="5" fillId="0" borderId="334" xfId="0" applyFont="1" applyBorder="1" applyAlignment="1">
      <alignment horizontal="center" vertical="center"/>
    </xf>
    <xf numFmtId="0" fontId="96" fillId="13" borderId="268" xfId="0" applyFont="1" applyFill="1" applyBorder="1" applyAlignment="1" applyProtection="1">
      <alignment horizontal="center" vertical="center"/>
      <protection locked="0"/>
    </xf>
    <xf numFmtId="0" fontId="96" fillId="13" borderId="269" xfId="0" applyFont="1" applyFill="1" applyBorder="1" applyAlignment="1" applyProtection="1">
      <alignment horizontal="center" vertical="center"/>
      <protection locked="0"/>
    </xf>
    <xf numFmtId="0" fontId="96" fillId="13" borderId="270" xfId="0" applyFont="1" applyFill="1" applyBorder="1" applyAlignment="1" applyProtection="1">
      <alignment horizontal="center" vertical="center"/>
      <protection locked="0"/>
    </xf>
    <xf numFmtId="0" fontId="90" fillId="0" borderId="216" xfId="0" applyFont="1" applyBorder="1" applyAlignment="1">
      <alignment horizontal="center" vertical="center" wrapText="1"/>
    </xf>
    <xf numFmtId="0" fontId="3" fillId="0" borderId="216" xfId="0" applyFont="1" applyBorder="1" applyAlignment="1">
      <alignment horizontal="center" vertical="center" wrapText="1"/>
    </xf>
    <xf numFmtId="0" fontId="3" fillId="0" borderId="217" xfId="0" applyFont="1" applyBorder="1" applyAlignment="1">
      <alignment horizontal="center" vertical="center" wrapText="1"/>
    </xf>
    <xf numFmtId="0" fontId="0" fillId="0" borderId="335" xfId="0" applyBorder="1" applyAlignment="1">
      <alignment horizontal="right" indent="1"/>
    </xf>
    <xf numFmtId="0" fontId="0" fillId="0" borderId="336" xfId="0" applyBorder="1" applyAlignment="1">
      <alignment horizontal="right" indent="1"/>
    </xf>
    <xf numFmtId="0" fontId="0" fillId="0" borderId="337" xfId="0" applyBorder="1" applyAlignment="1">
      <alignment horizontal="right" indent="1"/>
    </xf>
    <xf numFmtId="0" fontId="96" fillId="0" borderId="338" xfId="0" applyFont="1" applyBorder="1" applyAlignment="1">
      <alignment horizontal="right" vertical="center" indent="1"/>
    </xf>
    <xf numFmtId="0" fontId="96" fillId="0" borderId="339" xfId="0" applyFont="1" applyBorder="1" applyAlignment="1">
      <alignment horizontal="right" vertical="center" indent="1"/>
    </xf>
    <xf numFmtId="0" fontId="96" fillId="0" borderId="340" xfId="0" applyFont="1" applyBorder="1" applyAlignment="1">
      <alignment horizontal="right" vertical="center" indent="1"/>
    </xf>
    <xf numFmtId="0" fontId="96" fillId="0" borderId="341" xfId="0" applyFont="1" applyBorder="1" applyAlignment="1">
      <alignment horizontal="center" vertical="center"/>
    </xf>
    <xf numFmtId="0" fontId="96" fillId="0" borderId="339" xfId="0" applyFont="1" applyBorder="1" applyAlignment="1">
      <alignment horizontal="center" vertical="center"/>
    </xf>
    <xf numFmtId="0" fontId="96" fillId="0" borderId="342" xfId="0" applyFont="1" applyBorder="1" applyAlignment="1">
      <alignment horizontal="center" vertical="center"/>
    </xf>
    <xf numFmtId="0" fontId="0" fillId="0" borderId="343" xfId="0" applyBorder="1" applyAlignment="1">
      <alignment horizontal="left" vertical="center" wrapText="1" indent="1"/>
    </xf>
    <xf numFmtId="0" fontId="0" fillId="0" borderId="244" xfId="0" applyBorder="1" applyAlignment="1">
      <alignment horizontal="left" vertical="center" wrapText="1" indent="1"/>
    </xf>
    <xf numFmtId="0" fontId="0" fillId="0" borderId="245" xfId="0" applyBorder="1" applyAlignment="1">
      <alignment horizontal="left" vertical="center" wrapText="1" indent="1"/>
    </xf>
    <xf numFmtId="0" fontId="0" fillId="0" borderId="344" xfId="0" applyBorder="1" applyAlignment="1">
      <alignment horizontal="left" vertical="center" wrapText="1" indent="1"/>
    </xf>
    <xf numFmtId="0" fontId="0" fillId="0" borderId="131" xfId="0" applyBorder="1" applyAlignment="1">
      <alignment horizontal="left" vertical="center" wrapText="1" indent="1"/>
    </xf>
    <xf numFmtId="0" fontId="0" fillId="0" borderId="345" xfId="0" applyBorder="1" applyAlignment="1">
      <alignment horizontal="left" vertical="center" wrapText="1" indent="1"/>
    </xf>
    <xf numFmtId="0" fontId="0" fillId="0" borderId="346" xfId="0" applyBorder="1" applyAlignment="1">
      <alignment horizontal="left" vertical="center" wrapText="1" indent="1"/>
    </xf>
    <xf numFmtId="0" fontId="0" fillId="0" borderId="333" xfId="0" applyBorder="1" applyAlignment="1">
      <alignment horizontal="left" vertical="center" wrapText="1" indent="1"/>
    </xf>
    <xf numFmtId="0" fontId="0" fillId="0" borderId="347" xfId="0" applyBorder="1" applyAlignment="1">
      <alignment horizontal="left" vertical="center" wrapText="1" indent="1"/>
    </xf>
    <xf numFmtId="0" fontId="3" fillId="0" borderId="247" xfId="0" applyFont="1" applyBorder="1" applyAlignment="1">
      <alignment horizontal="left" vertical="center"/>
    </xf>
    <xf numFmtId="0" fontId="0" fillId="0" borderId="218" xfId="0" applyBorder="1" applyAlignment="1">
      <alignment horizontal="right" indent="1"/>
    </xf>
    <xf numFmtId="0" fontId="0" fillId="0" borderId="219" xfId="0" applyBorder="1" applyAlignment="1">
      <alignment horizontal="right" indent="1"/>
    </xf>
    <xf numFmtId="0" fontId="0" fillId="0" borderId="348" xfId="0" applyBorder="1" applyAlignment="1">
      <alignment horizontal="right" indent="1"/>
    </xf>
    <xf numFmtId="0" fontId="95" fillId="0" borderId="0" xfId="0" applyFont="1" applyAlignment="1">
      <alignment horizontal="center"/>
    </xf>
    <xf numFmtId="0" fontId="0" fillId="0" borderId="242" xfId="0" applyBorder="1" applyAlignment="1">
      <alignment horizontal="left" vertical="top" wrapText="1" indent="1"/>
    </xf>
    <xf numFmtId="0" fontId="0" fillId="0" borderId="0" xfId="0" applyAlignment="1">
      <alignment horizontal="left" vertical="top" wrapText="1" indent="1"/>
    </xf>
    <xf numFmtId="0" fontId="0" fillId="0" borderId="246" xfId="0" applyBorder="1" applyAlignment="1">
      <alignment horizontal="left" vertical="top" wrapText="1" indent="1"/>
    </xf>
    <xf numFmtId="0" fontId="0" fillId="0" borderId="349" xfId="0" applyBorder="1" applyAlignment="1">
      <alignment horizontal="left" vertical="top" wrapText="1" indent="1"/>
    </xf>
    <xf numFmtId="0" fontId="0" fillId="0" borderId="183" xfId="0" applyBorder="1" applyAlignment="1">
      <alignment horizontal="left" vertical="top" wrapText="1" indent="1"/>
    </xf>
    <xf numFmtId="0" fontId="0" fillId="0" borderId="350" xfId="0" applyBorder="1" applyAlignment="1">
      <alignment horizontal="left" vertical="top" wrapText="1" indent="1"/>
    </xf>
    <xf numFmtId="0" fontId="0" fillId="0" borderId="351" xfId="0" applyBorder="1" applyAlignment="1">
      <alignment horizontal="left" vertical="top" wrapText="1" indent="1"/>
    </xf>
    <xf numFmtId="0" fontId="0" fillId="0" borderId="247" xfId="0" applyBorder="1" applyAlignment="1">
      <alignment horizontal="left" vertical="top" wrapText="1" indent="1"/>
    </xf>
    <xf numFmtId="0" fontId="0" fillId="0" borderId="248" xfId="0" applyBorder="1" applyAlignment="1">
      <alignment horizontal="left" vertical="top" wrapText="1" indent="1"/>
    </xf>
    <xf numFmtId="0" fontId="0" fillId="0" borderId="221" xfId="0" applyBorder="1" applyAlignment="1">
      <alignment horizontal="right" vertical="center" indent="1"/>
    </xf>
    <xf numFmtId="0" fontId="0" fillId="0" borderId="222" xfId="0" applyBorder="1" applyAlignment="1">
      <alignment horizontal="right" vertical="center" indent="1"/>
    </xf>
    <xf numFmtId="0" fontId="0" fillId="0" borderId="344" xfId="0" applyBorder="1" applyAlignment="1">
      <alignment horizontal="right" vertical="center" indent="1"/>
    </xf>
    <xf numFmtId="0" fontId="0" fillId="0" borderId="131" xfId="0" applyBorder="1" applyAlignment="1">
      <alignment horizontal="right" vertical="center" indent="1"/>
    </xf>
    <xf numFmtId="0" fontId="0" fillId="0" borderId="145" xfId="0" applyBorder="1" applyAlignment="1">
      <alignment horizontal="right" vertical="center" indent="1"/>
    </xf>
    <xf numFmtId="0" fontId="0" fillId="0" borderId="271" xfId="0" applyBorder="1" applyAlignment="1">
      <alignment horizontal="right" vertical="center" indent="1"/>
    </xf>
    <xf numFmtId="0" fontId="0" fillId="0" borderId="224" xfId="0" applyBorder="1" applyAlignment="1">
      <alignment horizontal="right" vertical="center" indent="1"/>
    </xf>
    <xf numFmtId="0" fontId="0" fillId="0" borderId="242" xfId="0" applyBorder="1" applyAlignment="1">
      <alignment horizontal="left" wrapText="1" indent="1"/>
    </xf>
    <xf numFmtId="0" fontId="0" fillId="0" borderId="0" xfId="0" applyAlignment="1">
      <alignment horizontal="left" wrapText="1" indent="1"/>
    </xf>
    <xf numFmtId="0" fontId="0" fillId="0" borderId="246" xfId="0" applyBorder="1" applyAlignment="1">
      <alignment horizontal="left" wrapText="1" indent="1"/>
    </xf>
    <xf numFmtId="0" fontId="0" fillId="0" borderId="235" xfId="0" applyBorder="1" applyAlignment="1">
      <alignment horizontal="right" vertical="center" indent="1"/>
    </xf>
    <xf numFmtId="0" fontId="0" fillId="0" borderId="236" xfId="0" applyBorder="1" applyAlignment="1">
      <alignment horizontal="right" vertical="center" indent="1"/>
    </xf>
    <xf numFmtId="0" fontId="0" fillId="0" borderId="351" xfId="0" applyBorder="1" applyAlignment="1">
      <alignment horizontal="center"/>
    </xf>
    <xf numFmtId="0" fontId="0" fillId="0" borderId="247" xfId="0" applyBorder="1" applyAlignment="1">
      <alignment horizontal="center"/>
    </xf>
    <xf numFmtId="0" fontId="93" fillId="0" borderId="0" xfId="0" applyFont="1" applyAlignment="1">
      <alignment horizontal="left" vertical="center"/>
    </xf>
    <xf numFmtId="0" fontId="89" fillId="0" borderId="238" xfId="0" applyFont="1" applyBorder="1" applyAlignment="1">
      <alignment horizontal="left" indent="1"/>
    </xf>
    <xf numFmtId="0" fontId="89" fillId="0" borderId="239" xfId="0" applyFont="1" applyBorder="1" applyAlignment="1">
      <alignment horizontal="left" indent="1"/>
    </xf>
    <xf numFmtId="0" fontId="89" fillId="0" borderId="352" xfId="0" applyFont="1" applyBorder="1" applyAlignment="1">
      <alignment horizontal="left" indent="1"/>
    </xf>
    <xf numFmtId="0" fontId="0" fillId="0" borderId="242" xfId="0" applyBorder="1" applyAlignment="1">
      <alignment horizontal="center" vertical="center"/>
    </xf>
    <xf numFmtId="0" fontId="0" fillId="0" borderId="0" xfId="0" applyAlignment="1">
      <alignment horizontal="center" vertical="center"/>
    </xf>
    <xf numFmtId="0" fontId="0" fillId="0" borderId="246" xfId="0" applyBorder="1" applyAlignment="1">
      <alignment horizontal="center" vertical="center"/>
    </xf>
    <xf numFmtId="0" fontId="87" fillId="0" borderId="0" xfId="0" applyFont="1" applyAlignment="1">
      <alignment horizontal="left"/>
    </xf>
    <xf numFmtId="0" fontId="93" fillId="0" borderId="247" xfId="0" applyFont="1" applyBorder="1" applyAlignment="1">
      <alignment horizontal="left" vertical="center"/>
    </xf>
    <xf numFmtId="0" fontId="0" fillId="0" borderId="353" xfId="0" applyBorder="1" applyAlignment="1">
      <alignment horizontal="right" vertical="center" indent="1"/>
    </xf>
    <xf numFmtId="0" fontId="0" fillId="0" borderId="216" xfId="0" applyBorder="1" applyAlignment="1">
      <alignment horizontal="right" vertical="center" indent="1"/>
    </xf>
    <xf numFmtId="0" fontId="89" fillId="0" borderId="343" xfId="0" applyFont="1" applyBorder="1" applyAlignment="1">
      <alignment horizontal="right" vertical="center" indent="1"/>
    </xf>
    <xf numFmtId="0" fontId="89" fillId="0" borderId="244" xfId="0" applyFont="1" applyBorder="1" applyAlignment="1">
      <alignment horizontal="right" vertical="center" indent="1"/>
    </xf>
    <xf numFmtId="0" fontId="89" fillId="0" borderId="354" xfId="0" applyFont="1" applyBorder="1" applyAlignment="1">
      <alignment horizontal="right" vertical="center" indent="1"/>
    </xf>
    <xf numFmtId="0" fontId="77" fillId="0" borderId="0" xfId="0" applyFont="1" applyAlignment="1">
      <alignment horizontal="center" vertical="center"/>
    </xf>
    <xf numFmtId="0" fontId="70" fillId="0" borderId="0" xfId="0" applyFont="1" applyAlignment="1">
      <alignment vertical="center"/>
    </xf>
    <xf numFmtId="0" fontId="75" fillId="0" borderId="0" xfId="0" applyFont="1" applyAlignment="1">
      <alignment horizontal="center" vertical="center" wrapText="1"/>
    </xf>
    <xf numFmtId="0" fontId="79" fillId="0" borderId="0" xfId="0" applyFont="1" applyAlignment="1">
      <alignment horizontal="center"/>
    </xf>
    <xf numFmtId="0" fontId="0" fillId="19" borderId="158" xfId="0" applyFill="1" applyBorder="1" applyAlignment="1">
      <alignment horizontal="center"/>
    </xf>
    <xf numFmtId="0" fontId="0" fillId="19" borderId="355" xfId="0" applyFill="1" applyBorder="1" applyAlignment="1">
      <alignment horizontal="center"/>
    </xf>
    <xf numFmtId="0" fontId="0" fillId="19" borderId="356" xfId="0" applyFill="1" applyBorder="1" applyAlignment="1">
      <alignment horizontal="center"/>
    </xf>
    <xf numFmtId="0" fontId="0" fillId="0" borderId="0" xfId="0" applyAlignment="1">
      <alignment horizontal="center"/>
    </xf>
    <xf numFmtId="0" fontId="67" fillId="0" borderId="357" xfId="0" applyFont="1" applyBorder="1" applyAlignment="1">
      <alignment horizontal="center" vertical="top" wrapText="1"/>
    </xf>
    <xf numFmtId="0" fontId="67" fillId="0" borderId="358" xfId="0" applyFont="1" applyBorder="1" applyAlignment="1">
      <alignment horizontal="center" vertical="top" wrapText="1"/>
    </xf>
    <xf numFmtId="0" fontId="67" fillId="0" borderId="359" xfId="0" applyFont="1" applyBorder="1" applyAlignment="1">
      <alignment horizontal="center" vertical="top" wrapText="1"/>
    </xf>
    <xf numFmtId="0" fontId="80" fillId="0" borderId="0" xfId="0" applyFont="1" applyAlignment="1">
      <alignment horizontal="center"/>
    </xf>
    <xf numFmtId="0" fontId="0" fillId="10" borderId="360" xfId="0" applyFill="1" applyBorder="1" applyAlignment="1">
      <alignment horizontal="center" vertical="center" wrapText="1"/>
    </xf>
    <xf numFmtId="0" fontId="0" fillId="10" borderId="361" xfId="0" applyFill="1" applyBorder="1" applyAlignment="1">
      <alignment horizontal="center" vertical="center"/>
    </xf>
    <xf numFmtId="0" fontId="19" fillId="0" borderId="0" xfId="0" applyFont="1" applyAlignment="1">
      <alignment horizontal="center" vertical="top"/>
    </xf>
    <xf numFmtId="0" fontId="3" fillId="10" borderId="362" xfId="0" applyFont="1" applyFill="1" applyBorder="1" applyAlignment="1">
      <alignment horizontal="center" vertical="center" wrapText="1"/>
    </xf>
    <xf numFmtId="0" fontId="3" fillId="10" borderId="363" xfId="0" applyFont="1" applyFill="1" applyBorder="1" applyAlignment="1">
      <alignment horizontal="center" vertical="center"/>
    </xf>
    <xf numFmtId="0" fontId="0" fillId="10" borderId="364" xfId="0" applyFill="1" applyBorder="1" applyAlignment="1">
      <alignment horizontal="center" vertical="center" wrapText="1"/>
    </xf>
    <xf numFmtId="0" fontId="0" fillId="10" borderId="365" xfId="0" applyFill="1" applyBorder="1" applyAlignment="1">
      <alignment horizontal="center" vertical="center"/>
    </xf>
    <xf numFmtId="0" fontId="0" fillId="0" borderId="366" xfId="0" applyBorder="1" applyAlignment="1" applyProtection="1">
      <alignment horizontal="center"/>
      <protection locked="0"/>
    </xf>
    <xf numFmtId="0" fontId="0" fillId="10" borderId="367" xfId="0" applyFill="1" applyBorder="1" applyAlignment="1">
      <alignment horizontal="center" vertical="center" wrapText="1"/>
    </xf>
    <xf numFmtId="0" fontId="0" fillId="10" borderId="368" xfId="0" applyFill="1" applyBorder="1" applyAlignment="1">
      <alignment horizontal="center" vertical="center"/>
    </xf>
    <xf numFmtId="0" fontId="70" fillId="0" borderId="0" xfId="0" applyFont="1" applyAlignment="1">
      <alignment horizontal="right" vertical="center" wrapText="1" indent="1"/>
    </xf>
    <xf numFmtId="0" fontId="2" fillId="7" borderId="369" xfId="0" applyFont="1" applyFill="1" applyBorder="1" applyAlignment="1" applyProtection="1">
      <alignment horizontal="center" vertical="center"/>
      <protection locked="0"/>
    </xf>
    <xf numFmtId="0" fontId="2" fillId="7" borderId="370" xfId="0" applyFont="1" applyFill="1" applyBorder="1" applyAlignment="1" applyProtection="1">
      <alignment horizontal="center" vertical="center"/>
      <protection locked="0"/>
    </xf>
    <xf numFmtId="0" fontId="70" fillId="0" borderId="0" xfId="0" applyFont="1" applyAlignment="1">
      <alignment horizontal="left" vertical="center" wrapText="1"/>
    </xf>
    <xf numFmtId="0" fontId="77" fillId="10" borderId="55" xfId="0" applyFont="1" applyFill="1" applyBorder="1" applyAlignment="1">
      <alignment horizontal="center"/>
    </xf>
    <xf numFmtId="0" fontId="3" fillId="10" borderId="366" xfId="0" applyFont="1" applyFill="1" applyBorder="1" applyAlignment="1">
      <alignment horizontal="center" vertical="center"/>
    </xf>
    <xf numFmtId="0" fontId="3" fillId="10" borderId="367" xfId="0" applyFont="1" applyFill="1" applyBorder="1" applyAlignment="1">
      <alignment horizontal="center" vertical="center" wrapText="1"/>
    </xf>
    <xf numFmtId="0" fontId="3" fillId="10" borderId="371" xfId="0" applyFont="1" applyFill="1" applyBorder="1" applyAlignment="1">
      <alignment horizontal="center" vertical="center"/>
    </xf>
    <xf numFmtId="0" fontId="3" fillId="10" borderId="33" xfId="0" applyFont="1" applyFill="1" applyBorder="1" applyAlignment="1">
      <alignment horizontal="center" vertical="center" wrapText="1"/>
    </xf>
    <xf numFmtId="0" fontId="3" fillId="10" borderId="263" xfId="0" applyFont="1" applyFill="1" applyBorder="1" applyAlignment="1">
      <alignment horizontal="center" vertical="center"/>
    </xf>
    <xf numFmtId="0" fontId="21" fillId="0" borderId="39" xfId="0" applyFont="1" applyBorder="1" applyAlignment="1">
      <alignment horizontal="center" wrapText="1"/>
    </xf>
    <xf numFmtId="0" fontId="81" fillId="0" borderId="0" xfId="0" applyFont="1" applyAlignment="1">
      <alignment horizontal="center"/>
    </xf>
    <xf numFmtId="0" fontId="16" fillId="0" borderId="0" xfId="0" applyFont="1" applyAlignment="1">
      <alignment horizontal="center" vertical="center"/>
    </xf>
    <xf numFmtId="0" fontId="19" fillId="0" borderId="0" xfId="0" applyFont="1" applyAlignment="1">
      <alignment horizontal="center" vertical="center"/>
    </xf>
    <xf numFmtId="0" fontId="29" fillId="0" borderId="0" xfId="0" applyFont="1" applyAlignment="1">
      <alignment horizontal="center"/>
    </xf>
    <xf numFmtId="0" fontId="0" fillId="0" borderId="372" xfId="0" applyBorder="1" applyAlignment="1">
      <alignment horizontal="left"/>
    </xf>
    <xf numFmtId="0" fontId="0" fillId="0" borderId="373" xfId="0" applyBorder="1" applyAlignment="1">
      <alignment horizontal="left"/>
    </xf>
    <xf numFmtId="0" fontId="0" fillId="19" borderId="374" xfId="0" applyFill="1" applyBorder="1" applyAlignment="1">
      <alignment horizontal="center" vertical="center"/>
    </xf>
    <xf numFmtId="0" fontId="0" fillId="19" borderId="195" xfId="0" applyFill="1" applyBorder="1" applyAlignment="1">
      <alignment horizontal="center" vertical="center"/>
    </xf>
    <xf numFmtId="0" fontId="53" fillId="0" borderId="0" xfId="0" applyFont="1" applyAlignment="1">
      <alignment horizontal="center" vertical="center"/>
    </xf>
    <xf numFmtId="0" fontId="28" fillId="0" borderId="0" xfId="0" applyFont="1" applyAlignment="1">
      <alignment horizontal="center"/>
    </xf>
    <xf numFmtId="0" fontId="0" fillId="0" borderId="10" xfId="0" applyBorder="1" applyAlignment="1">
      <alignment horizontal="right"/>
    </xf>
    <xf numFmtId="0" fontId="0" fillId="0" borderId="9" xfId="0" applyBorder="1" applyAlignment="1">
      <alignment horizontal="right"/>
    </xf>
    <xf numFmtId="0" fontId="21" fillId="0" borderId="15" xfId="0" applyFont="1" applyBorder="1" applyAlignment="1">
      <alignment horizontal="center"/>
    </xf>
    <xf numFmtId="0" fontId="0" fillId="0" borderId="13" xfId="0" applyBorder="1" applyAlignment="1">
      <alignment horizontal="right"/>
    </xf>
    <xf numFmtId="0" fontId="0" fillId="0" borderId="12" xfId="0" applyBorder="1" applyAlignment="1">
      <alignment horizontal="right"/>
    </xf>
    <xf numFmtId="0" fontId="0" fillId="0" borderId="11" xfId="0" applyBorder="1" applyAlignment="1">
      <alignment horizontal="right"/>
    </xf>
    <xf numFmtId="0" fontId="0" fillId="0" borderId="0" xfId="0" applyAlignment="1">
      <alignment horizontal="right"/>
    </xf>
    <xf numFmtId="0" fontId="53" fillId="0" borderId="0" xfId="0" applyFont="1" applyAlignment="1" quotePrefix="1">
      <alignment horizontal="center"/>
    </xf>
    <xf numFmtId="0" fontId="55" fillId="0" borderId="0" xfId="0" applyFont="1" applyAlignment="1">
      <alignment horizontal="center"/>
    </xf>
    <xf numFmtId="0" fontId="104" fillId="34" borderId="375" xfId="0" applyNumberFormat="1" applyFont="1" applyFill="1" applyBorder="1" applyAlignment="1" applyProtection="1">
      <alignment horizontal="center" vertical="center"/>
      <protection locked="0"/>
    </xf>
    <xf numFmtId="0" fontId="104" fillId="34" borderId="376" xfId="0" applyNumberFormat="1" applyFont="1" applyFill="1" applyBorder="1" applyAlignment="1" applyProtection="1">
      <alignment horizontal="center" vertical="center"/>
      <protection locked="0"/>
    </xf>
    <xf numFmtId="0" fontId="103" fillId="0" borderId="0" xfId="0" applyNumberFormat="1" applyFont="1" applyFill="1" applyBorder="1" applyAlignment="1" applyProtection="1">
      <alignment vertical="center"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üperlink" xfId="20" builtinId="8"/>
  </cellStyles>
  <dxfs count="588">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theme="2" tint="-0.248229995369911"/>
      </font>
    </dxf>
    <dxf>
      <font>
        <color theme="2" tint="-0.248229995369911"/>
      </font>
    </dxf>
    <dxf>
      <font>
        <color theme="2" tint="-0.0982299968600273"/>
      </font>
    </dxf>
    <dxf>
      <font>
        <color rgb="FFC00000"/>
      </font>
    </dxf>
    <dxf>
      <font>
        <color rgb="FFC00000"/>
      </font>
    </dxf>
    <dxf>
      <font>
        <color rgb="FFC00000"/>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ont>
        <color theme="2" tint="-0.0982299968600273"/>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9997663498"/>
        </patternFill>
      </fill>
    </dxf>
    <dxf>
      <font>
        <color rgb="FFC02000"/>
      </font>
    </dxf>
    <dxf>
      <font>
        <color theme="1"/>
      </font>
    </dxf>
    <dxf>
      <font>
        <color theme="1"/>
      </font>
    </dxf>
    <dxf>
      <fill>
        <patternFill>
          <bgColor theme="7" tint="0.399949997663498"/>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9997663498"/>
        </patternFill>
      </fill>
    </dxf>
    <dxf>
      <font>
        <color rgb="FFC02000"/>
      </font>
    </dxf>
    <dxf>
      <font>
        <color theme="1"/>
      </font>
    </dxf>
    <dxf>
      <font>
        <color theme="1"/>
      </font>
    </dxf>
    <dxf>
      <fill>
        <patternFill>
          <bgColor theme="7" tint="0.399949997663498"/>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9997663498"/>
        </patternFill>
      </fill>
    </dxf>
    <dxf>
      <fill>
        <patternFill>
          <bgColor rgb="FFF0FDCE"/>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9997663498"/>
        </patternFill>
      </fill>
    </dxf>
    <dxf>
      <fill>
        <patternFill>
          <bgColor rgb="FFF0FDCE"/>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9997663498"/>
        </patternFill>
      </fill>
    </dxf>
    <dxf>
      <fill>
        <patternFill>
          <bgColor rgb="FFF0FDCE"/>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9997663498"/>
        </patternFill>
      </fill>
    </dxf>
    <dxf>
      <fill>
        <patternFill>
          <bgColor rgb="FFF0FDCE"/>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9997663498"/>
        </patternFill>
      </fill>
    </dxf>
    <dxf>
      <font>
        <color theme="1"/>
      </font>
    </dxf>
    <dxf>
      <fill>
        <patternFill>
          <bgColor theme="7" tint="0.399949997663498"/>
        </patternFill>
      </fill>
    </dxf>
    <dxf>
      <fill>
        <patternFill>
          <bgColor rgb="FFF0FDCE"/>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b/>
        <i val="0"/>
        <color theme="1"/>
      </font>
      <fill>
        <patternFill patternType="solid">
          <bgColor rgb="FFFFFF00"/>
        </patternFill>
      </fill>
    </dxf>
    <dxf>
      <font>
        <color rgb="FFC02000"/>
      </font>
    </dxf>
    <dxf>
      <font>
        <color theme="1"/>
      </font>
    </dxf>
    <dxf>
      <fill>
        <patternFill>
          <bgColor theme="7" tint="0.399949997663498"/>
        </patternFill>
      </fill>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9997663498"/>
        </patternFill>
      </fill>
    </dxf>
    <dxf>
      <font>
        <b/>
        <i val="0"/>
        <color theme="1"/>
      </font>
      <fill>
        <patternFill patternType="solid">
          <bgColor rgb="FFFFFF00"/>
        </patternFill>
      </fill>
    </dxf>
    <dxf>
      <fill>
        <patternFill>
          <bgColor rgb="FFF0FDCE"/>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b/>
        <i val="0"/>
        <color theme="1"/>
      </font>
      <fill>
        <patternFill patternType="solid">
          <bgColor rgb="FFFFFF00"/>
        </patternFill>
      </fill>
    </dxf>
    <dxf>
      <font>
        <b val="0"/>
        <i val="0"/>
        <color rgb="FFC02000"/>
      </font>
    </dxf>
    <dxf>
      <font>
        <color theme="1"/>
      </font>
    </dxf>
    <dxf>
      <fill>
        <patternFill>
          <bgColor theme="7" tint="0.399949997663498"/>
        </patternFill>
      </fill>
    </dxf>
    <dxf>
      <font>
        <color rgb="FFC02000"/>
      </font>
    </dxf>
    <dxf>
      <font>
        <color theme="1"/>
      </font>
    </dxf>
    <dxf>
      <font>
        <color theme="1"/>
      </font>
    </dxf>
    <dxf>
      <fill>
        <patternFill>
          <bgColor theme="7" tint="0.399949997663498"/>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9997663498"/>
        </patternFill>
      </fill>
    </dxf>
    <dxf>
      <font>
        <color rgb="FFC02000"/>
      </font>
    </dxf>
    <dxf>
      <font>
        <color theme="1"/>
      </font>
    </dxf>
    <dxf>
      <font>
        <color theme="1"/>
      </font>
    </dxf>
    <dxf>
      <fill>
        <patternFill>
          <bgColor theme="7" tint="0.399949997663498"/>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ont>
        <color theme="1"/>
      </font>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9997663498"/>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ill>
        <patternFill>
          <bgColor theme="7" tint="0.399949997663498"/>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9997663498"/>
        </patternFill>
      </fill>
    </dxf>
    <dxf>
      <font>
        <b/>
        <i val="0"/>
        <color theme="1"/>
      </font>
      <fill>
        <patternFill patternType="solid">
          <bgColor rgb="FFFFFF00"/>
        </patternFill>
      </fill>
    </dxf>
    <dxf>
      <fill>
        <patternFill>
          <bgColor theme="7" tint="0.399949997663498"/>
        </patternFill>
      </fill>
    </dxf>
    <dxf>
      <fill>
        <patternFill>
          <bgColor theme="7" tint="0.399949997663498"/>
        </patternFill>
      </fill>
    </dxf>
    <dxf>
      <font>
        <b/>
        <i val="0"/>
        <color theme="1"/>
      </font>
      <fill>
        <patternFill patternType="solid">
          <bgColor rgb="FFFFFF00"/>
        </patternFill>
      </fill>
    </dxf>
    <dxf>
      <fill>
        <patternFill>
          <bgColor theme="7" tint="0.399949997663498"/>
        </patternFill>
      </fill>
    </dxf>
    <dxf>
      <fill>
        <patternFill>
          <bgColor theme="7" tint="0.399949997663498"/>
        </patternFill>
      </fill>
    </dxf>
    <dxf>
      <font>
        <b/>
        <i val="0"/>
        <color theme="1"/>
      </font>
      <fill>
        <patternFill patternType="solid">
          <bgColor rgb="FFFFFF00"/>
        </patternFill>
      </fill>
    </dxf>
    <dxf>
      <fill>
        <patternFill>
          <bgColor theme="7" tint="0.399949997663498"/>
        </patternFill>
      </fill>
    </dxf>
    <dxf>
      <font>
        <b/>
        <i val="0"/>
        <color theme="1"/>
      </font>
      <fill>
        <patternFill patternType="solid">
          <bgColor rgb="FFFFFF00"/>
        </patternFill>
      </fill>
    </dxf>
    <dxf>
      <fill>
        <patternFill>
          <bgColor theme="7" tint="0.399949997663498"/>
        </patternFill>
      </fill>
    </dxf>
    <dxf>
      <font>
        <b/>
        <i val="0"/>
        <color theme="1"/>
      </font>
      <fill>
        <patternFill patternType="solid">
          <bgColor rgb="FFFFFF00"/>
        </patternFill>
      </fill>
    </dxf>
    <dxf>
      <font>
        <b val="0"/>
        <i val="0"/>
        <color rgb="FFC02000"/>
      </font>
    </dxf>
    <dxf>
      <font>
        <b val="0"/>
        <i val="0"/>
        <color rgb="FFC02000"/>
      </font>
    </dxf>
    <dxf>
      <font>
        <color theme="1"/>
      </font>
    </dxf>
    <dxf>
      <font>
        <color theme="2" tint="-0.0982299968600273"/>
      </font>
    </dxf>
    <dxf>
      <font>
        <color theme="2" tint="-0.248229995369911"/>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7" Type="http://schemas.openxmlformats.org/officeDocument/2006/relationships/worksheet" Target="worksheets/sheet5.xml" /><Relationship Id="rId26" Type="http://schemas.openxmlformats.org/officeDocument/2006/relationships/worksheet" Target="worksheets/sheet24.xml" /><Relationship Id="rId17" Type="http://schemas.openxmlformats.org/officeDocument/2006/relationships/worksheet" Target="worksheets/sheet15.xml" /><Relationship Id="rId2" Type="http://schemas.openxmlformats.org/officeDocument/2006/relationships/styles" Target="styles.xml" /><Relationship Id="rId30" Type="http://schemas.openxmlformats.org/officeDocument/2006/relationships/sharedStrings" Target="sharedStrings.xml" /><Relationship Id="rId25" Type="http://schemas.openxmlformats.org/officeDocument/2006/relationships/worksheet" Target="worksheets/sheet23.xml" /><Relationship Id="rId19" Type="http://schemas.openxmlformats.org/officeDocument/2006/relationships/worksheet" Target="worksheets/sheet17.xml" /><Relationship Id="rId13" Type="http://schemas.openxmlformats.org/officeDocument/2006/relationships/worksheet" Target="worksheets/sheet11.xml" /><Relationship Id="rId14" Type="http://schemas.openxmlformats.org/officeDocument/2006/relationships/worksheet" Target="worksheets/sheet12.xml" /><Relationship Id="rId18" Type="http://schemas.openxmlformats.org/officeDocument/2006/relationships/worksheet" Target="worksheets/sheet16.xml" /><Relationship Id="rId16" Type="http://schemas.openxmlformats.org/officeDocument/2006/relationships/worksheet" Target="worksheets/sheet14.xml" /><Relationship Id="rId24" Type="http://schemas.openxmlformats.org/officeDocument/2006/relationships/worksheet" Target="worksheets/sheet22.xml" /><Relationship Id="rId11" Type="http://schemas.openxmlformats.org/officeDocument/2006/relationships/worksheet" Target="worksheets/sheet9.xml" /><Relationship Id="rId4" Type="http://schemas.openxmlformats.org/officeDocument/2006/relationships/worksheet" Target="worksheets/sheet2.xml" /><Relationship Id="rId12" Type="http://schemas.openxmlformats.org/officeDocument/2006/relationships/worksheet" Target="worksheets/sheet10.xml" /><Relationship Id="rId29" Type="http://schemas.openxmlformats.org/officeDocument/2006/relationships/worksheet" Target="worksheets/sheet27.xml" /><Relationship Id="rId8" Type="http://schemas.openxmlformats.org/officeDocument/2006/relationships/worksheet" Target="worksheets/sheet6.xml" /><Relationship Id="rId28" Type="http://schemas.openxmlformats.org/officeDocument/2006/relationships/worksheet" Target="worksheets/sheet26.xml" /><Relationship Id="rId27" Type="http://schemas.openxmlformats.org/officeDocument/2006/relationships/worksheet" Target="worksheets/sheet25.xml" /><Relationship Id="rId3" Type="http://schemas.openxmlformats.org/officeDocument/2006/relationships/worksheet" Target="worksheets/sheet1.xml" /><Relationship Id="rId5" Type="http://schemas.openxmlformats.org/officeDocument/2006/relationships/worksheet" Target="worksheets/sheet3.xml" /><Relationship Id="rId1" Type="http://schemas.openxmlformats.org/officeDocument/2006/relationships/theme" Target="theme/theme1.xml" /><Relationship Id="rId15" Type="http://schemas.openxmlformats.org/officeDocument/2006/relationships/worksheet" Target="worksheets/sheet13.xml" /><Relationship Id="rId22" Type="http://schemas.openxmlformats.org/officeDocument/2006/relationships/worksheet" Target="worksheets/sheet20.xml" /><Relationship Id="rId9" Type="http://schemas.openxmlformats.org/officeDocument/2006/relationships/worksheet" Target="worksheets/sheet7.xml" /><Relationship Id="rId31" Type="http://schemas.openxmlformats.org/officeDocument/2006/relationships/calcChain" Target="calcChain.xml" /><Relationship Id="rId21" Type="http://schemas.openxmlformats.org/officeDocument/2006/relationships/worksheet" Target="worksheets/sheet19.xml" /><Relationship Id="rId6" Type="http://schemas.openxmlformats.org/officeDocument/2006/relationships/worksheet" Target="worksheets/sheet4.xml" /><Relationship Id="rId10" Type="http://schemas.openxmlformats.org/officeDocument/2006/relationships/worksheet" Target="worksheets/sheet8.xml" /><Relationship Id="rId20" Type="http://schemas.openxmlformats.org/officeDocument/2006/relationships/worksheet" Target="worksheets/sheet18.xml" /><Relationship Id="rId23" Type="http://schemas.openxmlformats.org/officeDocument/2006/relationships/worksheet" Target="worksheets/sheet2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r:embed="rId1"/>
        <a:stretch>
          <a:fillRect/>
        </a:stretch>
      </xdr:blipFill>
      <xdr:spPr>
        <a:xfrm>
          <a:off x="14239875" y="180975"/>
          <a:ext cx="1714500" cy="2143125"/>
        </a:xfrm>
        <a:prstGeom prst="rect"/>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r:embed="rId1"/>
        <a:stretch>
          <a:fillRect/>
        </a:stretch>
      </xdr:blipFill>
      <xdr:spPr>
        <a:xfrm>
          <a:off x="14249400" y="190500"/>
          <a:ext cx="1714500" cy="2057400"/>
        </a:xfrm>
        <a:prstGeom prst="rec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hermann-baum.de/excel/UEFA_EURO/en/" TargetMode="External" /><Relationship Id="rId3" Type="http://schemas.openxmlformats.org/officeDocument/2006/relationships/drawing" Target="../drawings/drawing1.xml" /><Relationship Id="rId4" Type="http://schemas.openxmlformats.org/officeDocument/2006/relationships/printerSettings" Target="../printerSettings/printerSettings1.bin" /><Relationship Id="rId1" Type="http://schemas.openxmlformats.org/officeDocument/2006/relationships/hyperlink" Target="https://hermann-baum.de/excel/WorldCup2022/de" TargetMode="External"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4.bin" /></Relationships>
</file>

<file path=xl/worksheets/_rels/sheet7.xml.rels><?xml version="1.0" encoding="UTF-8" standalone="yes"?><Relationships xmlns="http://schemas.openxmlformats.org/package/2006/relationships"><Relationship Id="rId1" Type="http://schemas.openxmlformats.org/officeDocument/2006/relationships/printerSettings" Target="../printerSettings/printerSettings5.bin" /></Relationships>
</file>

<file path=xl/worksheets/_rels/sheet9.xml.rels><?xml version="1.0" encoding="UTF-8" standalone="yes"?><Relationships xmlns="http://schemas.openxmlformats.org/package/2006/relationships"><Relationship Id="rId1" Type="http://schemas.openxmlformats.org/officeDocument/2006/relationships/printerSettings" Target="../printerSettings/printerSettings6.bin" /></Relationships>
</file>

<file path=xl/worksheets/_rels/sheet10.xml.rels><?xml version="1.0" encoding="UTF-8" standalone="yes"?><Relationships xmlns="http://schemas.openxmlformats.org/package/2006/relationships"><Relationship Id="rId1" Type="http://schemas.openxmlformats.org/officeDocument/2006/relationships/printerSettings" Target="../printerSettings/printerSettings7.bin" /></Relationships>
</file>

<file path=xl/worksheets/_rels/sheet12.xml.rels><?xml version="1.0" encoding="UTF-8" standalone="yes"?><Relationships xmlns="http://schemas.openxmlformats.org/package/2006/relationships"><Relationship Id="rId1" Type="http://schemas.openxmlformats.org/officeDocument/2006/relationships/printerSettings" Target="../printerSettings/printerSettings8.bin" /></Relationships>
</file>

<file path=xl/worksheets/_rels/sheet13.xml.rels><?xml version="1.0" encoding="UTF-8" standalone="yes"?><Relationships xmlns="http://schemas.openxmlformats.org/package/2006/relationships"><Relationship Id="rId1" Type="http://schemas.openxmlformats.org/officeDocument/2006/relationships/printerSettings" Target="../printerSettings/printerSettings9.bin" /></Relationships>
</file>

<file path=xl/worksheets/_rels/sheet14.xml.rels><?xml version="1.0" encoding="UTF-8" standalone="yes"?><Relationships xmlns="http://schemas.openxmlformats.org/package/2006/relationships"><Relationship Id="rId1" Type="http://schemas.openxmlformats.org/officeDocument/2006/relationships/printerSettings" Target="../printerSettings/printerSettings10.bin" /></Relationships>
</file>

<file path=xl/worksheets/_rels/sheet15.xml.rels><?xml version="1.0" encoding="UTF-8" standalone="yes"?><Relationships xmlns="http://schemas.openxmlformats.org/package/2006/relationships"><Relationship Id="rId1" Type="http://schemas.openxmlformats.org/officeDocument/2006/relationships/printerSettings" Target="../printerSettings/printerSettings11.bin" /></Relationships>
</file>

<file path=xl/worksheets/_rels/sheet17.xml.rels><?xml version="1.0" encoding="UTF-8" standalone="yes"?><Relationships xmlns="http://schemas.openxmlformats.org/package/2006/relationships"><Relationship Id="rId1" Type="http://schemas.openxmlformats.org/officeDocument/2006/relationships/printerSettings" Target="../printerSettings/printerSettings12.bin" /></Relationships>
</file>

<file path=xl/worksheets/_rels/sheet18.xml.rels><?xml version="1.0" encoding="UTF-8" standalone="yes"?><Relationships xmlns="http://schemas.openxmlformats.org/package/2006/relationships"><Relationship Id="rId1" Type="http://schemas.openxmlformats.org/officeDocument/2006/relationships/printerSettings" Target="../printerSettings/printerSettings13.bin" /></Relationships>
</file>

<file path=xl/worksheets/_rels/sheet20.xml.rels><?xml version="1.0" encoding="UTF-8" standalone="yes"?><Relationships xmlns="http://schemas.openxmlformats.org/package/2006/relationships"><Relationship Id="rId1" Type="http://schemas.openxmlformats.org/officeDocument/2006/relationships/printerSettings" Target="../printerSettings/printerSettings14.bin" /></Relationships>
</file>

<file path=xl/worksheets/_rels/sheet21.xml.rels><?xml version="1.0" encoding="UTF-8" standalone="yes"?><Relationships xmlns="http://schemas.openxmlformats.org/package/2006/relationships"><Relationship Id="rId1" Type="http://schemas.openxmlformats.org/officeDocument/2006/relationships/printerSettings" Target="../printerSettings/printerSettings15.bin" /></Relationships>
</file>

<file path=xl/worksheets/_rels/sheet22.xml.rels><?xml version="1.0" encoding="UTF-8" standalone="yes"?><Relationships xmlns="http://schemas.openxmlformats.org/package/2006/relationships"><Relationship Id="rId1" Type="http://schemas.openxmlformats.org/officeDocument/2006/relationships/printerSettings" Target="../printerSettings/printerSettings16.bin" /></Relationships>
</file>

<file path=xl/worksheets/_rels/sheet23.xml.rels><?xml version="1.0" encoding="UTF-8" standalone="yes"?><Relationships xmlns="http://schemas.openxmlformats.org/package/2006/relationships"><Relationship Id="rId1" Type="http://schemas.openxmlformats.org/officeDocument/2006/relationships/printerSettings" Target="../printerSettings/printerSettings17.bin" /></Relationships>
</file>

<file path=xl/worksheets/_rels/sheet24.xml.rels><?xml version="1.0" encoding="UTF-8" standalone="yes"?><Relationships xmlns="http://schemas.openxmlformats.org/package/2006/relationships"><Relationship Id="rId1" Type="http://schemas.openxmlformats.org/officeDocument/2006/relationships/printerSettings" Target="../printerSettings/printerSettings18.bin" /></Relationships>
</file>

<file path=xl/worksheets/_rels/sheet25.xml.rels><?xml version="1.0" encoding="UTF-8" standalone="yes"?><Relationships xmlns="http://schemas.openxmlformats.org/package/2006/relationships"><Relationship Id="rId1" Type="http://schemas.openxmlformats.org/officeDocument/2006/relationships/printerSettings" Target="../printerSettings/printerSettings19.bin" /></Relationships>
</file>

<file path=xl/worksheets/_rels/sheet26.xml.rels><?xml version="1.0" encoding="UTF-8" standalone="yes"?><Relationships xmlns="http://schemas.openxmlformats.org/package/2006/relationships"><Relationship Id="rId1" Type="http://schemas.openxmlformats.org/officeDocument/2006/relationships/printerSettings" Target="../printerSettings/printerSettings20.bin" /></Relationships>
</file>

<file path=xl/worksheets/_rels/sheet27.xml.rels><?xml version="1.0" encoding="UTF-8" standalone="yes"?><Relationships xmlns="http://schemas.openxmlformats.org/package/2006/relationships"><Relationship Id="rId1" Type="http://schemas.openxmlformats.org/officeDocument/2006/relationships/printerSettings" Target="../printerSettings/printerSettings2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Y92"/>
  <sheetViews>
    <sheetView showGridLines="0" showRowColHeaders="0" tabSelected="1" workbookViewId="0" topLeftCell="A1">
      <selection pane="topLeft" activeCell="N85" sqref="N85"/>
    </sheetView>
  </sheetViews>
  <sheetFormatPr defaultColWidth="0" defaultRowHeight="14.5" zeroHeight="1"/>
  <cols>
    <col min="1" max="1" width="5.14285714285714" customWidth="1"/>
    <col min="2" max="3" width="13.1428571428571" customWidth="1"/>
    <col min="4" max="4" width="5.71428571428571" customWidth="1"/>
    <col min="5" max="6" width="13.1428571428571" customWidth="1"/>
    <col min="7" max="7" width="5.71428571428571" customWidth="1"/>
    <col min="8" max="9" width="13.1428571428571" customWidth="1"/>
    <col min="10" max="10" width="5.71428571428571" customWidth="1"/>
    <col min="11" max="12" width="13.1428571428571" customWidth="1"/>
    <col min="13" max="13" width="5.71428571428571" customWidth="1"/>
    <col min="14" max="15" width="13.1428571428571" customWidth="1"/>
    <col min="16" max="16" width="5.71428571428571" customWidth="1"/>
    <col min="17" max="18" width="13.1428571428571" customWidth="1"/>
    <col min="19" max="19" width="5.71428571428571" customWidth="1"/>
    <col min="20" max="21" width="13.1428571428571" customWidth="1"/>
    <col min="22" max="22" width="5.71428571428571" customWidth="1"/>
    <col min="23" max="24" width="13.1428571428571" customWidth="1"/>
    <col min="25" max="25" width="5.71428571428571" customWidth="1"/>
    <col min="26" max="26" width="3" customWidth="1"/>
    <col min="27" max="16384" width="11.4285714285714" hidden="1"/>
  </cols>
  <sheetData>
    <row r="1" spans="2:25" ht="61.5" customHeight="1">
      <c r="B1" s="773"/>
      <c r="C1" s="773"/>
      <c r="D1" s="77"/>
      <c r="E1" s="774" t="str">
        <f>Language!$E$84</f>
        <v>European Championship 2024</v>
      </c>
      <c r="F1" s="774"/>
      <c r="G1" s="774"/>
      <c r="H1" s="774"/>
      <c r="I1" s="774"/>
      <c r="J1" s="774"/>
      <c r="K1" s="774"/>
      <c r="L1" s="774"/>
      <c r="M1" s="774"/>
      <c r="N1" s="774"/>
      <c r="O1" s="774"/>
      <c r="P1" s="774"/>
      <c r="Q1" s="774"/>
      <c r="R1" s="774"/>
      <c r="S1" s="774"/>
      <c r="T1" s="774"/>
      <c r="U1" s="774"/>
      <c r="V1" s="77"/>
      <c r="W1" s="77"/>
      <c r="X1" s="546" t="s">
        <v>1731</v>
      </c>
      <c r="Y1" s="23"/>
    </row>
    <row r="2" spans="2:24"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Hungary</v>
      </c>
      <c r="C3" s="419" t="str">
        <f ca="1">"   "&amp;GrpA!$Q11&amp;"        "&amp;GrpA!$S11&amp;Language!$E$146&amp;GrpA!$T11</f>
        <v xml:space="preserve">   7        7 - 3</v>
      </c>
      <c r="D3" s="95"/>
      <c r="E3" s="418" t="str">
        <f ca="1">GrpB!P11</f>
        <v>Croatia</v>
      </c>
      <c r="F3" s="419" t="str">
        <f ca="1">"   "&amp;GrpB!$Q11&amp;"        "&amp;GrpB!$S11&amp;Language!$E$146&amp;GrpB!$T11</f>
        <v xml:space="preserve">   7        5 - 2</v>
      </c>
      <c r="G3" s="95"/>
      <c r="H3" s="418" t="str">
        <f ca="1">GrpC!$P11</f>
        <v>England</v>
      </c>
      <c r="I3" s="419" t="str">
        <f ca="1">"   "&amp;GrpC!$Q11&amp;"        "&amp;GrpC!$S11&amp;Language!$E$146&amp;GrpC!$T11</f>
        <v xml:space="preserve">   5        7 - 3</v>
      </c>
      <c r="J3" s="4"/>
      <c r="K3" s="418" t="str">
        <f ca="1">GrpD!$P11</f>
        <v>France</v>
      </c>
      <c r="L3" s="419" t="str">
        <f ca="1">"   "&amp;GrpD!$Q11&amp;"        "&amp;GrpD!$S11&amp;Language!$E$146&amp;GrpD!$T11</f>
        <v xml:space="preserve">   9        9 - 1</v>
      </c>
      <c r="M3" s="4"/>
      <c r="N3" s="418" t="str">
        <f ca="1">GrpE!$P11</f>
        <v>Belgium</v>
      </c>
      <c r="O3" s="419" t="str">
        <f ca="1">"   "&amp;GrpE!$Q11&amp;"        "&amp;GrpE!$S11&amp;Language!$E$146&amp;GrpE!$T11</f>
        <v xml:space="preserve">   7        7 - 2</v>
      </c>
      <c r="P3" s="95"/>
      <c r="Q3" s="418" t="str">
        <f ca="1">GrpF!$P11</f>
        <v>Portugal</v>
      </c>
      <c r="R3" s="419" t="str">
        <f ca="1">"   "&amp;GrpF!$Q11&amp;"        "&amp;GrpF!$S11&amp;Language!$E$146&amp;GrpF!$T11</f>
        <v xml:space="preserve">   7        6 - 2</v>
      </c>
      <c r="S3" s="4"/>
      <c r="T3" s="303"/>
      <c r="U3" s="303"/>
      <c r="V3" s="303"/>
      <c r="W3" s="303"/>
      <c r="X3" s="303"/>
      <c r="Y3" s="4"/>
    </row>
    <row r="4" spans="1:25" ht="16" customHeight="1">
      <c r="A4" s="4"/>
      <c r="B4" s="413" t="str">
        <f ca="1">GrpA!P12</f>
        <v>Germany</v>
      </c>
      <c r="C4" s="420" t="str">
        <f ca="1">"   "&amp;GrpA!$Q12&amp;"        "&amp;GrpA!$S12&amp;Language!$E$146&amp;GrpA!$T12</f>
        <v xml:space="preserve">   7        6 - 3</v>
      </c>
      <c r="D4" s="95"/>
      <c r="E4" s="413" t="str">
        <f ca="1">GrpB!P12</f>
        <v>Spain</v>
      </c>
      <c r="F4" s="420" t="str">
        <f ca="1">"   "&amp;GrpB!$Q12&amp;"        "&amp;GrpB!$S12&amp;Language!$E$146&amp;GrpB!$T12</f>
        <v xml:space="preserve">   5        5 - 3</v>
      </c>
      <c r="G4" s="95"/>
      <c r="H4" s="413" t="str">
        <f ca="1">GrpC!P12</f>
        <v>Serbia</v>
      </c>
      <c r="I4" s="420" t="str">
        <f ca="1">"   "&amp;GrpC!$Q12&amp;"        "&amp;GrpC!$S12&amp;Language!$E$146&amp;GrpC!$T12</f>
        <v xml:space="preserve">   5        5 - 4</v>
      </c>
      <c r="J4" s="4"/>
      <c r="K4" s="413" t="str">
        <f ca="1">GrpD!$P12</f>
        <v>Netherlands</v>
      </c>
      <c r="L4" s="420" t="str">
        <f ca="1">"   "&amp;GrpD!$Q12&amp;"        "&amp;GrpD!$S12&amp;Language!$E$146&amp;GrpD!$T12</f>
        <v xml:space="preserve">   6        6 - 3</v>
      </c>
      <c r="M4" s="4"/>
      <c r="N4" s="413" t="str">
        <f ca="1">GrpE!$P12</f>
        <v>Ukraine</v>
      </c>
      <c r="O4" s="420" t="str">
        <f ca="1">"   "&amp;GrpE!$Q12&amp;"        "&amp;GrpE!$S12&amp;Language!$E$146&amp;GrpE!$T12</f>
        <v xml:space="preserve">   5        4 - 3</v>
      </c>
      <c r="P4" s="95"/>
      <c r="Q4" s="413" t="str">
        <f ca="1">GrpF!$P12</f>
        <v>Czechia</v>
      </c>
      <c r="R4" s="420" t="str">
        <f ca="1">"   "&amp;GrpF!$Q12&amp;"        "&amp;GrpF!$S12&amp;Language!$E$146&amp;GrpF!$T12</f>
        <v xml:space="preserve">   7        5 - 2</v>
      </c>
      <c r="S4" s="4"/>
      <c r="T4" s="303"/>
      <c r="U4" s="303"/>
      <c r="V4" s="303"/>
      <c r="W4" s="303"/>
      <c r="X4" s="303"/>
      <c r="Y4" s="4"/>
    </row>
    <row r="5" spans="1:25" ht="16" customHeight="1">
      <c r="A5" s="4"/>
      <c r="B5" s="415" t="str">
        <f ca="1">GrpA!P13</f>
        <v>Scotland</v>
      </c>
      <c r="C5" s="416" t="str">
        <f ca="1">"   "&amp;GrpA!$Q13&amp;"        "&amp;GrpA!$S13&amp;Language!$E$146&amp;GrpA!$T13</f>
        <v xml:space="preserve">   3        3 - 4</v>
      </c>
      <c r="D5" s="95"/>
      <c r="E5" s="415" t="str">
        <f ca="1">GrpB!P13</f>
        <v>Italy</v>
      </c>
      <c r="F5" s="416" t="str">
        <f ca="1">"   "&amp;GrpB!$Q13&amp;"        "&amp;GrpB!$S13&amp;Language!$E$146&amp;GrpB!$T13</f>
        <v xml:space="preserve">   4        6 - 3</v>
      </c>
      <c r="G5" s="95"/>
      <c r="H5" s="415" t="str">
        <f ca="1">GrpC!P13</f>
        <v>Denmark</v>
      </c>
      <c r="I5" s="416" t="str">
        <f ca="1">"   "&amp;GrpC!$Q13&amp;"        "&amp;GrpC!$S13&amp;Language!$E$146&amp;GrpC!$T13</f>
        <v xml:space="preserve">   5        3 - 2</v>
      </c>
      <c r="J5" s="4"/>
      <c r="K5" s="415" t="str">
        <f ca="1">GrpD!$P13</f>
        <v>Austria</v>
      </c>
      <c r="L5" s="416" t="str">
        <f ca="1">"   "&amp;GrpD!$Q13&amp;"        "&amp;GrpD!$S13&amp;Language!$E$146&amp;GrpD!$T13</f>
        <v xml:space="preserve">   1        2 - 7</v>
      </c>
      <c r="M5" s="4"/>
      <c r="N5" s="415" t="str">
        <f ca="1">GrpE!$P13</f>
        <v>Slovakia</v>
      </c>
      <c r="O5" s="416" t="str">
        <f ca="1">"   "&amp;GrpE!$Q13&amp;"        "&amp;GrpE!$S13&amp;Language!$E$146&amp;GrpE!$T13</f>
        <v xml:space="preserve">   2        3 - 5</v>
      </c>
      <c r="P5" s="95"/>
      <c r="Q5" s="415" t="str">
        <f ca="1">GrpF!$P13</f>
        <v>Türkiye</v>
      </c>
      <c r="R5" s="416" t="str">
        <f ca="1">"   "&amp;GrpF!$Q13&amp;"        "&amp;GrpF!$S13&amp;Language!$E$146&amp;GrpF!$T13</f>
        <v xml:space="preserve">   3        2 - 4</v>
      </c>
      <c r="S5" s="4"/>
      <c r="T5" s="303"/>
      <c r="U5" s="303"/>
      <c r="V5" s="303"/>
      <c r="W5" s="303"/>
      <c r="X5" s="303"/>
      <c r="Y5" s="4"/>
    </row>
    <row r="6" spans="1:25" s="81" customFormat="1" ht="16" customHeight="1">
      <c r="A6" s="80"/>
      <c r="B6" s="414" t="str">
        <f ca="1">GrpA!P14</f>
        <v>Switzerland</v>
      </c>
      <c r="C6" s="417" t="str">
        <f ca="1">"   "&amp;GrpA!$Q14&amp;"        "&amp;GrpA!$S14&amp;Language!$E$146&amp;GrpA!$T14</f>
        <v xml:space="preserve">   0        0 - 6</v>
      </c>
      <c r="D6" s="96"/>
      <c r="E6" s="414" t="str">
        <f ca="1">GrpB!P14</f>
        <v>Albania</v>
      </c>
      <c r="F6" s="417" t="str">
        <f ca="1">"   "&amp;GrpB!$Q14&amp;"        "&amp;GrpB!$S14&amp;Language!$E$146&amp;GrpB!$T14</f>
        <v xml:space="preserve">   0        1 - 9</v>
      </c>
      <c r="G6" s="96"/>
      <c r="H6" s="414" t="str">
        <f ca="1">GrpC!P14</f>
        <v>Slovenia</v>
      </c>
      <c r="I6" s="417" t="str">
        <f ca="1">"   "&amp;GrpC!$Q14&amp;"        "&amp;GrpC!$S14&amp;Language!$E$146&amp;GrpC!$T14</f>
        <v xml:space="preserve">   0        1 - 7</v>
      </c>
      <c r="J6" s="80"/>
      <c r="K6" s="414" t="str">
        <f ca="1">GrpD!$P14</f>
        <v>Poland</v>
      </c>
      <c r="L6" s="417" t="str">
        <f ca="1">"   "&amp;GrpD!$Q14&amp;"        "&amp;GrpD!$S14&amp;Language!$E$146&amp;GrpD!$T14</f>
        <v xml:space="preserve">   1        3 - 9</v>
      </c>
      <c r="M6" s="80"/>
      <c r="N6" s="414" t="str">
        <f ca="1">GrpE!$P14</f>
        <v>Romania</v>
      </c>
      <c r="O6" s="417" t="str">
        <f ca="1">"   "&amp;GrpE!$Q14&amp;"        "&amp;GrpE!$S14&amp;Language!$E$146&amp;GrpE!$T14</f>
        <v xml:space="preserve">   1        2 - 6</v>
      </c>
      <c r="P6" s="96"/>
      <c r="Q6" s="414" t="str">
        <f ca="1">GrpF!$P14</f>
        <v>Georgia</v>
      </c>
      <c r="R6" s="417" t="str">
        <f ca="1">"   "&amp;GrpF!$Q14&amp;"        "&amp;GrpF!$S14&amp;Language!$E$146&amp;GrpF!$T14</f>
        <v xml:space="preserve">   0        3 - 8</v>
      </c>
      <c r="S6" s="80"/>
      <c r="T6" s="303"/>
      <c r="U6" s="303"/>
      <c r="V6" s="303"/>
      <c r="W6" s="303"/>
      <c r="X6" s="303"/>
      <c r="Y6" s="80"/>
    </row>
    <row r="7" spans="1:25" ht="13.5" customHeight="1">
      <c r="A7" s="4"/>
      <c r="B7" s="775" t="str">
        <f ca="1">IF(Distinctness!$G$13=0,"",IF(Distinctness!$D$4&gt;0,Distinctness!$J$4,Distinctness!$J$5))</f>
        <v>The placement has been clarified in all groups.</v>
      </c>
      <c r="C7" s="775"/>
      <c r="D7" s="775"/>
      <c r="E7" s="775"/>
      <c r="F7" s="775"/>
      <c r="G7" s="775"/>
      <c r="H7" s="775"/>
      <c r="I7" s="775"/>
      <c r="J7" s="775"/>
      <c r="K7" s="775"/>
      <c r="L7" s="775"/>
      <c r="M7" s="775"/>
      <c r="N7" s="775"/>
      <c r="O7" s="775"/>
      <c r="P7" s="775"/>
      <c r="Q7" s="775"/>
      <c r="R7" s="775"/>
      <c r="S7" s="229"/>
      <c r="T7" s="229"/>
      <c r="U7" s="229"/>
      <c r="V7" s="229"/>
      <c r="W7" s="229"/>
      <c r="X7" s="229"/>
      <c r="Y7" s="4"/>
    </row>
    <row r="8" spans="2:24" ht="11.25" customHeight="1">
      <c r="B8" s="776" t="str">
        <f ca="1">IF(GrpA!$X$11&gt;0,"•","")</f>
        <v/>
      </c>
      <c r="C8" s="776"/>
      <c r="D8" s="120"/>
      <c r="E8" s="776" t="str">
        <f ca="1">IF(GrpB!$X$11&gt;0,"•","")</f>
        <v/>
      </c>
      <c r="F8" s="776"/>
      <c r="G8" s="120"/>
      <c r="H8" s="776" t="str">
        <f ca="1">IF(GrpC!$X$11&gt;0,"•","")</f>
        <v/>
      </c>
      <c r="I8" s="776"/>
      <c r="J8" s="120"/>
      <c r="K8" s="776" t="str">
        <f ca="1">IF(GrpD!$X$11&gt;0,"•","")</f>
        <v/>
      </c>
      <c r="L8" s="776"/>
      <c r="M8" s="19"/>
      <c r="N8" s="776" t="str">
        <f ca="1">IF(GrpE!$X$11&gt;0,"•","")</f>
        <v/>
      </c>
      <c r="O8" s="776"/>
      <c r="P8" s="120"/>
      <c r="Q8" s="776" t="str">
        <f ca="1">IF(GrpF!$X$11&gt;0,"•","")</f>
        <v/>
      </c>
      <c r="R8" s="776"/>
      <c r="S8" s="121"/>
      <c r="T8" s="770"/>
      <c r="U8" s="770"/>
      <c r="V8" s="120"/>
      <c r="W8" s="770"/>
      <c r="X8" s="770"/>
    </row>
    <row r="9" spans="2:24" ht="19.5" customHeight="1">
      <c r="B9" s="771" t="str">
        <f>Language!$E$95&amp;" A"</f>
        <v>Group A</v>
      </c>
      <c r="C9" s="772"/>
      <c r="D9" s="5"/>
      <c r="E9" s="771" t="str">
        <f>Language!$E$95&amp;" B"</f>
        <v>Group B</v>
      </c>
      <c r="F9" s="772"/>
      <c r="H9" s="771" t="str">
        <f>Language!$E$95&amp;" C"</f>
        <v>Group C</v>
      </c>
      <c r="I9" s="772"/>
      <c r="K9" s="771" t="str">
        <f>Language!$E$95&amp;" D"</f>
        <v>Group D</v>
      </c>
      <c r="L9" s="772"/>
      <c r="N9" s="771" t="str">
        <f>Language!$E$95&amp;" E"</f>
        <v>Group E</v>
      </c>
      <c r="O9" s="772"/>
      <c r="Q9" s="771" t="str">
        <f>Language!$E$95&amp;" F"</f>
        <v>Group F</v>
      </c>
      <c r="R9" s="772"/>
      <c r="T9" s="305"/>
      <c r="U9" s="302"/>
      <c r="V9" s="302"/>
      <c r="W9" s="302"/>
      <c r="X9" s="302"/>
    </row>
    <row r="10" spans="2:24" ht="10" customHeight="1" thickBot="1">
      <c r="B10" s="52"/>
      <c r="C10" s="52"/>
      <c r="D10" s="5"/>
      <c r="E10" s="52"/>
      <c r="F10" s="52"/>
      <c r="H10" s="52"/>
      <c r="I10" s="52"/>
      <c r="K10" s="52"/>
      <c r="L10" s="52"/>
      <c r="N10" s="52"/>
      <c r="O10" s="52"/>
      <c r="Q10" s="52"/>
      <c r="R10" s="52"/>
      <c r="T10" s="52"/>
      <c r="U10" s="52"/>
      <c r="W10" s="52"/>
      <c r="X10" s="52"/>
    </row>
    <row r="11" spans="1:24" ht="15" customHeight="1">
      <c r="A11" s="111">
        <v>1</v>
      </c>
      <c r="B11" s="731" t="str">
        <f>VLOOKUP(A11,Matches!$B$4:$K$58,7,0)</f>
        <v>Munich</v>
      </c>
      <c r="C11" s="732"/>
      <c r="D11" s="111">
        <v>3</v>
      </c>
      <c r="E11" s="731" t="str">
        <f>VLOOKUP(D11,Matches!$B$4:$K$58,7,0)</f>
        <v>Berlin</v>
      </c>
      <c r="F11" s="732"/>
      <c r="G11" s="111">
        <v>6</v>
      </c>
      <c r="H11" s="731" t="str">
        <f>VLOOKUP(G11,Matches!$B$4:$K$58,7,0)</f>
        <v>Stuttgart</v>
      </c>
      <c r="I11" s="732"/>
      <c r="J11" s="111">
        <v>7</v>
      </c>
      <c r="K11" s="731" t="str">
        <f>VLOOKUP(J11,Matches!$B$4:$K$58,7,0)</f>
        <v>Hamburg</v>
      </c>
      <c r="L11" s="732"/>
      <c r="M11" s="111">
        <v>10</v>
      </c>
      <c r="N11" s="731" t="str">
        <f>VLOOKUP(M11,Matches!$B$4:$K$58,7,0)</f>
        <v>Munich</v>
      </c>
      <c r="O11" s="732"/>
      <c r="P11" s="111">
        <v>11</v>
      </c>
      <c r="Q11" s="731" t="str">
        <f>VLOOKUP(P11,Matches!$B$4:$K$58,7,0)</f>
        <v>Dortmund</v>
      </c>
      <c r="R11" s="732"/>
      <c r="S11" s="111"/>
      <c r="T11" s="764" t="str">
        <f>Language!$E$148</f>
        <v>Qualification for the Round of 16</v>
      </c>
      <c r="U11" s="765"/>
      <c r="V11" s="765"/>
      <c r="W11" s="765"/>
      <c r="X11" s="766"/>
    </row>
    <row r="12" spans="2:24" ht="15" customHeight="1">
      <c r="B12" s="722">
        <f>VLOOKUP(A11,Matches!$B$4:$K$58,5,0)</f>
        <v>45457.875</v>
      </c>
      <c r="C12" s="724"/>
      <c r="E12" s="722">
        <f>VLOOKUP(D11,Matches!$B$4:$K$58,5,0)</f>
        <v>45458.75</v>
      </c>
      <c r="F12" s="724"/>
      <c r="H12" s="722">
        <f>VLOOKUP(G11,Matches!$B$4:$K$58,5,0)</f>
        <v>45459.75</v>
      </c>
      <c r="I12" s="724"/>
      <c r="K12" s="722">
        <f>VLOOKUP(J11,Matches!$B$4:$K$58,5,0)</f>
        <v>45459.625</v>
      </c>
      <c r="L12" s="724"/>
      <c r="N12" s="722">
        <f>VLOOKUP(M11,Matches!$B$4:$K$58,5,0)</f>
        <v>45460.625</v>
      </c>
      <c r="O12" s="724"/>
      <c r="Q12" s="722">
        <f>VLOOKUP(P11,Matches!$B$4:$K$58,5,0)</f>
        <v>45461.75</v>
      </c>
      <c r="R12" s="724"/>
      <c r="T12" s="767"/>
      <c r="U12" s="768"/>
      <c r="V12" s="768"/>
      <c r="W12" s="768"/>
      <c r="X12" s="769"/>
    </row>
    <row r="13" spans="2:24" ht="14.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2:24" ht="15" thickBot="1">
      <c r="B14" s="1">
        <v>2</v>
      </c>
      <c r="C14" s="2">
        <v>1</v>
      </c>
      <c r="E14" s="1">
        <v>1</v>
      </c>
      <c r="F14" s="2">
        <v>1</v>
      </c>
      <c r="H14" s="1">
        <v>0</v>
      </c>
      <c r="I14" s="2">
        <v>1</v>
      </c>
      <c r="K14" s="1">
        <v>1</v>
      </c>
      <c r="L14" s="2">
        <v>3</v>
      </c>
      <c r="N14" s="1">
        <v>0</v>
      </c>
      <c r="O14" s="2">
        <v>1</v>
      </c>
      <c r="Q14" s="1">
        <v>2</v>
      </c>
      <c r="R14" s="2">
        <v>1</v>
      </c>
      <c r="T14" s="758" t="str">
        <f>Language!$E$149</f>
        <v>Criteria for placement within the groups:</v>
      </c>
      <c r="U14" s="759"/>
      <c r="V14" s="759"/>
      <c r="W14" s="759"/>
      <c r="X14" s="760"/>
    </row>
    <row r="15" spans="2:24" ht="10" customHeight="1" thickBot="1">
      <c r="B15" s="22"/>
      <c r="C15" s="22"/>
      <c r="E15" s="22"/>
      <c r="F15" s="22"/>
      <c r="H15" s="22"/>
      <c r="I15" s="22"/>
      <c r="K15" s="22"/>
      <c r="L15" s="22"/>
      <c r="N15" s="22"/>
      <c r="O15" s="22"/>
      <c r="Q15" s="22"/>
      <c r="R15" s="22"/>
      <c r="T15" s="758"/>
      <c r="U15" s="759"/>
      <c r="V15" s="759"/>
      <c r="W15" s="759"/>
      <c r="X15" s="760"/>
    </row>
    <row r="16" spans="1:24" ht="15" customHeight="1">
      <c r="A16" s="111">
        <v>2</v>
      </c>
      <c r="B16" s="731" t="str">
        <f>VLOOKUP(A16,Matches!$B$4:$K$58,7,0)</f>
        <v>Cologne</v>
      </c>
      <c r="C16" s="732"/>
      <c r="D16" s="111">
        <v>4</v>
      </c>
      <c r="E16" s="731" t="str">
        <f>VLOOKUP(D16,Matches!$B$4:$K$58,7,0)</f>
        <v>Dortmund</v>
      </c>
      <c r="F16" s="732"/>
      <c r="G16" s="111">
        <v>5</v>
      </c>
      <c r="H16" s="731" t="str">
        <f>VLOOKUP(G16,Matches!$B$4:$K$58,7,0)</f>
        <v>Gelsenkirchen</v>
      </c>
      <c r="I16" s="732"/>
      <c r="J16" s="111">
        <v>8</v>
      </c>
      <c r="K16" s="731" t="str">
        <f>VLOOKUP(J16,Matches!$B$4:$K$58,7,0)</f>
        <v>Dusseldorf</v>
      </c>
      <c r="L16" s="732"/>
      <c r="M16" s="111">
        <v>9</v>
      </c>
      <c r="N16" s="731" t="str">
        <f>VLOOKUP(M16,Matches!$B$4:$K$58,7,0)</f>
        <v>Frankfurt</v>
      </c>
      <c r="O16" s="732"/>
      <c r="P16" s="111">
        <v>12</v>
      </c>
      <c r="Q16" s="731" t="str">
        <f>VLOOKUP(P16,Matches!$B$4:$K$58,7,0)</f>
        <v>Leipzig</v>
      </c>
      <c r="R16" s="732"/>
      <c r="S16" s="111"/>
      <c r="T16" s="761"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2:24" ht="14.5">
      <c r="B17" s="722">
        <f>VLOOKUP(A16,Matches!$B$4:$K$58,5,0)</f>
        <v>45458.625</v>
      </c>
      <c r="C17" s="724"/>
      <c r="E17" s="722">
        <f>VLOOKUP(D16,Matches!$B$4:$K$58,5,0)</f>
        <v>45458.875</v>
      </c>
      <c r="F17" s="724"/>
      <c r="H17" s="722">
        <f>VLOOKUP(G16,Matches!$B$4:$K$58,5,0)</f>
        <v>45459.875</v>
      </c>
      <c r="I17" s="724"/>
      <c r="K17" s="722">
        <f>VLOOKUP(J16,Matches!$B$4:$K$58,5,0)</f>
        <v>45460.875</v>
      </c>
      <c r="L17" s="724"/>
      <c r="N17" s="722">
        <f>VLOOKUP(M16,Matches!$B$4:$K$58,5,0)</f>
        <v>45460.75</v>
      </c>
      <c r="O17" s="724"/>
      <c r="Q17" s="722">
        <f>VLOOKUP(P16,Matches!$B$4:$K$58,5,0)</f>
        <v>45461.875</v>
      </c>
      <c r="R17" s="724"/>
      <c r="T17" s="761"/>
      <c r="U17" s="762"/>
      <c r="V17" s="762"/>
      <c r="W17" s="762"/>
      <c r="X17" s="763"/>
    </row>
    <row r="18" spans="2:24" ht="14.5">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61"/>
      <c r="U18" s="762"/>
      <c r="V18" s="762"/>
      <c r="W18" s="762"/>
      <c r="X18" s="763"/>
    </row>
    <row r="19" spans="2:24" ht="15" thickBot="1">
      <c r="B19" s="1">
        <v>3</v>
      </c>
      <c r="C19" s="2">
        <v>0</v>
      </c>
      <c r="E19" s="1">
        <v>4</v>
      </c>
      <c r="F19" s="2">
        <v>0</v>
      </c>
      <c r="H19" s="1">
        <v>2</v>
      </c>
      <c r="I19" s="2">
        <v>2</v>
      </c>
      <c r="K19" s="1">
        <v>0</v>
      </c>
      <c r="L19" s="2">
        <v>3</v>
      </c>
      <c r="N19" s="1">
        <v>2</v>
      </c>
      <c r="O19" s="2">
        <v>0</v>
      </c>
      <c r="Q19" s="1">
        <v>1</v>
      </c>
      <c r="R19" s="2">
        <v>1</v>
      </c>
      <c r="T19" s="761"/>
      <c r="U19" s="762"/>
      <c r="V19" s="762"/>
      <c r="W19" s="762"/>
      <c r="X19" s="763"/>
    </row>
    <row r="20" spans="2:24" ht="10" customHeight="1" thickBot="1">
      <c r="B20" s="22"/>
      <c r="C20" s="22"/>
      <c r="E20" s="22"/>
      <c r="F20" s="22"/>
      <c r="H20" s="22"/>
      <c r="I20" s="22"/>
      <c r="K20" s="22"/>
      <c r="L20" s="22"/>
      <c r="N20" s="22"/>
      <c r="O20" s="22"/>
      <c r="Q20" s="22"/>
      <c r="R20" s="22"/>
      <c r="T20" s="761"/>
      <c r="U20" s="762"/>
      <c r="V20" s="762"/>
      <c r="W20" s="762"/>
      <c r="X20" s="763"/>
    </row>
    <row r="21" spans="1:24" ht="14.5">
      <c r="A21" s="111">
        <v>14</v>
      </c>
      <c r="B21" s="731" t="str">
        <f>VLOOKUP(A21,Matches!$B$4:$K$58,7,0)</f>
        <v>Stuttgart</v>
      </c>
      <c r="C21" s="732"/>
      <c r="D21" s="111">
        <v>15</v>
      </c>
      <c r="E21" s="731" t="str">
        <f>VLOOKUP(D21,Matches!$B$4:$K$58,7,0)</f>
        <v>Hamburg</v>
      </c>
      <c r="F21" s="732"/>
      <c r="G21" s="111">
        <v>18</v>
      </c>
      <c r="H21" s="731" t="str">
        <f>VLOOKUP(G21,Matches!$B$4:$K$58,7,0)</f>
        <v>Munich</v>
      </c>
      <c r="I21" s="732"/>
      <c r="J21" s="111">
        <v>19</v>
      </c>
      <c r="K21" s="731" t="str">
        <f>VLOOKUP(J21,Matches!$B$4:$K$58,7,0)</f>
        <v>Berlin</v>
      </c>
      <c r="L21" s="732"/>
      <c r="M21" s="111">
        <v>21</v>
      </c>
      <c r="N21" s="731" t="str">
        <f>VLOOKUP(M21,Matches!$B$4:$K$58,7,0)</f>
        <v>Dusseldorf</v>
      </c>
      <c r="O21" s="732"/>
      <c r="P21" s="111">
        <v>24</v>
      </c>
      <c r="Q21" s="731" t="str">
        <f>VLOOKUP(P21,Matches!$B$4:$K$58,7,0)</f>
        <v>Hamburg</v>
      </c>
      <c r="R21" s="732"/>
      <c r="S21" s="111"/>
      <c r="T21" s="761"/>
      <c r="U21" s="762"/>
      <c r="V21" s="762"/>
      <c r="W21" s="762"/>
      <c r="X21" s="763"/>
    </row>
    <row r="22" spans="2:24" ht="14.5">
      <c r="B22" s="722">
        <f>VLOOKUP(A21,Matches!$B$4:$K$58,5,0)</f>
        <v>45462.75</v>
      </c>
      <c r="C22" s="724"/>
      <c r="E22" s="722">
        <f>VLOOKUP(D21,Matches!$B$4:$K$58,5,0)</f>
        <v>45462.625</v>
      </c>
      <c r="F22" s="724"/>
      <c r="H22" s="722">
        <f>VLOOKUP(G21,Matches!$B$4:$K$58,5,0)</f>
        <v>45463.625</v>
      </c>
      <c r="I22" s="724"/>
      <c r="K22" s="722">
        <f>VLOOKUP(J21,Matches!$B$4:$K$58,5,0)</f>
        <v>45464.75</v>
      </c>
      <c r="L22" s="724"/>
      <c r="N22" s="722">
        <f>VLOOKUP(M21,Matches!$B$4:$K$58,5,0)</f>
        <v>45464.625</v>
      </c>
      <c r="O22" s="724"/>
      <c r="Q22" s="722">
        <f>VLOOKUP(P21,Matches!$B$4:$K$58,5,0)</f>
        <v>45465.625</v>
      </c>
      <c r="R22" s="724"/>
      <c r="T22" s="761"/>
      <c r="U22" s="762"/>
      <c r="V22" s="762"/>
      <c r="W22" s="762"/>
      <c r="X22" s="763"/>
    </row>
    <row r="23" spans="2:24" ht="14.5">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61"/>
      <c r="U23" s="762"/>
      <c r="V23" s="762"/>
      <c r="W23" s="762"/>
      <c r="X23" s="763"/>
    </row>
    <row r="24" spans="2:24" ht="15" thickBot="1">
      <c r="B24" s="1">
        <v>2</v>
      </c>
      <c r="C24" s="2">
        <v>2</v>
      </c>
      <c r="E24" s="1">
        <v>2</v>
      </c>
      <c r="F24" s="2">
        <v>0</v>
      </c>
      <c r="H24" s="1">
        <v>1</v>
      </c>
      <c r="I24" s="2">
        <v>2</v>
      </c>
      <c r="K24" s="1">
        <v>2</v>
      </c>
      <c r="L24" s="2">
        <v>2</v>
      </c>
      <c r="N24" s="1">
        <v>1</v>
      </c>
      <c r="O24" s="2">
        <v>1</v>
      </c>
      <c r="Q24" s="1">
        <v>1</v>
      </c>
      <c r="R24" s="2">
        <v>3</v>
      </c>
      <c r="T24" s="761"/>
      <c r="U24" s="762"/>
      <c r="V24" s="762"/>
      <c r="W24" s="762"/>
      <c r="X24" s="763"/>
    </row>
    <row r="25" spans="2:24" ht="10" customHeight="1" thickBot="1">
      <c r="B25" s="22"/>
      <c r="C25" s="22"/>
      <c r="E25" s="22"/>
      <c r="F25" s="22"/>
      <c r="H25" s="22"/>
      <c r="I25" s="22"/>
      <c r="K25" s="22"/>
      <c r="L25" s="22"/>
      <c r="N25" s="22"/>
      <c r="O25" s="22"/>
      <c r="Q25" s="22"/>
      <c r="R25" s="22"/>
      <c r="T25" s="761"/>
      <c r="U25" s="762"/>
      <c r="V25" s="762"/>
      <c r="W25" s="762"/>
      <c r="X25" s="763"/>
    </row>
    <row r="26" spans="1:24" ht="14.5">
      <c r="A26" s="111">
        <v>13</v>
      </c>
      <c r="B26" s="731" t="str">
        <f>VLOOKUP(A26,Matches!$B$4:$K$58,7,0)</f>
        <v>Cologne</v>
      </c>
      <c r="C26" s="732"/>
      <c r="D26" s="111">
        <v>16</v>
      </c>
      <c r="E26" s="731" t="str">
        <f>VLOOKUP(D26,Matches!$B$4:$K$58,7,0)</f>
        <v>Gelsenkirchen</v>
      </c>
      <c r="F26" s="732"/>
      <c r="G26" s="111">
        <v>17</v>
      </c>
      <c r="H26" s="731" t="str">
        <f>VLOOKUP(G26,Matches!$B$4:$K$58,7,0)</f>
        <v>Frankfurt</v>
      </c>
      <c r="I26" s="732"/>
      <c r="J26" s="111">
        <v>20</v>
      </c>
      <c r="K26" s="731" t="str">
        <f>VLOOKUP(J26,Matches!$B$4:$K$58,7,0)</f>
        <v>Leipzig</v>
      </c>
      <c r="L26" s="732"/>
      <c r="M26" s="111">
        <v>22</v>
      </c>
      <c r="N26" s="731" t="str">
        <f>VLOOKUP(M26,Matches!$B$4:$K$58,7,0)</f>
        <v>Cologne</v>
      </c>
      <c r="O26" s="732"/>
      <c r="P26" s="111">
        <v>23</v>
      </c>
      <c r="Q26" s="731" t="str">
        <f>VLOOKUP(P26,Matches!$B$4:$K$58,7,0)</f>
        <v>Dortmund</v>
      </c>
      <c r="R26" s="732"/>
      <c r="S26" s="111"/>
      <c r="T26" s="761"/>
      <c r="U26" s="762"/>
      <c r="V26" s="762"/>
      <c r="W26" s="762"/>
      <c r="X26" s="763"/>
    </row>
    <row r="27" spans="2:24" ht="14.5">
      <c r="B27" s="722">
        <f>VLOOKUP(A26,Matches!$B$4:$K$58,5,0)</f>
        <v>45462.875</v>
      </c>
      <c r="C27" s="724"/>
      <c r="E27" s="722">
        <f>VLOOKUP(D26,Matches!$B$4:$K$58,5,0)</f>
        <v>45463.875</v>
      </c>
      <c r="F27" s="724"/>
      <c r="H27" s="722">
        <f>VLOOKUP(G26,Matches!$B$4:$K$58,5,0)</f>
        <v>45463.75</v>
      </c>
      <c r="I27" s="724"/>
      <c r="K27" s="722">
        <f>VLOOKUP(J26,Matches!$B$4:$K$58,5,0)</f>
        <v>45464.875</v>
      </c>
      <c r="L27" s="724"/>
      <c r="N27" s="722">
        <f>VLOOKUP(M26,Matches!$B$4:$K$58,5,0)</f>
        <v>45465.875</v>
      </c>
      <c r="O27" s="724"/>
      <c r="Q27" s="722">
        <f>VLOOKUP(P26,Matches!$B$4:$K$58,5,0)</f>
        <v>45465.75</v>
      </c>
      <c r="R27" s="724"/>
      <c r="T27" s="761"/>
      <c r="U27" s="762"/>
      <c r="V27" s="762"/>
      <c r="W27" s="762"/>
      <c r="X27" s="763"/>
    </row>
    <row r="28" spans="2:24" ht="14.5">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2:24" ht="15" thickBot="1">
      <c r="B29" s="1">
        <v>1</v>
      </c>
      <c r="C29" s="2">
        <v>0</v>
      </c>
      <c r="E29" s="1">
        <v>1</v>
      </c>
      <c r="F29" s="2">
        <v>1</v>
      </c>
      <c r="H29" s="1">
        <v>1</v>
      </c>
      <c r="I29" s="2">
        <v>1</v>
      </c>
      <c r="K29" s="1">
        <v>1</v>
      </c>
      <c r="L29" s="2">
        <v>2</v>
      </c>
      <c r="N29" s="1">
        <v>3</v>
      </c>
      <c r="O29" s="2">
        <v>0</v>
      </c>
      <c r="Q29" s="1">
        <v>0</v>
      </c>
      <c r="R29" s="2">
        <v>2</v>
      </c>
      <c r="T29" s="365"/>
      <c r="U29" s="366"/>
      <c r="V29" s="366"/>
      <c r="W29" s="366"/>
      <c r="X29" s="367"/>
    </row>
    <row r="30" spans="2: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31" t="str">
        <f>VLOOKUP(A31,Matches!$B$4:$K$58,7,0)</f>
        <v>Frankfurt</v>
      </c>
      <c r="C31" s="732"/>
      <c r="D31" s="111">
        <v>27</v>
      </c>
      <c r="E31" s="731" t="str">
        <f>VLOOKUP(D31,Matches!$B$4:$K$58,7,0)</f>
        <v>Dusseldorf</v>
      </c>
      <c r="F31" s="732"/>
      <c r="G31" s="111">
        <v>29</v>
      </c>
      <c r="H31" s="731" t="str">
        <f>VLOOKUP(G31,Matches!$B$4:$K$58,7,0)</f>
        <v>Cologne</v>
      </c>
      <c r="I31" s="732"/>
      <c r="J31" s="111">
        <v>31</v>
      </c>
      <c r="K31" s="731" t="str">
        <f>VLOOKUP(J31,Matches!$B$4:$K$58,7,0)</f>
        <v>Berlin</v>
      </c>
      <c r="L31" s="732"/>
      <c r="M31" s="111">
        <v>33</v>
      </c>
      <c r="N31" s="731" t="str">
        <f>VLOOKUP(M31,Matches!$B$4:$K$58,7,0)</f>
        <v>Frankfurt</v>
      </c>
      <c r="O31" s="732"/>
      <c r="P31" s="111">
        <v>35</v>
      </c>
      <c r="Q31" s="731" t="str">
        <f>VLOOKUP(P31,Matches!$B$4:$K$58,7,0)</f>
        <v>Gelsenkirchen</v>
      </c>
      <c r="R31" s="732"/>
      <c r="S31" s="111"/>
      <c r="T31" s="752" t="str">
        <f>Language!$E$134</f>
        <v>The red dot   •</v>
      </c>
      <c r="U31" s="753"/>
      <c r="V31" s="753"/>
      <c r="W31" s="753"/>
      <c r="X31" s="754"/>
    </row>
    <row r="32" spans="2:24" ht="15" customHeight="1">
      <c r="B32" s="722">
        <f>VLOOKUP(A31,Matches!$B$4:$K$58,5,0)</f>
        <v>45466.875</v>
      </c>
      <c r="C32" s="724"/>
      <c r="E32" s="722">
        <f>VLOOKUP(D31,Matches!$B$4:$K$58,5,0)</f>
        <v>45467.875</v>
      </c>
      <c r="F32" s="724"/>
      <c r="H32" s="722">
        <f>VLOOKUP(G31,Matches!$B$4:$K$58,5,0)</f>
        <v>45468.875</v>
      </c>
      <c r="I32" s="724"/>
      <c r="K32" s="722">
        <f>VLOOKUP(J31,Matches!$B$4:$K$58,5,0)</f>
        <v>45468.75</v>
      </c>
      <c r="L32" s="724"/>
      <c r="N32" s="722">
        <f>VLOOKUP(M31,Matches!$B$4:$K$58,5,0)</f>
        <v>45469.75</v>
      </c>
      <c r="O32" s="724"/>
      <c r="Q32" s="722">
        <f>VLOOKUP(P31,Matches!$B$4:$K$58,5,0)</f>
        <v>45469.875</v>
      </c>
      <c r="R32" s="724"/>
      <c r="T32" s="755"/>
      <c r="U32" s="756"/>
      <c r="V32" s="756"/>
      <c r="W32" s="756"/>
      <c r="X32" s="757"/>
    </row>
    <row r="33" spans="2:24"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46" t="str">
        <f>Language!$E$162</f>
        <v>If a red dot appears above the group name, the ranking order within the group is not clear. Fair play or the overall European Qualifiers Rankings will then decide. In this case, enter Fair Play!</v>
      </c>
      <c r="U33" s="747"/>
      <c r="V33" s="747"/>
      <c r="W33" s="747"/>
      <c r="X33" s="748"/>
    </row>
    <row r="34" spans="2:24" ht="15" thickBot="1">
      <c r="B34" s="1">
        <v>0</v>
      </c>
      <c r="C34" s="2">
        <v>2</v>
      </c>
      <c r="E34" s="1">
        <v>1</v>
      </c>
      <c r="F34" s="2">
        <v>3</v>
      </c>
      <c r="H34" s="1">
        <v>4</v>
      </c>
      <c r="I34" s="2">
        <v>0</v>
      </c>
      <c r="K34" s="1">
        <v>2</v>
      </c>
      <c r="L34" s="2">
        <v>0</v>
      </c>
      <c r="N34" s="1">
        <v>2</v>
      </c>
      <c r="O34" s="2">
        <v>2</v>
      </c>
      <c r="Q34" s="1">
        <v>1</v>
      </c>
      <c r="R34" s="2">
        <v>3</v>
      </c>
      <c r="T34" s="746"/>
      <c r="U34" s="747"/>
      <c r="V34" s="747"/>
      <c r="W34" s="747"/>
      <c r="X34" s="748"/>
    </row>
    <row r="35" spans="2:24" ht="10" customHeight="1">
      <c r="B35" s="727" t="str">
        <f>Language!$E$127</f>
        <v>Penalty shoot-out:</v>
      </c>
      <c r="C35" s="728"/>
      <c r="E35" s="708" t="str">
        <f>Language!$E$127</f>
        <v>Penalty shoot-out:</v>
      </c>
      <c r="F35" s="710"/>
      <c r="H35" s="727" t="str">
        <f>Language!$E$127</f>
        <v>Penalty shoot-out:</v>
      </c>
      <c r="I35" s="728"/>
      <c r="K35" s="727" t="str">
        <f>Language!$E$127</f>
        <v>Penalty shoot-out:</v>
      </c>
      <c r="L35" s="728"/>
      <c r="N35" s="727" t="str">
        <f>Language!$E$127</f>
        <v>Penalty shoot-out:</v>
      </c>
      <c r="O35" s="728"/>
      <c r="Q35" s="727" t="str">
        <f>Language!$E$127</f>
        <v>Penalty shoot-out:</v>
      </c>
      <c r="R35" s="728"/>
      <c r="T35" s="746"/>
      <c r="U35" s="747"/>
      <c r="V35" s="747"/>
      <c r="W35" s="747"/>
      <c r="X35" s="748"/>
    </row>
    <row r="36" spans="2:24" ht="15" thickBot="1">
      <c r="B36" s="295"/>
      <c r="C36" s="296"/>
      <c r="E36" s="295"/>
      <c r="F36" s="296"/>
      <c r="H36" s="295"/>
      <c r="I36" s="296"/>
      <c r="K36" s="295"/>
      <c r="L36" s="296"/>
      <c r="N36" s="295"/>
      <c r="O36" s="296"/>
      <c r="Q36" s="295"/>
      <c r="R36" s="296"/>
      <c r="T36" s="749"/>
      <c r="U36" s="750"/>
      <c r="V36" s="750"/>
      <c r="W36" s="750"/>
      <c r="X36" s="751"/>
    </row>
    <row r="37" spans="2:24" ht="10" customHeight="1" thickBot="1">
      <c r="B37" s="726" t="str">
        <f>IF(AND(B34&lt;&gt;"",C34&lt;&gt;"",B34=C34,B36&lt;&gt;"",C36&lt;&gt;"",B36=C36),Language!$E$141,"")</f>
        <v/>
      </c>
      <c r="C37" s="726"/>
      <c r="E37" s="726" t="str">
        <f>IF(AND(E34&lt;&gt;"",F34&lt;&gt;"",E34=F34,E36&lt;&gt;"",F36&lt;&gt;"",E36=F36),Language!$E$141,"")</f>
        <v/>
      </c>
      <c r="F37" s="726"/>
      <c r="H37" s="726" t="str">
        <f>IF(AND(H34&lt;&gt;"",I34&lt;&gt;"",H34=I34,H36&lt;&gt;"",I36&lt;&gt;"",H36=I36),Language!$E$141,"")</f>
        <v/>
      </c>
      <c r="I37" s="726"/>
      <c r="K37" s="726" t="str">
        <f>IF(AND(K34&lt;&gt;"",L34&lt;&gt;"",K34=L34,K36&lt;&gt;"",L36&lt;&gt;"",K36=L36),Language!$E$141,"")</f>
        <v/>
      </c>
      <c r="L37" s="726"/>
      <c r="N37" s="726" t="str">
        <f>IF(AND(N34&lt;&gt;"",O34&lt;&gt;"",N34=O34,N36&lt;&gt;"",O36&lt;&gt;"",N36=O36),Language!$E$141,"")</f>
        <v/>
      </c>
      <c r="O37" s="726"/>
      <c r="Q37" s="726" t="str">
        <f>IF(AND(Q34&lt;&gt;"",R34&lt;&gt;"",Q34=R34,Q36&lt;&gt;"",R36&lt;&gt;"",Q36=R36),Language!$E$141,"")</f>
        <v/>
      </c>
      <c r="R37" s="726"/>
      <c r="T37" s="306"/>
      <c r="U37" s="307"/>
      <c r="V37" s="307"/>
      <c r="W37" s="307"/>
      <c r="X37" s="307"/>
    </row>
    <row r="38" spans="1:24" ht="14.5">
      <c r="A38" s="111">
        <v>26</v>
      </c>
      <c r="B38" s="731" t="str">
        <f>VLOOKUP(A38,Matches!$B$4:$K$58,7,0)</f>
        <v>Stuttgart</v>
      </c>
      <c r="C38" s="732"/>
      <c r="D38" s="111">
        <v>28</v>
      </c>
      <c r="E38" s="731" t="str">
        <f>VLOOKUP(D38,Matches!$B$4:$K$58,7,0)</f>
        <v>Leipzig</v>
      </c>
      <c r="F38" s="732"/>
      <c r="G38" s="111">
        <v>30</v>
      </c>
      <c r="H38" s="731" t="str">
        <f>VLOOKUP(G38,Matches!$B$4:$K$58,7,0)</f>
        <v>Munich</v>
      </c>
      <c r="I38" s="732"/>
      <c r="J38" s="111">
        <v>32</v>
      </c>
      <c r="K38" s="731" t="str">
        <f>VLOOKUP(J38,Matches!$B$4:$K$58,7,0)</f>
        <v>Dortmund</v>
      </c>
      <c r="L38" s="732"/>
      <c r="M38" s="111">
        <v>34</v>
      </c>
      <c r="N38" s="731" t="str">
        <f>VLOOKUP(M38,Matches!$B$4:$K$58,7,0)</f>
        <v>Stuttgart</v>
      </c>
      <c r="O38" s="732"/>
      <c r="P38" s="111">
        <v>36</v>
      </c>
      <c r="Q38" s="731" t="str">
        <f>VLOOKUP(P38,Matches!$B$4:$K$58,7,0)</f>
        <v>Hamburg</v>
      </c>
      <c r="R38" s="732"/>
      <c r="S38" s="111"/>
      <c r="T38" s="307"/>
      <c r="U38" s="307"/>
      <c r="V38" s="307"/>
      <c r="W38" s="307"/>
      <c r="X38" s="307"/>
    </row>
    <row r="39" spans="2:24" ht="14.5">
      <c r="B39" s="722">
        <f>VLOOKUP(A38,Matches!$B$4:$K$58,5,0)</f>
        <v>45466.875</v>
      </c>
      <c r="C39" s="724"/>
      <c r="E39" s="722">
        <f>VLOOKUP(D38,Matches!$B$4:$K$58,5,0)</f>
        <v>45467.875</v>
      </c>
      <c r="F39" s="724"/>
      <c r="H39" s="722">
        <f>VLOOKUP(G38,Matches!$B$4:$K$58,5,0)</f>
        <v>45468.875</v>
      </c>
      <c r="I39" s="724"/>
      <c r="K39" s="722">
        <f>VLOOKUP(J38,Matches!$B$4:$K$58,5,0)</f>
        <v>45468.75</v>
      </c>
      <c r="L39" s="724"/>
      <c r="N39" s="722">
        <f>VLOOKUP(M38,Matches!$B$4:$K$58,5,0)</f>
        <v>45469.75</v>
      </c>
      <c r="O39" s="724"/>
      <c r="Q39" s="722">
        <f>VLOOKUP(P38,Matches!$B$4:$K$58,5,0)</f>
        <v>45469.875</v>
      </c>
      <c r="R39" s="724"/>
      <c r="T39" s="307"/>
      <c r="U39" s="307"/>
      <c r="V39" s="307"/>
      <c r="W39" s="307"/>
      <c r="X39" s="307"/>
    </row>
    <row r="40" spans="2:24" ht="14.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2:24" ht="15" customHeight="1" thickBot="1">
      <c r="B41" s="908">
        <v>1</v>
      </c>
      <c r="C41" s="909">
        <v>2</v>
      </c>
      <c r="E41" s="908">
        <v>2</v>
      </c>
      <c r="F41" s="909">
        <v>1</v>
      </c>
      <c r="H41" s="908">
        <v>1</v>
      </c>
      <c r="I41" s="909">
        <v>1</v>
      </c>
      <c r="K41" s="908">
        <v>4</v>
      </c>
      <c r="L41" s="909">
        <v>0</v>
      </c>
      <c r="N41" s="908">
        <v>2</v>
      </c>
      <c r="O41" s="909">
        <v>2</v>
      </c>
      <c r="Q41" s="908">
        <v>1</v>
      </c>
      <c r="R41" s="909">
        <v>0</v>
      </c>
      <c r="T41" s="910"/>
      <c r="U41" s="910"/>
      <c r="V41" s="910"/>
      <c r="W41" s="910"/>
      <c r="X41" s="910"/>
    </row>
    <row r="42" spans="2:24" ht="10" customHeight="1">
      <c r="B42" s="708" t="str">
        <f>Language!$E$127</f>
        <v>Penalty shoot-out:</v>
      </c>
      <c r="C42" s="710"/>
      <c r="E42" s="708" t="str">
        <f>Language!$E$127</f>
        <v>Penalty shoot-out:</v>
      </c>
      <c r="F42" s="710"/>
      <c r="H42" s="708" t="str">
        <f>Language!$E$127</f>
        <v>Penalty shoot-out:</v>
      </c>
      <c r="I42" s="710"/>
      <c r="K42" s="708" t="str">
        <f>Language!$E$127</f>
        <v>Penalty shoot-out:</v>
      </c>
      <c r="L42" s="710"/>
      <c r="N42" s="708" t="str">
        <f>Language!$E$127</f>
        <v>Penalty shoot-out:</v>
      </c>
      <c r="O42" s="710"/>
      <c r="Q42" s="708" t="str">
        <f>Language!$E$127</f>
        <v>Penalty shoot-out:</v>
      </c>
      <c r="R42" s="710"/>
      <c r="T42" s="22"/>
      <c r="U42" s="22"/>
      <c r="W42" s="22"/>
      <c r="X42" s="22"/>
    </row>
    <row r="43" spans="2:24" ht="15" thickBot="1">
      <c r="B43" s="295"/>
      <c r="C43" s="296"/>
      <c r="E43" s="295"/>
      <c r="F43" s="296"/>
      <c r="H43" s="295"/>
      <c r="I43" s="296"/>
      <c r="K43" s="295"/>
      <c r="L43" s="296"/>
      <c r="N43" s="295"/>
      <c r="O43" s="296"/>
      <c r="Q43" s="295"/>
      <c r="R43" s="296"/>
      <c r="T43" s="22"/>
      <c r="U43" s="22"/>
      <c r="W43" s="22"/>
      <c r="X43" s="22"/>
    </row>
    <row r="44" spans="2:21" ht="13.5" customHeight="1" thickBot="1">
      <c r="B44" s="726" t="str">
        <f>IF(AND(B41&lt;&gt;"",C41&lt;&gt;"",B41=C41,B43&lt;&gt;"",C43&lt;&gt;"",B43=C43),Language!$E$141,"")</f>
        <v/>
      </c>
      <c r="C44" s="726"/>
      <c r="E44" s="726" t="str">
        <f>IF(AND(E41&lt;&gt;"",F41&lt;&gt;"",E41=F41,E43&lt;&gt;"",F43&lt;&gt;"",E43=F43),Language!$E$141,"")</f>
        <v/>
      </c>
      <c r="F44" s="726"/>
      <c r="H44" s="726" t="str">
        <f>IF(AND(H41&lt;&gt;"",I41&lt;&gt;"",H41=I41,H43&lt;&gt;"",I43&lt;&gt;"",H43=I43),Language!$E$141,"")</f>
        <v/>
      </c>
      <c r="I44" s="726"/>
      <c r="K44" s="726" t="str">
        <f>IF(AND(K41&lt;&gt;"",L41&lt;&gt;"",K41=L41,K43&lt;&gt;"",L43&lt;&gt;"",K43=L43),Language!$E$141,"")</f>
        <v/>
      </c>
      <c r="L44" s="726"/>
      <c r="N44" s="726" t="str">
        <f>IF(AND(N41&lt;&gt;"",O41&lt;&gt;"",N41=O41,N43&lt;&gt;"",O43&lt;&gt;"",N43=O43),Language!$E$141,"")</f>
        <v/>
      </c>
      <c r="O44" s="726"/>
      <c r="Q44" s="726" t="str">
        <f>IF(AND(Q41&lt;&gt;"",R41&lt;&gt;"",Q41=R41,Q43&lt;&gt;"",R43&lt;&gt;"",Q43=R43),Language!$E$141,"")</f>
        <v/>
      </c>
      <c r="R44" s="726"/>
      <c r="T44" s="743" t="str">
        <f ca="1">IF(ThirdPlaced!$J$21&gt;0,"•","")</f>
        <v/>
      </c>
      <c r="U44" s="743"/>
    </row>
    <row r="45" spans="2:25" ht="14.5">
      <c r="B45" s="744" t="str">
        <f>Language!$E$108</f>
        <v>Final table</v>
      </c>
      <c r="C45" s="745"/>
      <c r="E45" s="744" t="str">
        <f>Language!$E$108</f>
        <v>Final table</v>
      </c>
      <c r="F45" s="745"/>
      <c r="H45" s="744" t="str">
        <f>Language!$E$108</f>
        <v>Final table</v>
      </c>
      <c r="I45" s="745"/>
      <c r="K45" s="744" t="str">
        <f>Language!$E$108</f>
        <v>Final table</v>
      </c>
      <c r="L45" s="745"/>
      <c r="N45" s="744" t="str">
        <f>Language!$E$108</f>
        <v>Final table</v>
      </c>
      <c r="O45" s="745"/>
      <c r="Q45" s="744" t="str">
        <f>Language!$E$108</f>
        <v>Final table</v>
      </c>
      <c r="R45" s="745"/>
      <c r="T45" s="744" t="str">
        <f>Language!$E$128</f>
        <v>Third in the group</v>
      </c>
      <c r="U45" s="745"/>
      <c r="V45" s="309" t="str">
        <f>Language!$E$96</f>
        <v>Grp</v>
      </c>
      <c r="W45" s="739" t="str">
        <f>Language!$E$129</f>
        <v>Group combination:</v>
      </c>
      <c r="X45" s="740"/>
      <c r="Y45" s="308"/>
    </row>
    <row r="46" spans="1:24" ht="15" thickBot="1">
      <c r="A46" s="97" t="s">
        <v>2</v>
      </c>
      <c r="B46" s="737" t="str">
        <f ca="1">IF(GrpA!$M$10&gt;0,GrpA!$P11,"")</f>
        <v>Hungary</v>
      </c>
      <c r="C46" s="738"/>
      <c r="D46" s="97" t="s">
        <v>3</v>
      </c>
      <c r="E46" s="737" t="str">
        <f ca="1">IF(GrpB!$M$10&gt;0,GrpB!$P11,"")</f>
        <v>Croatia</v>
      </c>
      <c r="F46" s="738"/>
      <c r="G46" s="97" t="s">
        <v>4</v>
      </c>
      <c r="H46" s="737" t="str">
        <f ca="1">IF(GrpC!$M$10&gt;0,GrpC!$P11,"")</f>
        <v>England</v>
      </c>
      <c r="I46" s="738"/>
      <c r="J46" s="97" t="s">
        <v>5</v>
      </c>
      <c r="K46" s="737" t="str">
        <f ca="1">IF(GrpD!$M$10&gt;0,GrpD!$P11,"")</f>
        <v>France</v>
      </c>
      <c r="L46" s="738"/>
      <c r="M46" s="97" t="s">
        <v>6</v>
      </c>
      <c r="N46" s="737" t="str">
        <f ca="1">IF(GrpE!$M$10&gt;0,GrpE!$P11,"")</f>
        <v>Belgium</v>
      </c>
      <c r="O46" s="738"/>
      <c r="P46" s="97" t="s">
        <v>7</v>
      </c>
      <c r="Q46" s="737" t="str">
        <f ca="1">IF(GrpF!$M$10&gt;0,GrpF!$P11,"")</f>
        <v>Portugal</v>
      </c>
      <c r="R46" s="738"/>
      <c r="S46" s="97"/>
      <c r="T46" s="585" t="str">
        <f ca="1">IF(Distinctness!$G$13&gt;0,ThirdPlaced!$C11,"")</f>
        <v>Denmark</v>
      </c>
      <c r="U46" s="425" t="str">
        <f ca="1">IF(Distinctness!$G$13&gt;0,"   "&amp;ThirdPlaced!$D11&amp;"        "&amp;ThirdPlaced!$F11&amp;Language!$E$146&amp;ThirdPlaced!$G11,"")</f>
        <v xml:space="preserve">   5        3 - 2</v>
      </c>
      <c r="V46" s="310" t="str">
        <f ca="1">IF(Distinctness!$G$13&gt;0,ThirdPlaced!$J11,"")</f>
        <v>C</v>
      </c>
      <c r="W46" s="741" t="str">
        <f ca="1">IF(Distinctness!$G$13&gt;0,ThirdPlaced!$J18,"")</f>
        <v>A B C F</v>
      </c>
      <c r="X46" s="742"/>
    </row>
    <row r="47" spans="1:25" ht="14.5">
      <c r="A47" s="97" t="s">
        <v>8</v>
      </c>
      <c r="B47" s="737" t="str">
        <f ca="1">IF(GrpA!$M$10&gt;0,GrpA!$P12,"")</f>
        <v>Germany</v>
      </c>
      <c r="C47" s="738"/>
      <c r="D47" s="97" t="s">
        <v>9</v>
      </c>
      <c r="E47" s="737" t="str">
        <f ca="1">IF(GrpB!$M$10&gt;0,GrpB!$P12,"")</f>
        <v>Spain</v>
      </c>
      <c r="F47" s="738"/>
      <c r="G47" s="97" t="s">
        <v>10</v>
      </c>
      <c r="H47" s="737" t="str">
        <f ca="1">IF(GrpC!$M$10&gt;0,GrpC!$P12,"")</f>
        <v>Serbia</v>
      </c>
      <c r="I47" s="738"/>
      <c r="J47" s="97" t="s">
        <v>11</v>
      </c>
      <c r="K47" s="737" t="str">
        <f ca="1">IF(GrpD!$M$10&gt;0,GrpD!$P12,"")</f>
        <v>Netherlands</v>
      </c>
      <c r="L47" s="738"/>
      <c r="M47" s="97" t="s">
        <v>12</v>
      </c>
      <c r="N47" s="737" t="str">
        <f ca="1">IF(GrpE!$M$10&gt;0,GrpE!$P12,"")</f>
        <v>Ukraine</v>
      </c>
      <c r="O47" s="738"/>
      <c r="P47" s="97" t="s">
        <v>13</v>
      </c>
      <c r="Q47" s="737" t="str">
        <f ca="1">IF(GrpF!$M$10&gt;0,GrpF!$P12,"")</f>
        <v>Czechia</v>
      </c>
      <c r="R47" s="738"/>
      <c r="S47" s="97"/>
      <c r="T47" s="585" t="str">
        <f ca="1">IF(Distinctness!$G$13&gt;0,ThirdPlaced!$C12,"")</f>
        <v>Italy</v>
      </c>
      <c r="U47" s="425" t="str">
        <f ca="1">IF(Distinctness!$G$13&gt;0,"   "&amp;ThirdPlaced!$D12&amp;"        "&amp;ThirdPlaced!$F12&amp;Language!$E$146&amp;ThirdPlaced!$G12,"")</f>
        <v xml:space="preserve">   4        6 - 3</v>
      </c>
      <c r="V47" s="310" t="str">
        <f ca="1">IF(Distinctness!$G$13&gt;0,ThirdPlaced!$J12,"")</f>
        <v>B</v>
      </c>
      <c r="W47" s="735" t="str">
        <f>Language!$E$130</f>
        <v>Not qualified:</v>
      </c>
      <c r="X47" s="736"/>
      <c r="Y47" s="311" t="str">
        <f>Language!$E$96</f>
        <v>Grp</v>
      </c>
    </row>
    <row r="48" spans="1:25" ht="14.5">
      <c r="A48" s="98" t="s">
        <v>14</v>
      </c>
      <c r="B48" s="733" t="str">
        <f ca="1">IF(GrpA!$M$10&gt;0,GrpA!$P13,"")</f>
        <v>Scotland</v>
      </c>
      <c r="C48" s="734"/>
      <c r="D48" s="98" t="s">
        <v>15</v>
      </c>
      <c r="E48" s="733" t="str">
        <f ca="1">IF(GrpB!$M$10&gt;0,GrpB!$P13,"")</f>
        <v>Italy</v>
      </c>
      <c r="F48" s="734"/>
      <c r="G48" s="98" t="s">
        <v>16</v>
      </c>
      <c r="H48" s="733" t="str">
        <f ca="1">IF(GrpC!$M$10&gt;0,GrpC!$P13,"")</f>
        <v>Denmark</v>
      </c>
      <c r="I48" s="734"/>
      <c r="J48" s="98" t="s">
        <v>17</v>
      </c>
      <c r="K48" s="733" t="str">
        <f ca="1">IF(GrpD!$M$10&gt;0,GrpD!$P13,"")</f>
        <v>Austria</v>
      </c>
      <c r="L48" s="734"/>
      <c r="M48" s="98" t="s">
        <v>18</v>
      </c>
      <c r="N48" s="733" t="str">
        <f ca="1">IF(GrpE!$M$10&gt;0,GrpE!$P13,"")</f>
        <v>Slovakia</v>
      </c>
      <c r="O48" s="734"/>
      <c r="P48" s="98" t="s">
        <v>19</v>
      </c>
      <c r="Q48" s="733" t="str">
        <f ca="1">IF(GrpF!$M$10&gt;0,GrpF!$P13,"")</f>
        <v>Türkiye</v>
      </c>
      <c r="R48" s="734"/>
      <c r="S48" s="98"/>
      <c r="T48" s="585" t="str">
        <f ca="1">IF(Distinctness!$G$13&gt;0,ThirdPlaced!$C13,"")</f>
        <v>Scotland</v>
      </c>
      <c r="U48" s="425" t="str">
        <f ca="1">IF(Distinctness!$G$13&gt;0,"   "&amp;ThirdPlaced!$D13&amp;"        "&amp;ThirdPlaced!$F13&amp;Language!$E$146&amp;ThirdPlaced!$G13,"")</f>
        <v xml:space="preserve">   3        3 - 4</v>
      </c>
      <c r="V48" s="310" t="str">
        <f ca="1">IF(Distinctness!$G$13&gt;0,ThirdPlaced!$J13,"")</f>
        <v>A</v>
      </c>
      <c r="W48" s="426" t="str">
        <f ca="1">IF(Distinctness!$G$13&gt;0,ThirdPlaced!$C15,"")</f>
        <v>Slovakia</v>
      </c>
      <c r="X48" s="427" t="str">
        <f ca="1">IF(Distinctness!$G$13&gt;0,"   "&amp;ThirdPlaced!$D15&amp;"        "&amp;ThirdPlaced!$F15&amp;Language!$E$146&amp;ThirdPlaced!$G15,"")</f>
        <v xml:space="preserve">   2        3 - 5</v>
      </c>
      <c r="Y48" s="312" t="str">
        <f ca="1">IF(Distinctness!$G$13&gt;0,ThirdPlaced!$J15,"")</f>
        <v>E</v>
      </c>
    </row>
    <row r="49" spans="1:25" ht="14.5">
      <c r="A49" s="98" t="s">
        <v>20</v>
      </c>
      <c r="B49" s="733" t="str">
        <f ca="1">IF(GrpA!$M$10&gt;0,GrpA!$P14,"")</f>
        <v>Switzerland</v>
      </c>
      <c r="C49" s="734"/>
      <c r="D49" s="98" t="s">
        <v>21</v>
      </c>
      <c r="E49" s="733" t="str">
        <f ca="1">IF(GrpB!$M$10&gt;0,GrpB!$P14,"")</f>
        <v>Albania</v>
      </c>
      <c r="F49" s="734"/>
      <c r="G49" s="98" t="s">
        <v>22</v>
      </c>
      <c r="H49" s="733" t="str">
        <f ca="1">IF(GrpC!$M$10&gt;0,GrpC!$P14,"")</f>
        <v>Slovenia</v>
      </c>
      <c r="I49" s="734"/>
      <c r="J49" s="98" t="s">
        <v>23</v>
      </c>
      <c r="K49" s="733" t="str">
        <f ca="1">IF(GrpD!$M$10&gt;0,GrpD!$P14,"")</f>
        <v>Poland</v>
      </c>
      <c r="L49" s="734"/>
      <c r="M49" s="98" t="s">
        <v>24</v>
      </c>
      <c r="N49" s="733" t="str">
        <f ca="1">IF(GrpE!$M$10&gt;0,GrpE!$P14,"")</f>
        <v>Romania</v>
      </c>
      <c r="O49" s="734"/>
      <c r="P49" s="98" t="s">
        <v>25</v>
      </c>
      <c r="Q49" s="733" t="str">
        <f ca="1">IF(GrpF!$M$10&gt;0,GrpF!$P14,"")</f>
        <v>Georgia</v>
      </c>
      <c r="R49" s="734"/>
      <c r="S49" s="98"/>
      <c r="T49" s="585" t="str">
        <f ca="1">IF(Distinctness!$G$13&gt;0,ThirdPlaced!$C14,"")</f>
        <v>Türkiye</v>
      </c>
      <c r="U49" s="425" t="str">
        <f ca="1">IF(Distinctness!$G$13&gt;0,"   "&amp;ThirdPlaced!$D14&amp;"        "&amp;ThirdPlaced!$F14&amp;Language!$E$146&amp;ThirdPlaced!$G14,"")</f>
        <v xml:space="preserve">   3        2 - 4</v>
      </c>
      <c r="V49" s="310" t="str">
        <f ca="1">IF(Distinctness!$G$13&gt;0,ThirdPlaced!$J14,"")</f>
        <v>F</v>
      </c>
      <c r="W49" s="426" t="str">
        <f ca="1">IF(Distinctness!$G$13&gt;0,ThirdPlaced!$C16,"")</f>
        <v>Austria</v>
      </c>
      <c r="X49" s="427" t="str">
        <f ca="1">IF(Distinctness!$G$13&gt;0,"   "&amp;ThirdPlaced!$D16&amp;"        "&amp;ThirdPlaced!$F16&amp;Language!$E$146&amp;ThirdPlaced!$G16,"")</f>
        <v xml:space="preserve">   1        2 - 7</v>
      </c>
      <c r="Y49" s="312" t="str">
        <f ca="1">IF(Distinctness!$G$13&gt;0,ThirdPlaced!$J16,"")</f>
        <v>D</v>
      </c>
    </row>
    <row r="50" ht="35.25" customHeight="1"/>
    <row r="51" spans="2:24" ht="16" thickBot="1">
      <c r="B51" s="729" t="str">
        <f>VLOOKUP(VLOOKUP(A52,Matches!$B$41:$K$48,10,0),Language!$D$110:$E$117,2,0)</f>
        <v>Round of 16 - 4</v>
      </c>
      <c r="C51" s="730"/>
      <c r="E51" s="729" t="str">
        <f>VLOOKUP(VLOOKUP(D52,Matches!$B$41:$K$48,10,0),Language!$D$110:$E$117,2,0)</f>
        <v>Round of 16 - 2</v>
      </c>
      <c r="F51" s="730"/>
      <c r="H51" s="729" t="str">
        <f>VLOOKUP(VLOOKUP(G52,Matches!$B$41:$K$48,10,0),Language!$D$110:$E$117,2,0)</f>
        <v>Round of 16 - 6</v>
      </c>
      <c r="I51" s="730"/>
      <c r="K51" s="729" t="str">
        <f>VLOOKUP(VLOOKUP(J52,Matches!$B$41:$K$48,10,0),Language!$D$110:$E$117,2,0)</f>
        <v>Round of 16 - 5</v>
      </c>
      <c r="L51" s="730"/>
      <c r="N51" s="729" t="str">
        <f>VLOOKUP(VLOOKUP(M52,Matches!$B$41:$K$48,10,0),Language!$D$110:$E$117,2,0)</f>
        <v>Round of 16 - 7</v>
      </c>
      <c r="O51" s="730"/>
      <c r="Q51" s="729" t="str">
        <f>VLOOKUP(VLOOKUP(P52,Matches!$B$41:$K$48,10,0),Language!$D$110:$E$117,2,0)</f>
        <v>Round of 16 - 8</v>
      </c>
      <c r="R51" s="730"/>
      <c r="T51" s="729" t="str">
        <f>VLOOKUP(VLOOKUP(S52,Matches!$B$41:$K$48,10,0),Language!$D$110:$E$117,2,0)</f>
        <v>Round of 16 - 3</v>
      </c>
      <c r="U51" s="730"/>
      <c r="W51" s="729" t="str">
        <f>VLOOKUP(VLOOKUP(V52,Matches!$B$41:$K$48,10,0),Language!$D$110:$E$117,2,0)</f>
        <v>Round of 16 - 1</v>
      </c>
      <c r="X51" s="730"/>
    </row>
    <row r="52" spans="1:24" ht="14.5">
      <c r="A52" s="111">
        <f>RIGHT($C$68,2)*1</f>
        <v>39</v>
      </c>
      <c r="B52" s="731" t="str">
        <f>VLOOKUP(A52,Matches!$B$4:$K$58,7,0)</f>
        <v>Cologne</v>
      </c>
      <c r="C52" s="732"/>
      <c r="D52" s="111">
        <f>RIGHT($E$68,2)*1</f>
        <v>37</v>
      </c>
      <c r="E52" s="731" t="str">
        <f>VLOOKUP(D52,Matches!$B$4:$K$58,7,0)</f>
        <v>Dortmund</v>
      </c>
      <c r="F52" s="732"/>
      <c r="G52" s="111">
        <f>RIGHT($I$68,2)*1</f>
        <v>41</v>
      </c>
      <c r="H52" s="731" t="str">
        <f>VLOOKUP(G52,Matches!$B$4:$K$58,7,0)</f>
        <v>Frankfurt</v>
      </c>
      <c r="I52" s="732"/>
      <c r="J52" s="111">
        <f>RIGHT($K$68,2)*1</f>
        <v>42</v>
      </c>
      <c r="K52" s="731" t="str">
        <f>VLOOKUP(J52,Matches!$B$4:$K$58,7,0)</f>
        <v>Dusseldorf</v>
      </c>
      <c r="L52" s="732"/>
      <c r="M52" s="111">
        <f>RIGHT($O$68,2)*1</f>
        <v>43</v>
      </c>
      <c r="N52" s="731" t="str">
        <f>VLOOKUP(M52,Matches!$B$4:$K$58,7,0)</f>
        <v>Munich</v>
      </c>
      <c r="O52" s="732"/>
      <c r="P52" s="111">
        <f>RIGHT($Q$68,2)*1</f>
        <v>44</v>
      </c>
      <c r="Q52" s="731" t="str">
        <f>VLOOKUP(P52,Matches!$B$4:$K$58,7,0)</f>
        <v>Leipzig</v>
      </c>
      <c r="R52" s="732"/>
      <c r="S52" s="111">
        <f>RIGHT($U$68,2)*1</f>
        <v>40</v>
      </c>
      <c r="T52" s="731" t="str">
        <f>VLOOKUP(S52,Matches!$B$4:$K$58,7,0)</f>
        <v>Gelsenkirchen</v>
      </c>
      <c r="U52" s="732"/>
      <c r="V52" s="111">
        <f>RIGHT($W$68,2)*1</f>
        <v>38</v>
      </c>
      <c r="W52" s="731" t="str">
        <f>VLOOKUP(V52,Matches!$B$4:$K$58,7,0)</f>
        <v>Berlin</v>
      </c>
      <c r="X52" s="732"/>
    </row>
    <row r="53" spans="2:24" ht="14.5">
      <c r="B53" s="722">
        <f>VLOOKUP(A52,Matches!$B$4:$K$58,5,0)</f>
        <v>45473.875</v>
      </c>
      <c r="C53" s="724"/>
      <c r="E53" s="722">
        <f>VLOOKUP(D52,Matches!$B$4:$K$58,5,0)</f>
        <v>45472.875</v>
      </c>
      <c r="F53" s="724"/>
      <c r="H53" s="722">
        <f>VLOOKUP(G52,Matches!$B$4:$K$58,5,0)</f>
        <v>45474.875</v>
      </c>
      <c r="I53" s="724"/>
      <c r="K53" s="722">
        <f>VLOOKUP(J52,Matches!$B$4:$K$58,5,0)</f>
        <v>45474.75</v>
      </c>
      <c r="L53" s="724"/>
      <c r="N53" s="722">
        <f>VLOOKUP(M52,Matches!$B$4:$K$58,5,0)</f>
        <v>45475.75</v>
      </c>
      <c r="O53" s="724"/>
      <c r="Q53" s="722">
        <f>VLOOKUP(P52,Matches!$B$4:$K$58,5,0)</f>
        <v>45475.875</v>
      </c>
      <c r="R53" s="724"/>
      <c r="T53" s="722">
        <f>VLOOKUP(S52,Matches!$B$4:$K$58,5,0)</f>
        <v>45473.75</v>
      </c>
      <c r="U53" s="724"/>
      <c r="V53" s="6"/>
      <c r="W53" s="722">
        <f>VLOOKUP(V52,Matches!$B$4:$K$58,5,0)</f>
        <v>45472.75</v>
      </c>
      <c r="X53" s="724"/>
    </row>
    <row r="54" spans="2:24" ht="14.5">
      <c r="B54" s="53" t="str">
        <f ca="1">VLOOKUP(A52,Matches!$B$4:$K$58,8,0)</f>
        <v>Croatia</v>
      </c>
      <c r="C54" s="54" t="str">
        <f ca="1">VLOOKUP(A52,Matches!$B$4:$K$58,9,0)</f>
        <v>Scotland</v>
      </c>
      <c r="E54" s="53" t="str">
        <f ca="1">VLOOKUP(D52,Matches!$B$4:$K$58,8,0)</f>
        <v>Hungary</v>
      </c>
      <c r="F54" s="54" t="str">
        <f ca="1">VLOOKUP(D52,Matches!$B$4:$K$58,9,0)</f>
        <v>Serbia</v>
      </c>
      <c r="H54" s="53" t="str">
        <f ca="1">VLOOKUP(G52,Matches!$B$4:$K$58,8,0)</f>
        <v>Portugal</v>
      </c>
      <c r="I54" s="54" t="str">
        <f ca="1">VLOOKUP(G52,Matches!$B$4:$K$58,9,0)</f>
        <v>Denmark</v>
      </c>
      <c r="K54" s="53" t="str">
        <f ca="1">VLOOKUP(J52,Matches!$B$4:$K$58,8,0)</f>
        <v>Netherlands</v>
      </c>
      <c r="L54" s="54" t="str">
        <f ca="1">VLOOKUP(J52,Matches!$B$4:$K$58,9,0)</f>
        <v>Ukraine</v>
      </c>
      <c r="N54" s="53" t="str">
        <f ca="1">VLOOKUP(M52,Matches!$B$4:$K$58,8,0)</f>
        <v>Belgium</v>
      </c>
      <c r="O54" s="54" t="str">
        <f ca="1">VLOOKUP(M52,Matches!$B$4:$K$58,9,0)</f>
        <v>Italy</v>
      </c>
      <c r="Q54" s="53" t="str">
        <f ca="1">VLOOKUP(P52,Matches!$B$4:$K$58,8,0)</f>
        <v>France</v>
      </c>
      <c r="R54" s="54" t="str">
        <f ca="1">VLOOKUP(P52,Matches!$B$4:$K$58,9,0)</f>
        <v>Czechia</v>
      </c>
      <c r="T54" s="53" t="str">
        <f ca="1">VLOOKUP(S52,Matches!$B$4:$K$58,8,0)</f>
        <v>England</v>
      </c>
      <c r="U54" s="54" t="str">
        <f ca="1">VLOOKUP(S52,Matches!$B$4:$K$58,9,0)</f>
        <v>Türkiye</v>
      </c>
      <c r="W54" s="53" t="str">
        <f ca="1">VLOOKUP(V52,Matches!$B$4:$K$58,8,0)</f>
        <v>Germany</v>
      </c>
      <c r="X54" s="54" t="str">
        <f ca="1">VLOOKUP(V52,Matches!$B$4:$K$58,9,0)</f>
        <v>Spain</v>
      </c>
    </row>
    <row r="55" spans="2:25" ht="15" thickBot="1">
      <c r="B55" s="1">
        <v>2</v>
      </c>
      <c r="C55" s="2">
        <v>0</v>
      </c>
      <c r="D55" s="300"/>
      <c r="E55" s="1">
        <v>2</v>
      </c>
      <c r="F55" s="2">
        <v>1</v>
      </c>
      <c r="G55" s="300"/>
      <c r="H55" s="1">
        <v>1</v>
      </c>
      <c r="I55" s="2">
        <v>2</v>
      </c>
      <c r="J55" s="300"/>
      <c r="K55" s="1">
        <v>1</v>
      </c>
      <c r="L55" s="2">
        <v>1</v>
      </c>
      <c r="M55" s="300"/>
      <c r="N55" s="1">
        <v>2</v>
      </c>
      <c r="O55" s="2">
        <v>2</v>
      </c>
      <c r="P55" s="300"/>
      <c r="Q55" s="1">
        <v>1</v>
      </c>
      <c r="R55" s="2">
        <v>0</v>
      </c>
      <c r="S55" s="300"/>
      <c r="T55" s="1">
        <v>2</v>
      </c>
      <c r="U55" s="2">
        <v>0</v>
      </c>
      <c r="V55" s="300"/>
      <c r="W55" s="1">
        <v>1</v>
      </c>
      <c r="X55" s="2">
        <v>1</v>
      </c>
      <c r="Y55" s="301"/>
    </row>
    <row r="56" spans="2:24" ht="10" customHeight="1">
      <c r="B56" s="727" t="str">
        <f>Language!$E$127</f>
        <v>Penalty shoot-out:</v>
      </c>
      <c r="C56" s="728"/>
      <c r="E56" s="727" t="str">
        <f>Language!$E$127</f>
        <v>Penalty shoot-out:</v>
      </c>
      <c r="F56" s="728"/>
      <c r="H56" s="727" t="str">
        <f>Language!$E$127</f>
        <v>Penalty shoot-out:</v>
      </c>
      <c r="I56" s="728"/>
      <c r="K56" s="727" t="str">
        <f>Language!$E$127</f>
        <v>Penalty shoot-out:</v>
      </c>
      <c r="L56" s="728"/>
      <c r="N56" s="727" t="str">
        <f>Language!$E$127</f>
        <v>Penalty shoot-out:</v>
      </c>
      <c r="O56" s="728"/>
      <c r="Q56" s="727" t="str">
        <f>Language!$E$127</f>
        <v>Penalty shoot-out:</v>
      </c>
      <c r="R56" s="728"/>
      <c r="T56" s="727" t="str">
        <f>Language!$E$127</f>
        <v>Penalty shoot-out:</v>
      </c>
      <c r="U56" s="728"/>
      <c r="W56" s="727" t="str">
        <f>Language!$E$127</f>
        <v>Penalty shoot-out:</v>
      </c>
      <c r="X56" s="728"/>
    </row>
    <row r="57" spans="2:24" ht="15" thickBot="1">
      <c r="B57" s="295"/>
      <c r="C57" s="296"/>
      <c r="E57" s="295"/>
      <c r="F57" s="296"/>
      <c r="H57" s="295"/>
      <c r="I57" s="296"/>
      <c r="K57" s="295">
        <v>3</v>
      </c>
      <c r="L57" s="296">
        <v>2</v>
      </c>
      <c r="N57" s="295">
        <v>3</v>
      </c>
      <c r="O57" s="296">
        <v>2</v>
      </c>
      <c r="Q57" s="295"/>
      <c r="R57" s="296"/>
      <c r="T57" s="295"/>
      <c r="U57" s="296"/>
      <c r="W57" s="295">
        <v>3</v>
      </c>
      <c r="X57" s="296">
        <v>2</v>
      </c>
    </row>
    <row r="58" spans="2:24"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2:24" s="9" customFormat="1" ht="12">
      <c r="B59" s="726" t="str">
        <f>IF(AND(B55&lt;&gt;"",C55&lt;&gt;"",B55=C55,B57&lt;&gt;"",C57&lt;&gt;"",B57=C57),Language!$E$141,"")</f>
        <v/>
      </c>
      <c r="C59" s="726"/>
      <c r="D59" s="239"/>
      <c r="E59" s="726" t="str">
        <f>IF(AND(E55&lt;&gt;"",F55&lt;&gt;"",E55=F55,E57&lt;&gt;"",F57&lt;&gt;"",E57=F57),Language!$E$141,"")</f>
        <v/>
      </c>
      <c r="F59" s="726"/>
      <c r="G59" s="10"/>
      <c r="H59" s="726" t="str">
        <f>IF(AND(H55&lt;&gt;"",I55&lt;&gt;"",H55=I55,H57&lt;&gt;"",I57&lt;&gt;"",H57=I57),Language!$E$141,"")</f>
        <v/>
      </c>
      <c r="I59" s="726"/>
      <c r="J59" s="10"/>
      <c r="K59" s="726" t="str">
        <f>IF(AND(K55&lt;&gt;"",L55&lt;&gt;"",K55=L55,K57&lt;&gt;"",L57&lt;&gt;"",K57=L57),Language!$E$141,"")</f>
        <v/>
      </c>
      <c r="L59" s="726"/>
      <c r="M59" s="10"/>
      <c r="N59" s="726" t="str">
        <f>IF(AND(N55&lt;&gt;"",O55&lt;&gt;"",N55=O55,N57&lt;&gt;"",O57&lt;&gt;"",N57=O57),Language!$E$141,"")</f>
        <v/>
      </c>
      <c r="O59" s="726"/>
      <c r="P59" s="10"/>
      <c r="Q59" s="726" t="str">
        <f>IF(AND(Q55&lt;&gt;"",R55&lt;&gt;"",Q55=R55,Q57&lt;&gt;"",R57&lt;&gt;"",Q57=R57),Language!$E$141,"")</f>
        <v/>
      </c>
      <c r="R59" s="726"/>
      <c r="S59" s="10"/>
      <c r="T59" s="726" t="str">
        <f>IF(AND(T55&lt;&gt;"",U55&lt;&gt;"",T55=U55,T57&lt;&gt;"",U57&lt;&gt;"",T57=U57),Language!$E$141,"")</f>
        <v/>
      </c>
      <c r="U59" s="726"/>
      <c r="V59" s="10"/>
      <c r="W59" s="726" t="str">
        <f>IF(AND(W55&lt;&gt;"",X55&lt;&gt;"",W55=X55,W57&lt;&gt;"",X57&lt;&gt;"",W57=X57),Language!$E$141,"")</f>
        <v/>
      </c>
      <c r="X59" s="726"/>
    </row>
    <row r="60" spans="3:5" ht="14.5">
      <c r="C60" s="11"/>
      <c r="E60" s="11"/>
    </row>
    <row r="61" spans="3:23" ht="15.75" customHeight="1">
      <c r="C61" s="725" t="str">
        <f>VLOOKUP(VLOOKUP(B62,Matches!$B$50:$K$53,10,0),Language!$D$118:$E$121,2,0)</f>
        <v>Quarter final 1</v>
      </c>
      <c r="D61" s="725"/>
      <c r="E61" s="725"/>
      <c r="I61" s="725" t="str">
        <f>VLOOKUP(VLOOKUP(H62,Matches!$B$50:$K$53,10,0),Language!$D$118:$E$121,2,0)</f>
        <v>Quarter final 2</v>
      </c>
      <c r="J61" s="725"/>
      <c r="K61" s="725"/>
      <c r="O61" s="725" t="str">
        <f>VLOOKUP(VLOOKUP(N62,Matches!$B$50:$K$53,10,0),Language!$D$118:$E$121,2,0)</f>
        <v>Quarter final 4</v>
      </c>
      <c r="P61" s="725"/>
      <c r="Q61" s="725"/>
      <c r="U61" s="725" t="str">
        <f>VLOOKUP(VLOOKUP(T62,Matches!$B$50:$K$53,10,0),Language!$D$118:$E$121,2,0)</f>
        <v>Quarter final 3</v>
      </c>
      <c r="V61" s="725"/>
      <c r="W61" s="725"/>
    </row>
    <row r="62" spans="2:23" ht="15.75" customHeight="1">
      <c r="B62" s="111">
        <f>RIGHT($F$78,2)*1</f>
        <v>45</v>
      </c>
      <c r="C62" s="718" t="str">
        <f>VLOOKUP(B62,Matches!$B$4:$K$58,7,0)</f>
        <v>Stuttgart</v>
      </c>
      <c r="D62" s="719"/>
      <c r="E62" s="720"/>
      <c r="H62" s="111">
        <f>RIGHT($H$78,2)*1</f>
        <v>46</v>
      </c>
      <c r="I62" s="718" t="str">
        <f>VLOOKUP(H62,Matches!$B$4:$K$58,7,0)</f>
        <v>Hamburg</v>
      </c>
      <c r="J62" s="719"/>
      <c r="K62" s="720"/>
      <c r="N62" s="111">
        <f>RIGHT($R$78,2)*1</f>
        <v>47</v>
      </c>
      <c r="O62" s="718" t="str">
        <f>VLOOKUP(N62,Matches!$B$4:$K$58,7,0)</f>
        <v>Berlin</v>
      </c>
      <c r="P62" s="719"/>
      <c r="Q62" s="720"/>
      <c r="T62" s="111">
        <f>RIGHT($T$78,2)*1</f>
        <v>48</v>
      </c>
      <c r="U62" s="718" t="str">
        <f>VLOOKUP(T62,Matches!$B$4:$K$58,7,0)</f>
        <v>Dusseldorf</v>
      </c>
      <c r="V62" s="719"/>
      <c r="W62" s="720"/>
    </row>
    <row r="63" spans="3:23" ht="14.5">
      <c r="C63" s="722">
        <f>VLOOKUP(B62,Matches!$B$4:$K$58,5,0)</f>
        <v>45478.75</v>
      </c>
      <c r="D63" s="723"/>
      <c r="E63" s="724"/>
      <c r="I63" s="722">
        <f>VLOOKUP(H62,Matches!$B$4:$K$58,5,0)</f>
        <v>45478.875</v>
      </c>
      <c r="J63" s="723"/>
      <c r="K63" s="724"/>
      <c r="O63" s="722">
        <f>VLOOKUP(N62,Matches!$B$4:$K$58,5,0)</f>
        <v>45479.875</v>
      </c>
      <c r="P63" s="723"/>
      <c r="Q63" s="724"/>
      <c r="U63" s="722">
        <f>VLOOKUP(T62,Matches!$B$4:$K$58,5,0)</f>
        <v>45479.75</v>
      </c>
      <c r="V63" s="723"/>
      <c r="W63" s="724"/>
    </row>
    <row r="64" spans="3:23" ht="14.5">
      <c r="C64" s="7" t="str">
        <f ca="1">IF(AND(B55&lt;&gt;"",C55&lt;&gt;""),IF(B55&gt;C55,B54,IF(B55&lt;C55,C54,IF(AND(B57&lt;&gt;"",C57&lt;&gt;""),IF(B57&gt;C57,B54,IF(B57&lt;C57,C54,"")),""))),"")</f>
        <v>Croatia</v>
      </c>
      <c r="E64" s="8" t="str">
        <f ca="1">IF(AND(E55&lt;&gt;"",F55&lt;&gt;""),IF(E55&gt;F55,E54,IF(E55&lt;F55,F54,IF(AND(E57&lt;&gt;"",F57&lt;&gt;""),IF(E57&gt;F57,E54,IF(E57&lt;F57,F54,"")),""))),"")</f>
        <v>Hungary</v>
      </c>
      <c r="I64" s="7" t="str">
        <f ca="1">IF(AND(H55&lt;&gt;"",I55&lt;&gt;""),IF(H55&gt;I55,H54,IF(H55&lt;I55,I54,IF(AND(H57&lt;&gt;"",I57&lt;&gt;""),IF(H57&gt;I57,H54,IF(H57&lt;I57,I54,"")),""))),"")</f>
        <v>Denmark</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Germany</v>
      </c>
    </row>
    <row r="65" spans="3:24" ht="15" thickBot="1">
      <c r="C65" s="1">
        <v>1</v>
      </c>
      <c r="D65" s="12"/>
      <c r="E65" s="3">
        <v>0</v>
      </c>
      <c r="F65" s="301"/>
      <c r="I65" s="1">
        <v>1</v>
      </c>
      <c r="J65" s="12"/>
      <c r="K65" s="3">
        <v>0</v>
      </c>
      <c r="L65" s="301"/>
      <c r="O65" s="1">
        <v>2</v>
      </c>
      <c r="P65" s="12"/>
      <c r="Q65" s="3">
        <v>1</v>
      </c>
      <c r="R65" s="301"/>
      <c r="U65" s="1">
        <v>0</v>
      </c>
      <c r="V65" s="12"/>
      <c r="W65" s="3">
        <v>1</v>
      </c>
      <c r="X65" s="301"/>
    </row>
    <row r="66" spans="3:23" ht="10" customHeight="1">
      <c r="C66" s="708" t="str">
        <f>Language!$E$127</f>
        <v>Penalty shoot-out:</v>
      </c>
      <c r="D66" s="709"/>
      <c r="E66" s="710"/>
      <c r="I66" s="708" t="str">
        <f>Language!$E$127</f>
        <v>Penalty shoot-out:</v>
      </c>
      <c r="J66" s="709"/>
      <c r="K66" s="710"/>
      <c r="O66" s="708" t="str">
        <f>Language!$E$127</f>
        <v>Penalty shoot-out:</v>
      </c>
      <c r="P66" s="709"/>
      <c r="Q66" s="710"/>
      <c r="U66" s="708" t="str">
        <f>Language!$E$127</f>
        <v>Penalty shoot-out:</v>
      </c>
      <c r="V66" s="709"/>
      <c r="W66" s="710"/>
    </row>
    <row r="67" spans="3:23" ht="15" thickBot="1">
      <c r="C67" s="297"/>
      <c r="D67" s="12"/>
      <c r="E67" s="298"/>
      <c r="I67" s="297"/>
      <c r="J67" s="12"/>
      <c r="K67" s="298"/>
      <c r="O67" s="297"/>
      <c r="P67" s="12"/>
      <c r="Q67" s="298"/>
      <c r="U67" s="297"/>
      <c r="V67" s="12"/>
      <c r="W67" s="298"/>
    </row>
    <row r="68" spans="3:23" s="9" customFormat="1" ht="14.5">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3" ht="12" customHeight="1">
      <c r="C69" s="711" t="str">
        <f>IF(AND(C65&lt;&gt;"",E65&lt;&gt;"",C65=E65,C67&lt;&gt;"",E67&lt;&gt;"",C67=E67),Language!$E$141,"")</f>
        <v/>
      </c>
      <c r="D69" s="711"/>
      <c r="E69" s="711"/>
      <c r="F69" s="241"/>
      <c r="I69" s="711" t="str">
        <f>IF(AND(I65&lt;&gt;"",K65&lt;&gt;"",I65=K65,I67&lt;&gt;"",K67&lt;&gt;"",I67=K67),Language!$E$141,"")</f>
        <v/>
      </c>
      <c r="J69" s="711"/>
      <c r="K69" s="711"/>
      <c r="O69" s="711" t="str">
        <f>IF(AND(O65&lt;&gt;"",Q65&lt;&gt;"",O65=Q65,O67&lt;&gt;"",Q67&lt;&gt;"",O67=Q67),Language!$E$141,"")</f>
        <v/>
      </c>
      <c r="P69" s="711"/>
      <c r="Q69" s="711"/>
      <c r="U69" s="711" t="str">
        <f>IF(AND(U65&lt;&gt;"",W65&lt;&gt;"",U65=W65,U67&lt;&gt;"",W67&lt;&gt;"",U67=W67),Language!$E$141,"")</f>
        <v/>
      </c>
      <c r="V69" s="711"/>
      <c r="W69" s="711"/>
    </row>
    <row r="70" ht="14.5"/>
    <row r="71" spans="6:20" ht="15.5">
      <c r="F71" s="725" t="str">
        <f>VLOOKUP(E72,Matches!$B$50:$K$58,10,0)</f>
        <v>Semi-Final 1</v>
      </c>
      <c r="G71" s="725"/>
      <c r="H71" s="725"/>
      <c r="R71" s="725" t="str">
        <f>VLOOKUP(Q72,Matches!$B$50:$K$58,10,0)</f>
        <v>Semi-Final 2</v>
      </c>
      <c r="S71" s="725"/>
      <c r="T71" s="725"/>
    </row>
    <row r="72" spans="5:20" ht="14.5">
      <c r="E72" s="111">
        <f>RIGHT($L$88,2)*1</f>
        <v>49</v>
      </c>
      <c r="F72" s="718" t="str">
        <f>VLOOKUP(E72,Matches!$B$4:$K$58,7,0)</f>
        <v>Munich</v>
      </c>
      <c r="G72" s="719"/>
      <c r="H72" s="720"/>
      <c r="Q72" s="111">
        <f>RIGHT($N$88,2)*1</f>
        <v>50</v>
      </c>
      <c r="R72" s="718" t="str">
        <f>VLOOKUP(Q72,Matches!$B$4:$K$58,7,0)</f>
        <v>Dortmund</v>
      </c>
      <c r="S72" s="719"/>
      <c r="T72" s="720"/>
    </row>
    <row r="73" spans="6:20" ht="15.5">
      <c r="F73" s="722">
        <f>VLOOKUP(E72,Matches!$B$4:$K$58,5,0)</f>
        <v>45482.875</v>
      </c>
      <c r="G73" s="723"/>
      <c r="H73" s="724"/>
      <c r="L73" s="27"/>
      <c r="M73" s="27"/>
      <c r="R73" s="722">
        <f>VLOOKUP(Q72,Matches!$B$4:$K$58,5,0)</f>
        <v>45483.875</v>
      </c>
      <c r="S73" s="723"/>
      <c r="T73" s="724"/>
    </row>
    <row r="74" spans="6:20" ht="14.5">
      <c r="F74" s="7" t="str">
        <f ca="1">IF(AND(C65&lt;&gt;"",E65&lt;&gt;""),IF(C65&gt;E65,C64,IF(C65&lt;E65,E64,IF(AND(C67&lt;&gt;"",E67&lt;&gt;""),IF(C67&gt;E67,C64,IF(C67&lt;E67,E64,"")),""))),"")</f>
        <v>Croatia</v>
      </c>
      <c r="H74" s="8" t="str">
        <f ca="1">IF(AND(I65&lt;&gt;"",K65&lt;&gt;""),IF(I65&gt;K65,I64,IF(I65&lt;K65,K64,IF(AND(I67&lt;&gt;"",K67&lt;&gt;""),IF(I67&gt;K67,I64,IF(I67&lt;K67,K64,"")),""))),"")</f>
        <v>Denmark</v>
      </c>
      <c r="L74" s="25"/>
      <c r="M74" s="25"/>
      <c r="R74" s="7" t="str">
        <f ca="1">IF(AND(O65&lt;&gt;"",Q65&lt;&gt;""),IF(O65&gt;Q65,O64,IF(O65&lt;Q65,Q64,IF(AND(O67&lt;&gt;"",Q67&lt;&gt;""),IF(O67&gt;Q67,O64,IF(O67&lt;Q67,Q64,"")),""))),"")</f>
        <v>Belgium</v>
      </c>
      <c r="T74" s="8" t="str">
        <f ca="1">IF(AND(U65&lt;&gt;"",W65&lt;&gt;""),IF(U65&gt;W65,U64,IF(U65&lt;W65,W64,IF(AND(U67&lt;&gt;"",W67&lt;&gt;""),IF(U67&gt;W67,U64,IF(U67&lt;W67,W64,"")),""))),"")</f>
        <v>Germany</v>
      </c>
    </row>
    <row r="75" spans="6:21" ht="15" thickBot="1">
      <c r="F75" s="1">
        <v>1</v>
      </c>
      <c r="G75" s="12"/>
      <c r="H75" s="3">
        <v>1</v>
      </c>
      <c r="I75" s="301"/>
      <c r="L75" s="16"/>
      <c r="R75" s="1">
        <v>2</v>
      </c>
      <c r="S75" s="12"/>
      <c r="T75" s="3">
        <v>1</v>
      </c>
      <c r="U75" s="301"/>
    </row>
    <row r="76" spans="6:20" ht="10" customHeight="1">
      <c r="F76" s="708" t="str">
        <f>Language!$E$127</f>
        <v>Penalty shoot-out:</v>
      </c>
      <c r="G76" s="709"/>
      <c r="H76" s="710"/>
      <c r="L76" s="16"/>
      <c r="R76" s="708" t="str">
        <f>Language!$E$127</f>
        <v>Penalty shoot-out:</v>
      </c>
      <c r="S76" s="709"/>
      <c r="T76" s="710"/>
    </row>
    <row r="77" spans="6:20" ht="15" thickBot="1">
      <c r="F77" s="297">
        <v>3</v>
      </c>
      <c r="G77" s="12"/>
      <c r="H77" s="298">
        <v>2</v>
      </c>
      <c r="L77" s="16"/>
      <c r="R77" s="297"/>
      <c r="S77" s="12"/>
      <c r="T77" s="298"/>
    </row>
    <row r="78" spans="6:20" ht="14.5">
      <c r="F78" s="10" t="str">
        <f>VLOOKUP(E72,Matches!$B$50:$K$58,2,0)</f>
        <v>W45</v>
      </c>
      <c r="G78" s="13"/>
      <c r="H78" s="10" t="str">
        <f>VLOOKUP(E72,Matches!$B$50:$K$58,3,0)</f>
        <v>W46</v>
      </c>
      <c r="I78" s="241"/>
      <c r="L78" s="17"/>
      <c r="R78" s="10" t="str">
        <f>VLOOKUP(Q72,Matches!$B$50:$K$58,2,0)</f>
        <v>W47</v>
      </c>
      <c r="S78" s="13"/>
      <c r="T78" s="10" t="str">
        <f>VLOOKUP(Q72,Matches!$B$50:$K$58,3,0)</f>
        <v>W48</v>
      </c>
    </row>
    <row r="79" spans="6:20" ht="12" customHeight="1">
      <c r="F79" s="711" t="str">
        <f>IF(AND(F75&lt;&gt;"",H75&lt;&gt;"",F75=H75,F77&lt;&gt;"",H77&lt;&gt;"",F77=H77),Language!$E$141,"")</f>
        <v/>
      </c>
      <c r="G79" s="711"/>
      <c r="H79" s="711"/>
      <c r="L79" s="238"/>
      <c r="M79" s="238"/>
      <c r="N79" s="238"/>
      <c r="R79" s="711" t="str">
        <f>IF(AND(R75&lt;&gt;"",T75&lt;&gt;"",R75=T75,R77&lt;&gt;"",T77&lt;&gt;"",R77=T77),Language!$E$141,"")</f>
        <v/>
      </c>
      <c r="S79" s="711"/>
      <c r="T79" s="711"/>
    </row>
    <row r="80" ht="14.5"/>
    <row r="81" spans="12:14" ht="31">
      <c r="L81" s="715" t="str">
        <f>VLOOKUP(K82,Matches!$B$50:$K$58,10,0)</f>
        <v>Final</v>
      </c>
      <c r="M81" s="716"/>
      <c r="N81" s="717"/>
    </row>
    <row r="82" spans="11:23" ht="15" customHeight="1">
      <c r="K82" s="111">
        <v>51</v>
      </c>
      <c r="L82" s="718" t="str">
        <f>VLOOKUP(K82,Matches!$B$4:$K$58,7,0)</f>
        <v>Berlin</v>
      </c>
      <c r="M82" s="719"/>
      <c r="N82" s="720"/>
      <c r="R82" s="721" t="str">
        <f>Language!$E$109</f>
        <v>European Champion 2024:</v>
      </c>
      <c r="S82" s="721"/>
      <c r="T82" s="721"/>
      <c r="U82" s="721"/>
      <c r="V82" s="721"/>
      <c r="W82" s="721"/>
    </row>
    <row r="83" spans="12:23" ht="15" customHeight="1">
      <c r="L83" s="722">
        <f>VLOOKUP(K82,Matches!$B$4:$K$58,5,0)</f>
        <v>45487.875</v>
      </c>
      <c r="M83" s="723"/>
      <c r="N83" s="724"/>
      <c r="R83" s="721"/>
      <c r="S83" s="721"/>
      <c r="T83" s="721"/>
      <c r="U83" s="721"/>
      <c r="V83" s="721"/>
      <c r="W83" s="721"/>
    </row>
    <row r="84" spans="12:23" ht="15" customHeight="1">
      <c r="L84" s="7" t="str">
        <f ca="1">IF(AND(F75&lt;&gt;"",H75&lt;&gt;""),IF(F75&gt;H75,F74,IF(F75&lt;H75,H74,IF(AND(F77&lt;&gt;"",H77&lt;&gt;""),IF(F77&gt;H77,F74,IF(F77&lt;H77,H74,"")),""))),"")</f>
        <v>Croatia</v>
      </c>
      <c r="N84" s="8" t="str">
        <f ca="1">IF(AND(R75&lt;&gt;"",T75&lt;&gt;""),IF(R75&gt;T75,R74,IF(R75&lt;T75,T74,IF(AND(R77&lt;&gt;"",T77&lt;&gt;""),IF(R77&gt;T77,R74,IF(R77&lt;T77,T74,"")),""))),"")</f>
        <v>Belgium</v>
      </c>
      <c r="R84" s="707" t="str">
        <f ca="1">IF(AND(L85&lt;&gt;"",N85&lt;&gt;""),IF(L85&gt;N85,L84,IF(L85&lt;N85,N84,IF(AND(L87&lt;&gt;"",N87&lt;&gt;""),IF(L87&gt;N87,L84,IF(L87&lt;N87,N84,"")),""))),"")</f>
        <v>Croatia</v>
      </c>
      <c r="S84" s="707"/>
      <c r="T84" s="707"/>
      <c r="U84" s="707"/>
      <c r="V84" s="707"/>
      <c r="W84" s="707"/>
    </row>
    <row r="85" spans="2:23" ht="15" customHeight="1" thickBot="1">
      <c r="B85" s="15"/>
      <c r="L85" s="1">
        <v>1</v>
      </c>
      <c r="M85" s="11"/>
      <c r="N85" s="3">
        <v>0</v>
      </c>
      <c r="O85" s="301"/>
      <c r="R85" s="707"/>
      <c r="S85" s="707"/>
      <c r="T85" s="707"/>
      <c r="U85" s="707"/>
      <c r="V85" s="707"/>
      <c r="W85" s="707"/>
    </row>
    <row r="86" spans="2:23" ht="10" customHeight="1">
      <c r="B86" s="15"/>
      <c r="L86" s="708" t="str">
        <f>Language!$E$127</f>
        <v>Penalty shoot-out:</v>
      </c>
      <c r="M86" s="709"/>
      <c r="N86" s="710"/>
      <c r="R86" s="299"/>
      <c r="S86" s="299"/>
      <c r="T86" s="299"/>
      <c r="U86" s="299"/>
      <c r="V86" s="299"/>
      <c r="W86" s="299"/>
    </row>
    <row r="87" spans="2:23" ht="15" customHeight="1" thickBot="1">
      <c r="B87" s="15"/>
      <c r="L87" s="297"/>
      <c r="M87" s="12"/>
      <c r="N87" s="298"/>
      <c r="R87" s="299"/>
      <c r="S87" s="299"/>
      <c r="T87" s="299"/>
      <c r="U87" s="299"/>
      <c r="V87" s="299"/>
      <c r="W87" s="299"/>
    </row>
    <row r="88" spans="12:15" ht="14.5">
      <c r="L88" s="10" t="str">
        <f>VLOOKUP(K82,Matches!$B$50:$K$58,2,0)</f>
        <v>W49</v>
      </c>
      <c r="M88" s="13"/>
      <c r="N88" s="10" t="str">
        <f>VLOOKUP(K82,Matches!$B$50:$K$58,3,0)</f>
        <v>W50</v>
      </c>
      <c r="O88" s="241"/>
    </row>
    <row r="89" spans="12:14" ht="12" customHeight="1">
      <c r="L89" s="711" t="str">
        <f>IF(AND(L85&lt;&gt;"",N85&lt;&gt;"",L85=N85,L87&lt;&gt;"",N87&lt;&gt;"",L87=N87),Language!$E$141,"")</f>
        <v/>
      </c>
      <c r="M89" s="711"/>
      <c r="N89" s="711"/>
    </row>
    <row r="90" ht="14.5"/>
    <row r="91" spans="21:24" ht="14.5">
      <c r="U91" s="712"/>
      <c r="V91" s="712"/>
      <c r="W91" s="712"/>
      <c r="X91" s="712"/>
    </row>
    <row r="92" spans="2:24" ht="14.5">
      <c r="B92" s="713" t="s">
        <v>1177</v>
      </c>
      <c r="C92" s="713"/>
      <c r="D92" s="713"/>
      <c r="T92" s="714" t="s">
        <v>1782</v>
      </c>
      <c r="U92" s="714"/>
      <c r="V92" s="714"/>
      <c r="W92" s="714"/>
      <c r="X92" s="714"/>
    </row>
    <row r="93" ht="14.5"/>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priority="220" dxfId="582">
      <formula>INT(B12)=TODAY()</formula>
    </cfRule>
  </conditionalFormatting>
  <conditionalFormatting sqref="B14 C65 I65 O65 U65 F75 R75 L85">
    <cfRule type="expression" priority="217" dxfId="581">
      <formula>AND(B12&lt;TODAY(),B14="")</formula>
    </cfRule>
  </conditionalFormatting>
  <conditionalFormatting sqref="B17 E17 H17 K17 N17 Q17">
    <cfRule type="expression" priority="148" dxfId="582">
      <formula>INT(B17)=TODAY()</formula>
    </cfRule>
  </conditionalFormatting>
  <conditionalFormatting sqref="B19">
    <cfRule type="expression" priority="213" dxfId="581">
      <formula>AND(B17&lt;TODAY(),B19="")</formula>
    </cfRule>
  </conditionalFormatting>
  <conditionalFormatting sqref="B22 E22 H22 K22 N22 Q22 B27 E27 H27 K27 N27 Q27">
    <cfRule type="expression" priority="147" dxfId="582">
      <formula>INT(B22)=TODAY()</formula>
    </cfRule>
  </conditionalFormatting>
  <conditionalFormatting sqref="B24">
    <cfRule type="expression" priority="212" dxfId="581">
      <formula>AND(B22&lt;TODAY(),B24="")</formula>
    </cfRule>
  </conditionalFormatting>
  <conditionalFormatting sqref="B29">
    <cfRule type="expression" priority="60" dxfId="581">
      <formula>AND(B27&lt;TODAY(),B29="")</formula>
    </cfRule>
  </conditionalFormatting>
  <conditionalFormatting sqref="B32 E32 H32 K32 N32 Q32 B39 E39 H39 K39 N39 Q39">
    <cfRule type="expression" priority="146" dxfId="582">
      <formula>INT(B32)=TODAY()</formula>
    </cfRule>
  </conditionalFormatting>
  <conditionalFormatting sqref="B34">
    <cfRule type="expression" priority="58" dxfId="581">
      <formula>AND(B32&lt;TODAY(),B34="")</formula>
    </cfRule>
  </conditionalFormatting>
  <conditionalFormatting sqref="B41">
    <cfRule type="expression" priority="56" dxfId="581">
      <formula>AND(B39&lt;TODAY(),B41="")</formula>
    </cfRule>
  </conditionalFormatting>
  <conditionalFormatting sqref="B53 E53 H53 K53 N53 Q53 T53 W53">
    <cfRule type="expression" priority="145" dxfId="582">
      <formula>INT(B53)=TODAY()</formula>
    </cfRule>
  </conditionalFormatting>
  <conditionalFormatting sqref="B55">
    <cfRule type="expression" priority="190" dxfId="581">
      <formula>AND(B53&lt;TODAY(),B55="")</formula>
    </cfRule>
  </conditionalFormatting>
  <conditionalFormatting sqref="B57">
    <cfRule type="expression" priority="136" dxfId="585">
      <formula>AND(B55=C55,B55&lt;&gt;"")</formula>
    </cfRule>
  </conditionalFormatting>
  <conditionalFormatting sqref="B5:C5">
    <cfRule type="expression" priority="100" dxfId="569">
      <formula>OR($V$46="a",$V$47="a",$V$48="a",$V$49="a")</formula>
    </cfRule>
  </conditionalFormatting>
  <conditionalFormatting sqref="B48:C48">
    <cfRule type="expression" priority="99" dxfId="569">
      <formula>OR($V$46="a",$V$47="a",$V$48="a",$V$49="a")</formula>
    </cfRule>
  </conditionalFormatting>
  <conditionalFormatting sqref="B56:C56">
    <cfRule type="expression" priority="87" dxfId="584">
      <formula>AND(B55=C55,B55&lt;&gt;"",C55&lt;&gt;"")</formula>
    </cfRule>
  </conditionalFormatting>
  <conditionalFormatting sqref="C14">
    <cfRule type="expression" priority="218" dxfId="581">
      <formula>AND(B12&lt;TODAY(),C14="")</formula>
    </cfRule>
  </conditionalFormatting>
  <conditionalFormatting sqref="C19">
    <cfRule type="expression" priority="182" dxfId="581">
      <formula>AND(B17&lt;TODAY(),C19="")</formula>
    </cfRule>
  </conditionalFormatting>
  <conditionalFormatting sqref="C24">
    <cfRule type="expression" priority="181" dxfId="581">
      <formula>AND(B22&lt;TODAY(),C24="")</formula>
    </cfRule>
  </conditionalFormatting>
  <conditionalFormatting sqref="C29">
    <cfRule type="expression" priority="59" dxfId="581">
      <formula>AND(B27&lt;TODAY(),C29="")</formula>
    </cfRule>
  </conditionalFormatting>
  <conditionalFormatting sqref="C34">
    <cfRule type="expression" priority="57" dxfId="581">
      <formula>AND(B32&lt;TODAY(),C34="")</formula>
    </cfRule>
  </conditionalFormatting>
  <conditionalFormatting sqref="C41">
    <cfRule type="expression" priority="55" dxfId="581">
      <formula>AND(B39&lt;TODAY(),C41="")</formula>
    </cfRule>
  </conditionalFormatting>
  <conditionalFormatting sqref="C55">
    <cfRule type="expression" priority="159" dxfId="581">
      <formula>AND(B53&lt;TODAY(),C55="")</formula>
    </cfRule>
  </conditionalFormatting>
  <conditionalFormatting sqref="C57">
    <cfRule type="expression" priority="137" dxfId="585">
      <formula>AND(B55=C55,B55&lt;&gt;"")</formula>
    </cfRule>
  </conditionalFormatting>
  <conditionalFormatting sqref="C63">
    <cfRule type="expression" priority="214" dxfId="582">
      <formula>INT(C63)=TODAY()</formula>
    </cfRule>
  </conditionalFormatting>
  <conditionalFormatting sqref="C67">
    <cfRule type="expression" priority="134" dxfId="585">
      <formula>AND(C65=E65,C65&lt;&gt;"")</formula>
    </cfRule>
  </conditionalFormatting>
  <conditionalFormatting sqref="C66:E66">
    <cfRule type="expression" priority="135" dxfId="584">
      <formula>AND(C65=E65,C65&lt;&gt;"",E65&lt;&gt;"")</formula>
    </cfRule>
  </conditionalFormatting>
  <conditionalFormatting sqref="E12">
    <cfRule type="expression" priority="151" dxfId="582">
      <formula>INT(E12)=TODAY()</formula>
    </cfRule>
  </conditionalFormatting>
  <conditionalFormatting sqref="E14">
    <cfRule type="expression" priority="79" dxfId="581">
      <formula>AND(E12&lt;TODAY(),E14="")</formula>
    </cfRule>
  </conditionalFormatting>
  <conditionalFormatting sqref="E19">
    <cfRule type="expression" priority="70" dxfId="581">
      <formula>AND(E17&lt;TODAY(),E19="")</formula>
    </cfRule>
  </conditionalFormatting>
  <conditionalFormatting sqref="E24">
    <cfRule type="expression" priority="54" dxfId="581">
      <formula>AND(E22&lt;TODAY(),E24="")</formula>
    </cfRule>
  </conditionalFormatting>
  <conditionalFormatting sqref="E29">
    <cfRule type="expression" priority="52" dxfId="581">
      <formula>AND(E27&lt;TODAY(),E29="")</formula>
    </cfRule>
  </conditionalFormatting>
  <conditionalFormatting sqref="E34">
    <cfRule type="expression" priority="50" dxfId="581">
      <formula>AND(E32&lt;TODAY(),E34="")</formula>
    </cfRule>
  </conditionalFormatting>
  <conditionalFormatting sqref="E41">
    <cfRule type="expression" priority="48" dxfId="581">
      <formula>AND(E39&lt;TODAY(),E41="")</formula>
    </cfRule>
  </conditionalFormatting>
  <conditionalFormatting sqref="E55">
    <cfRule type="expression" priority="14" dxfId="581">
      <formula>AND(E53&lt;TODAY(),E55="")</formula>
    </cfRule>
  </conditionalFormatting>
  <conditionalFormatting sqref="E57">
    <cfRule type="expression" priority="130" dxfId="585">
      <formula>AND(E55=F55,E55&lt;&gt;"")</formula>
    </cfRule>
  </conditionalFormatting>
  <conditionalFormatting sqref="E65 K65 Q65 W65 H75 T75 N85">
    <cfRule type="expression" priority="215" dxfId="581">
      <formula>AND(C63&lt;TODAY(),E65="")</formula>
    </cfRule>
  </conditionalFormatting>
  <conditionalFormatting sqref="E67">
    <cfRule type="expression" priority="133" dxfId="585">
      <formula>AND(C65=E65,C65&lt;&gt;"")</formula>
    </cfRule>
  </conditionalFormatting>
  <conditionalFormatting sqref="E5:F5">
    <cfRule type="expression" priority="101" dxfId="569">
      <formula>OR($V$46="b",$V$47="b",$V$48="b",$V$49="b")</formula>
    </cfRule>
  </conditionalFormatting>
  <conditionalFormatting sqref="E48:F48">
    <cfRule type="expression" priority="98" dxfId="569">
      <formula>OR($V$46="b",$V$47="b",$V$48="b",$V$49="b")</formula>
    </cfRule>
  </conditionalFormatting>
  <conditionalFormatting sqref="E56:F56">
    <cfRule type="expression" priority="88" dxfId="584">
      <formula>AND(E55=F55,E55&lt;&gt;"",F55&lt;&gt;"")</formula>
    </cfRule>
  </conditionalFormatting>
  <conditionalFormatting sqref="F14">
    <cfRule type="expression" priority="80" dxfId="581">
      <formula>AND(E12&lt;TODAY(),F14="")</formula>
    </cfRule>
  </conditionalFormatting>
  <conditionalFormatting sqref="F19">
    <cfRule type="expression" priority="69" dxfId="581">
      <formula>AND(E17&lt;TODAY(),F19="")</formula>
    </cfRule>
  </conditionalFormatting>
  <conditionalFormatting sqref="F24">
    <cfRule type="expression" priority="53" dxfId="581">
      <formula>AND(E22&lt;TODAY(),F24="")</formula>
    </cfRule>
  </conditionalFormatting>
  <conditionalFormatting sqref="F29">
    <cfRule type="expression" priority="51" dxfId="581">
      <formula>AND(E27&lt;TODAY(),F29="")</formula>
    </cfRule>
  </conditionalFormatting>
  <conditionalFormatting sqref="F34">
    <cfRule type="expression" priority="49" dxfId="581">
      <formula>AND(E32&lt;TODAY(),F34="")</formula>
    </cfRule>
  </conditionalFormatting>
  <conditionalFormatting sqref="F41">
    <cfRule type="expression" priority="47" dxfId="581">
      <formula>AND(E39&lt;TODAY(),F41="")</formula>
    </cfRule>
  </conditionalFormatting>
  <conditionalFormatting sqref="F55">
    <cfRule type="expression" priority="13" dxfId="581">
      <formula>AND(E53&lt;TODAY(),F55="")</formula>
    </cfRule>
  </conditionalFormatting>
  <conditionalFormatting sqref="F57">
    <cfRule type="expression" priority="131" dxfId="585">
      <formula>AND(E55=F55,E55&lt;&gt;"")</formula>
    </cfRule>
  </conditionalFormatting>
  <conditionalFormatting sqref="F73">
    <cfRule type="expression" priority="140" dxfId="582">
      <formula>INT(F73)=TODAY()</formula>
    </cfRule>
  </conditionalFormatting>
  <conditionalFormatting sqref="F77">
    <cfRule type="expression" priority="111" dxfId="585">
      <formula>AND(F75=H75,F75&lt;&gt;"")</formula>
    </cfRule>
  </conditionalFormatting>
  <conditionalFormatting sqref="F76:H76">
    <cfRule type="expression" priority="82" dxfId="584">
      <formula>AND(F75=H75,F75&lt;&gt;"",H75&lt;&gt;"")</formula>
    </cfRule>
  </conditionalFormatting>
  <conditionalFormatting sqref="H12 K12">
    <cfRule type="expression" priority="150" dxfId="582">
      <formula>INT(H12)=TODAY()</formula>
    </cfRule>
  </conditionalFormatting>
  <conditionalFormatting sqref="H14">
    <cfRule type="expression" priority="77" dxfId="581">
      <formula>AND(H12&lt;TODAY(),H14="")</formula>
    </cfRule>
  </conditionalFormatting>
  <conditionalFormatting sqref="H19">
    <cfRule type="expression" priority="68" dxfId="581">
      <formula>AND(H17&lt;TODAY(),H19="")</formula>
    </cfRule>
  </conditionalFormatting>
  <conditionalFormatting sqref="H24">
    <cfRule type="expression" priority="46" dxfId="581">
      <formula>AND(H22&lt;TODAY(),H24="")</formula>
    </cfRule>
  </conditionalFormatting>
  <conditionalFormatting sqref="H29">
    <cfRule type="expression" priority="44" dxfId="581">
      <formula>AND(H27&lt;TODAY(),H29="")</formula>
    </cfRule>
  </conditionalFormatting>
  <conditionalFormatting sqref="H34">
    <cfRule type="expression" priority="42" dxfId="581">
      <formula>AND(H32&lt;TODAY(),H34="")</formula>
    </cfRule>
  </conditionalFormatting>
  <conditionalFormatting sqref="H41">
    <cfRule type="expression" priority="40" dxfId="581">
      <formula>AND(H39&lt;TODAY(),H41="")</formula>
    </cfRule>
  </conditionalFormatting>
  <conditionalFormatting sqref="H55">
    <cfRule type="expression" priority="12" dxfId="581">
      <formula>AND(H53&lt;TODAY(),H55="")</formula>
    </cfRule>
  </conditionalFormatting>
  <conditionalFormatting sqref="H57">
    <cfRule type="expression" priority="128" dxfId="585">
      <formula>AND(H55=I55,H55&lt;&gt;"")</formula>
    </cfRule>
  </conditionalFormatting>
  <conditionalFormatting sqref="H77">
    <cfRule type="expression" priority="110" dxfId="585">
      <formula>AND(F75=H75,F75&lt;&gt;"")</formula>
    </cfRule>
  </conditionalFormatting>
  <conditionalFormatting sqref="H5:I5">
    <cfRule type="expression" priority="102" dxfId="569">
      <formula>OR($V$46="c",$V$47="c",$V$48="c",$V$49="c")</formula>
    </cfRule>
  </conditionalFormatting>
  <conditionalFormatting sqref="H48:I48">
    <cfRule type="expression" priority="97" dxfId="569">
      <formula>OR($V$46="c",$V$47="c",$V$48="c",$V$49="c")</formula>
    </cfRule>
  </conditionalFormatting>
  <conditionalFormatting sqref="H56:I56">
    <cfRule type="expression" priority="89" dxfId="584">
      <formula>AND(H55=I55,H55&lt;&gt;"",I55&lt;&gt;"")</formula>
    </cfRule>
  </conditionalFormatting>
  <conditionalFormatting sqref="I14">
    <cfRule type="expression" priority="78" dxfId="581">
      <formula>AND(H12&lt;TODAY(),I14="")</formula>
    </cfRule>
  </conditionalFormatting>
  <conditionalFormatting sqref="I19">
    <cfRule type="expression" priority="67" dxfId="581">
      <formula>AND(H17&lt;TODAY(),I19="")</formula>
    </cfRule>
  </conditionalFormatting>
  <conditionalFormatting sqref="I24">
    <cfRule type="expression" priority="45" dxfId="581">
      <formula>AND(H22&lt;TODAY(),I24="")</formula>
    </cfRule>
  </conditionalFormatting>
  <conditionalFormatting sqref="I29">
    <cfRule type="expression" priority="43" dxfId="581">
      <formula>AND(H27&lt;TODAY(),I29="")</formula>
    </cfRule>
  </conditionalFormatting>
  <conditionalFormatting sqref="I34">
    <cfRule type="expression" priority="41" dxfId="581">
      <formula>AND(H32&lt;TODAY(),I34="")</formula>
    </cfRule>
  </conditionalFormatting>
  <conditionalFormatting sqref="I41">
    <cfRule type="expression" priority="39" dxfId="581">
      <formula>AND(H39&lt;TODAY(),I41="")</formula>
    </cfRule>
  </conditionalFormatting>
  <conditionalFormatting sqref="I55">
    <cfRule type="expression" priority="11" dxfId="581">
      <formula>AND(H53&lt;TODAY(),I55="")</formula>
    </cfRule>
  </conditionalFormatting>
  <conditionalFormatting sqref="I57">
    <cfRule type="expression" priority="129" dxfId="585">
      <formula>AND(H55=I55,H55&lt;&gt;"")</formula>
    </cfRule>
  </conditionalFormatting>
  <conditionalFormatting sqref="I63">
    <cfRule type="expression" priority="144" dxfId="582">
      <formula>INT(I63)=TODAY()</formula>
    </cfRule>
  </conditionalFormatting>
  <conditionalFormatting sqref="I67">
    <cfRule type="expression" priority="117" dxfId="585">
      <formula>AND(I65=K65,I65&lt;&gt;"")</formula>
    </cfRule>
  </conditionalFormatting>
  <conditionalFormatting sqref="I66:K66">
    <cfRule type="expression" priority="86" dxfId="584">
      <formula>AND(I65=K65,I65&lt;&gt;"",K65&lt;&gt;"")</formula>
    </cfRule>
  </conditionalFormatting>
  <conditionalFormatting sqref="K14">
    <cfRule type="expression" priority="75" dxfId="581">
      <formula>AND(K12&lt;TODAY(),K14="")</formula>
    </cfRule>
  </conditionalFormatting>
  <conditionalFormatting sqref="K19">
    <cfRule type="expression" priority="66" dxfId="581">
      <formula>AND(K17&lt;TODAY(),K19="")</formula>
    </cfRule>
  </conditionalFormatting>
  <conditionalFormatting sqref="K24">
    <cfRule type="expression" priority="38" dxfId="581">
      <formula>AND(K22&lt;TODAY(),K24="")</formula>
    </cfRule>
  </conditionalFormatting>
  <conditionalFormatting sqref="K29">
    <cfRule type="expression" priority="36" dxfId="581">
      <formula>AND(K27&lt;TODAY(),K29="")</formula>
    </cfRule>
  </conditionalFormatting>
  <conditionalFormatting sqref="K34">
    <cfRule type="expression" priority="34" dxfId="581">
      <formula>AND(K32&lt;TODAY(),K34="")</formula>
    </cfRule>
  </conditionalFormatting>
  <conditionalFormatting sqref="K41">
    <cfRule type="expression" priority="32" dxfId="581">
      <formula>AND(K39&lt;TODAY(),K41="")</formula>
    </cfRule>
  </conditionalFormatting>
  <conditionalFormatting sqref="K55">
    <cfRule type="expression" priority="10" dxfId="581">
      <formula>AND(K53&lt;TODAY(),K55="")</formula>
    </cfRule>
  </conditionalFormatting>
  <conditionalFormatting sqref="K57">
    <cfRule type="expression" priority="126" dxfId="585">
      <formula>AND(K55=L55,K55&lt;&gt;"")</formula>
    </cfRule>
  </conditionalFormatting>
  <conditionalFormatting sqref="K67">
    <cfRule type="expression" priority="116" dxfId="585">
      <formula>AND(I65=K65,I65&lt;&gt;"")</formula>
    </cfRule>
  </conditionalFormatting>
  <conditionalFormatting sqref="K5:L5">
    <cfRule type="expression" priority="103" dxfId="569">
      <formula>OR($V$46="D",$V$47="d",$V$48="d",$V$49="d")</formula>
    </cfRule>
  </conditionalFormatting>
  <conditionalFormatting sqref="K48:L48">
    <cfRule type="expression" priority="96" dxfId="569">
      <formula>OR($V$46="d",$V$47="d",$V$48="d",$V$49="d")</formula>
    </cfRule>
  </conditionalFormatting>
  <conditionalFormatting sqref="K56:L56">
    <cfRule type="expression" priority="90" dxfId="584">
      <formula>AND(K55=L55,K55&lt;&gt;"",L55&lt;&gt;"")</formula>
    </cfRule>
  </conditionalFormatting>
  <conditionalFormatting sqref="L14">
    <cfRule type="expression" priority="76" dxfId="581">
      <formula>AND(K12&lt;TODAY(),L14="")</formula>
    </cfRule>
  </conditionalFormatting>
  <conditionalFormatting sqref="L19">
    <cfRule type="expression" priority="65" dxfId="581">
      <formula>AND(K17&lt;TODAY(),L19="")</formula>
    </cfRule>
  </conditionalFormatting>
  <conditionalFormatting sqref="L24">
    <cfRule type="expression" priority="37" dxfId="581">
      <formula>AND(K22&lt;TODAY(),L24="")</formula>
    </cfRule>
  </conditionalFormatting>
  <conditionalFormatting sqref="L29">
    <cfRule type="expression" priority="35" dxfId="581">
      <formula>AND(K27&lt;TODAY(),L29="")</formula>
    </cfRule>
  </conditionalFormatting>
  <conditionalFormatting sqref="L34">
    <cfRule type="expression" priority="33" dxfId="581">
      <formula>AND(K32&lt;TODAY(),L34="")</formula>
    </cfRule>
  </conditionalFormatting>
  <conditionalFormatting sqref="L41">
    <cfRule type="expression" priority="31" dxfId="581">
      <formula>AND(K39&lt;TODAY(),L41="")</formula>
    </cfRule>
  </conditionalFormatting>
  <conditionalFormatting sqref="L55">
    <cfRule type="expression" priority="9" dxfId="581">
      <formula>AND(K53&lt;TODAY(),L55="")</formula>
    </cfRule>
  </conditionalFormatting>
  <conditionalFormatting sqref="L57">
    <cfRule type="expression" priority="127" dxfId="585">
      <formula>AND(K55=L55,K55&lt;&gt;"")</formula>
    </cfRule>
  </conditionalFormatting>
  <conditionalFormatting sqref="L75:L77">
    <cfRule type="expression" priority="219" dxfId="582">
      <formula>AND(L75=TODAY())</formula>
    </cfRule>
  </conditionalFormatting>
  <conditionalFormatting sqref="L83">
    <cfRule type="expression" priority="139" dxfId="582">
      <formula>INT(L83)=TODAY()</formula>
    </cfRule>
  </conditionalFormatting>
  <conditionalFormatting sqref="L87">
    <cfRule type="expression" priority="107" dxfId="585">
      <formula>AND(L85=N85,L85&lt;&gt;"")</formula>
    </cfRule>
  </conditionalFormatting>
  <conditionalFormatting sqref="L86:N86">
    <cfRule type="expression" priority="81" dxfId="584">
      <formula>AND(L85=N85,L85&lt;&gt;"",N85&lt;&gt;"")</formula>
    </cfRule>
  </conditionalFormatting>
  <conditionalFormatting sqref="N12 Q12">
    <cfRule type="expression" priority="149" dxfId="582">
      <formula>INT(N12)=TODAY()</formula>
    </cfRule>
  </conditionalFormatting>
  <conditionalFormatting sqref="N14">
    <cfRule type="expression" priority="73" dxfId="581">
      <formula>AND(N12&lt;TODAY(),N14="")</formula>
    </cfRule>
  </conditionalFormatting>
  <conditionalFormatting sqref="N19">
    <cfRule type="expression" priority="64" dxfId="581">
      <formula>AND(N17&lt;TODAY(),N19="")</formula>
    </cfRule>
  </conditionalFormatting>
  <conditionalFormatting sqref="N24">
    <cfRule type="expression" priority="30" dxfId="581">
      <formula>AND(N22&lt;TODAY(),N24="")</formula>
    </cfRule>
  </conditionalFormatting>
  <conditionalFormatting sqref="N29">
    <cfRule type="expression" priority="28" dxfId="581">
      <formula>AND(N27&lt;TODAY(),N29="")</formula>
    </cfRule>
  </conditionalFormatting>
  <conditionalFormatting sqref="N34">
    <cfRule type="expression" priority="26" dxfId="581">
      <formula>AND(N32&lt;TODAY(),N34="")</formula>
    </cfRule>
  </conditionalFormatting>
  <conditionalFormatting sqref="N41">
    <cfRule type="expression" priority="24" dxfId="581">
      <formula>AND(N39&lt;TODAY(),N41="")</formula>
    </cfRule>
  </conditionalFormatting>
  <conditionalFormatting sqref="N55">
    <cfRule type="expression" priority="8" dxfId="581">
      <formula>AND(N53&lt;TODAY(),N55="")</formula>
    </cfRule>
  </conditionalFormatting>
  <conditionalFormatting sqref="N57">
    <cfRule type="expression" priority="124" dxfId="585">
      <formula>AND(N55=O55,N55&lt;&gt;"")</formula>
    </cfRule>
  </conditionalFormatting>
  <conditionalFormatting sqref="N87">
    <cfRule type="expression" priority="106" dxfId="585">
      <formula>AND(L85=N85,L85&lt;&gt;"")</formula>
    </cfRule>
  </conditionalFormatting>
  <conditionalFormatting sqref="N5:O5">
    <cfRule type="expression" priority="104" dxfId="569">
      <formula>OR($V$46="E",$V$47="E",$V$48="E",$V$49="E")</formula>
    </cfRule>
  </conditionalFormatting>
  <conditionalFormatting sqref="N48:O48">
    <cfRule type="expression" priority="95" dxfId="569">
      <formula>OR($V$46="e",$V$47="e",$V$48="e",$V$49="e")</formula>
    </cfRule>
  </conditionalFormatting>
  <conditionalFormatting sqref="N56:O56">
    <cfRule type="expression" priority="91" dxfId="584">
      <formula>AND(N55=O55,N55&lt;&gt;"",O55&lt;&gt;"")</formula>
    </cfRule>
  </conditionalFormatting>
  <conditionalFormatting sqref="O14">
    <cfRule type="expression" priority="74" dxfId="581">
      <formula>AND(N12&lt;TODAY(),O14="")</formula>
    </cfRule>
  </conditionalFormatting>
  <conditionalFormatting sqref="O19">
    <cfRule type="expression" priority="63" dxfId="581">
      <formula>AND(N17&lt;TODAY(),O19="")</formula>
    </cfRule>
  </conditionalFormatting>
  <conditionalFormatting sqref="O24">
    <cfRule type="expression" priority="29" dxfId="581">
      <formula>AND(N22&lt;TODAY(),O24="")</formula>
    </cfRule>
  </conditionalFormatting>
  <conditionalFormatting sqref="O29">
    <cfRule type="expression" priority="27" dxfId="581">
      <formula>AND(N27&lt;TODAY(),O29="")</formula>
    </cfRule>
  </conditionalFormatting>
  <conditionalFormatting sqref="O34">
    <cfRule type="expression" priority="25" dxfId="581">
      <formula>AND(N32&lt;TODAY(),O34="")</formula>
    </cfRule>
  </conditionalFormatting>
  <conditionalFormatting sqref="O41">
    <cfRule type="expression" priority="23" dxfId="581">
      <formula>AND(N39&lt;TODAY(),O41="")</formula>
    </cfRule>
  </conditionalFormatting>
  <conditionalFormatting sqref="O55">
    <cfRule type="expression" priority="7" dxfId="581">
      <formula>AND(N53&lt;TODAY(),O55="")</formula>
    </cfRule>
  </conditionalFormatting>
  <conditionalFormatting sqref="O57">
    <cfRule type="expression" priority="125" dxfId="585">
      <formula>AND(N55=O55,N55&lt;&gt;"")</formula>
    </cfRule>
  </conditionalFormatting>
  <conditionalFormatting sqref="O63">
    <cfRule type="expression" priority="143" dxfId="582">
      <formula>INT(O63)=TODAY()</formula>
    </cfRule>
  </conditionalFormatting>
  <conditionalFormatting sqref="O67">
    <cfRule type="expression" priority="115" dxfId="585">
      <formula>AND(O65=Q65,O65&lt;&gt;"")</formula>
    </cfRule>
  </conditionalFormatting>
  <conditionalFormatting sqref="O66:Q66">
    <cfRule type="expression" priority="85" dxfId="584">
      <formula>AND(O65=Q65,O65&lt;&gt;"",Q65&lt;&gt;"")</formula>
    </cfRule>
  </conditionalFormatting>
  <conditionalFormatting sqref="Q14">
    <cfRule type="expression" priority="71" dxfId="581">
      <formula>AND(Q12&lt;TODAY(),Q14="")</formula>
    </cfRule>
  </conditionalFormatting>
  <conditionalFormatting sqref="Q19">
    <cfRule type="expression" priority="62" dxfId="581">
      <formula>AND(Q17&lt;TODAY(),Q19="")</formula>
    </cfRule>
  </conditionalFormatting>
  <conditionalFormatting sqref="Q24">
    <cfRule type="expression" priority="22" dxfId="581">
      <formula>AND(Q22&lt;TODAY(),Q24="")</formula>
    </cfRule>
  </conditionalFormatting>
  <conditionalFormatting sqref="Q29">
    <cfRule type="expression" priority="20" dxfId="581">
      <formula>AND(Q27&lt;TODAY(),Q29="")</formula>
    </cfRule>
  </conditionalFormatting>
  <conditionalFormatting sqref="Q34">
    <cfRule type="expression" priority="18" dxfId="581">
      <formula>AND(Q32&lt;TODAY(),Q34="")</formula>
    </cfRule>
  </conditionalFormatting>
  <conditionalFormatting sqref="Q41">
    <cfRule type="expression" priority="16" dxfId="581">
      <formula>AND(Q39&lt;TODAY(),Q41="")</formula>
    </cfRule>
  </conditionalFormatting>
  <conditionalFormatting sqref="Q55">
    <cfRule type="expression" priority="6" dxfId="581">
      <formula>AND(Q53&lt;TODAY(),Q55="")</formula>
    </cfRule>
  </conditionalFormatting>
  <conditionalFormatting sqref="Q57">
    <cfRule type="expression" priority="122" dxfId="585">
      <formula>AND(Q55=R55,Q55&lt;&gt;"")</formula>
    </cfRule>
  </conditionalFormatting>
  <conditionalFormatting sqref="Q67">
    <cfRule type="expression" priority="114" dxfId="585">
      <formula>AND(O65=Q65,O65&lt;&gt;"")</formula>
    </cfRule>
  </conditionalFormatting>
  <conditionalFormatting sqref="Q5:R5">
    <cfRule type="expression" priority="105" dxfId="569">
      <formula>OR($V$46="F",$V$47="F",$V$48="F",$V$49="F")</formula>
    </cfRule>
  </conditionalFormatting>
  <conditionalFormatting sqref="Q48:R48">
    <cfRule type="expression" priority="94" dxfId="569">
      <formula>OR($V$46="F",$V$47="F",$V$48="F",$V$49="F")</formula>
    </cfRule>
  </conditionalFormatting>
  <conditionalFormatting sqref="Q56:R56">
    <cfRule type="expression" priority="132" dxfId="584">
      <formula>AND(Q55=R55,Q55&lt;&gt;"",R55&lt;&gt;"")</formula>
    </cfRule>
  </conditionalFormatting>
  <conditionalFormatting sqref="R14">
    <cfRule type="expression" priority="72" dxfId="581">
      <formula>AND(Q12&lt;TODAY(),R14="")</formula>
    </cfRule>
  </conditionalFormatting>
  <conditionalFormatting sqref="R19">
    <cfRule type="expression" priority="61" dxfId="581">
      <formula>AND(Q17&lt;TODAY(),R19="")</formula>
    </cfRule>
  </conditionalFormatting>
  <conditionalFormatting sqref="R24">
    <cfRule type="expression" priority="21" dxfId="581">
      <formula>AND(Q22&lt;TODAY(),R24="")</formula>
    </cfRule>
  </conditionalFormatting>
  <conditionalFormatting sqref="R29">
    <cfRule type="expression" priority="19" dxfId="581">
      <formula>AND(Q27&lt;TODAY(),R29="")</formula>
    </cfRule>
  </conditionalFormatting>
  <conditionalFormatting sqref="R34">
    <cfRule type="expression" priority="17" dxfId="581">
      <formula>AND(Q32&lt;TODAY(),R34="")</formula>
    </cfRule>
  </conditionalFormatting>
  <conditionalFormatting sqref="R41">
    <cfRule type="expression" priority="15" dxfId="581">
      <formula>AND(Q39&lt;TODAY(),R41="")</formula>
    </cfRule>
  </conditionalFormatting>
  <conditionalFormatting sqref="R55">
    <cfRule type="expression" priority="5" dxfId="581">
      <formula>AND(Q53&lt;TODAY(),R55="")</formula>
    </cfRule>
  </conditionalFormatting>
  <conditionalFormatting sqref="R57">
    <cfRule type="expression" priority="123" dxfId="585">
      <formula>AND(Q55=R55,Q55&lt;&gt;"")</formula>
    </cfRule>
  </conditionalFormatting>
  <conditionalFormatting sqref="R73">
    <cfRule type="expression" priority="141" dxfId="582">
      <formula>INT(R73)=TODAY()</formula>
    </cfRule>
  </conditionalFormatting>
  <conditionalFormatting sqref="R77">
    <cfRule type="expression" priority="109" dxfId="585">
      <formula>AND(R75=T75,R75&lt;&gt;"")</formula>
    </cfRule>
  </conditionalFormatting>
  <conditionalFormatting sqref="R76:T76">
    <cfRule type="expression" priority="83" dxfId="584">
      <formula>AND(R75=T75,R75&lt;&gt;"",T75&lt;&gt;"")</formula>
    </cfRule>
  </conditionalFormatting>
  <conditionalFormatting sqref="T16">
    <cfRule type="expression" priority="138" dxfId="582">
      <formula>AND(T16=TODAY())</formula>
    </cfRule>
  </conditionalFormatting>
  <conditionalFormatting sqref="T55">
    <cfRule type="expression" priority="4" dxfId="581">
      <formula>AND(T53&lt;TODAY(),T55="")</formula>
    </cfRule>
  </conditionalFormatting>
  <conditionalFormatting sqref="T57">
    <cfRule type="expression" priority="120" dxfId="585">
      <formula>AND(T55=U55,T55&lt;&gt;"")</formula>
    </cfRule>
  </conditionalFormatting>
  <conditionalFormatting sqref="T77">
    <cfRule type="expression" priority="108" dxfId="585">
      <formula>AND(R75=T75,R75&lt;&gt;"")</formula>
    </cfRule>
  </conditionalFormatting>
  <conditionalFormatting sqref="T56:U56">
    <cfRule type="expression" priority="93" dxfId="584">
      <formula>AND(T55=U55,T55&lt;&gt;"",U55&lt;&gt;"")</formula>
    </cfRule>
  </conditionalFormatting>
  <conditionalFormatting sqref="U55">
    <cfRule type="expression" priority="3" dxfId="581">
      <formula>AND(T53&lt;TODAY(),U55="")</formula>
    </cfRule>
  </conditionalFormatting>
  <conditionalFormatting sqref="U57">
    <cfRule type="expression" priority="121" dxfId="585">
      <formula>AND(T55=U55,T55&lt;&gt;"")</formula>
    </cfRule>
  </conditionalFormatting>
  <conditionalFormatting sqref="U63">
    <cfRule type="expression" priority="142" dxfId="582">
      <formula>INT(U63)=TODAY()</formula>
    </cfRule>
  </conditionalFormatting>
  <conditionalFormatting sqref="U67">
    <cfRule type="expression" priority="113" dxfId="585">
      <formula>AND(U65=W65,U65&lt;&gt;"")</formula>
    </cfRule>
  </conditionalFormatting>
  <conditionalFormatting sqref="U66:W66">
    <cfRule type="expression" priority="84" dxfId="584">
      <formula>AND(U65=W65,U65&lt;&gt;"",W65&lt;&gt;"")</formula>
    </cfRule>
  </conditionalFormatting>
  <conditionalFormatting sqref="V53">
    <cfRule type="expression" priority="216" dxfId="582">
      <formula>AND(V53=TODAY())</formula>
    </cfRule>
  </conditionalFormatting>
  <conditionalFormatting sqref="W55">
    <cfRule type="expression" priority="2" dxfId="581">
      <formula>AND(W53&lt;TODAY(),W55="")</formula>
    </cfRule>
  </conditionalFormatting>
  <conditionalFormatting sqref="W57">
    <cfRule type="expression" priority="118" dxfId="585">
      <formula>AND(W55=X55,W55&lt;&gt;"")</formula>
    </cfRule>
  </conditionalFormatting>
  <conditionalFormatting sqref="W67">
    <cfRule type="expression" priority="112" dxfId="585">
      <formula>AND(U65=W65,U65&lt;&gt;"")</formula>
    </cfRule>
  </conditionalFormatting>
  <conditionalFormatting sqref="W56:X56">
    <cfRule type="expression" priority="92" dxfId="584">
      <formula>AND(W55=X55,W55&lt;&gt;"",X55&lt;&gt;"")</formula>
    </cfRule>
  </conditionalFormatting>
  <conditionalFormatting sqref="X55">
    <cfRule type="expression" priority="1" dxfId="581">
      <formula>AND(W53&lt;TODAY(),X55="")</formula>
    </cfRule>
  </conditionalFormatting>
  <conditionalFormatting sqref="X57">
    <cfRule type="expression" priority="119" dxfId="585">
      <formula>AND(W55=X55,W55&lt;&gt;"")</formula>
    </cfRule>
  </conditionalFormatting>
  <conditionalFormatting sqref="B7">
    <cfRule type="expression" priority="221" dxfId="584">
      <formula>Distinctness!$D$4&gt;0</formula>
    </cfRule>
  </conditionalFormatting>
  <conditionalFormatting sqref="B35:C35">
    <cfRule type="expression" priority="222" dxfId="584">
      <formula>GrpA!$Y$11&gt;0</formula>
    </cfRule>
  </conditionalFormatting>
  <conditionalFormatting sqref="B36:C36">
    <cfRule type="expression" priority="224" dxfId="585">
      <formula>GrpA!$Y$11&gt;0</formula>
    </cfRule>
  </conditionalFormatting>
  <conditionalFormatting sqref="B42:C42">
    <cfRule type="expression" priority="223" dxfId="584">
      <formula>GrpA!$Y$12&gt;0</formula>
    </cfRule>
  </conditionalFormatting>
  <conditionalFormatting sqref="B43:C43">
    <cfRule type="expression" priority="225" dxfId="585">
      <formula>GrpA!$Y$12&gt;0</formula>
    </cfRule>
  </conditionalFormatting>
  <conditionalFormatting sqref="E35:F35">
    <cfRule type="expression" priority="226" dxfId="584">
      <formula>GrpB!$Y$11&gt;0</formula>
    </cfRule>
  </conditionalFormatting>
  <conditionalFormatting sqref="E36:F36">
    <cfRule type="expression" priority="228" dxfId="585">
      <formula>GrpB!$Y$11&gt;0</formula>
    </cfRule>
  </conditionalFormatting>
  <conditionalFormatting sqref="E42:F42">
    <cfRule type="expression" priority="227" dxfId="584">
      <formula>GrpB!$Y$12&gt;0</formula>
    </cfRule>
  </conditionalFormatting>
  <conditionalFormatting sqref="E43:F43">
    <cfRule type="expression" priority="229" dxfId="585">
      <formula>GrpB!$Y$12&gt;0</formula>
    </cfRule>
  </conditionalFormatting>
  <conditionalFormatting sqref="H35:I35">
    <cfRule type="expression" priority="230" dxfId="584">
      <formula>GrpC!$Y$11&gt;0</formula>
    </cfRule>
  </conditionalFormatting>
  <conditionalFormatting sqref="H36:I36">
    <cfRule type="expression" priority="232" dxfId="585">
      <formula>GrpC!$Y$11&gt;0</formula>
    </cfRule>
  </conditionalFormatting>
  <conditionalFormatting sqref="H42:I42">
    <cfRule type="expression" priority="231" dxfId="584">
      <formula>GrpC!$Y$12&gt;0</formula>
    </cfRule>
  </conditionalFormatting>
  <conditionalFormatting sqref="H43:I43">
    <cfRule type="expression" priority="233" dxfId="585">
      <formula>GrpC!$Y$12&gt;0</formula>
    </cfRule>
  </conditionalFormatting>
  <conditionalFormatting sqref="K35:L35">
    <cfRule type="expression" priority="234" dxfId="584">
      <formula>GrpD!$Y$11&gt;0</formula>
    </cfRule>
  </conditionalFormatting>
  <conditionalFormatting sqref="K36:L36">
    <cfRule type="expression" priority="236" dxfId="585">
      <formula>GrpD!$Y$11&gt;0</formula>
    </cfRule>
  </conditionalFormatting>
  <conditionalFormatting sqref="K42:L42">
    <cfRule type="expression" priority="235" dxfId="584">
      <formula>GrpD!$Y$12&gt;0</formula>
    </cfRule>
  </conditionalFormatting>
  <conditionalFormatting sqref="K43:L43">
    <cfRule type="expression" priority="237" dxfId="585">
      <formula>GrpD!$Y$12&gt;0</formula>
    </cfRule>
  </conditionalFormatting>
  <conditionalFormatting sqref="N35:O35">
    <cfRule type="expression" priority="238" dxfId="584">
      <formula>GrpE!$Y$11&gt;0</formula>
    </cfRule>
  </conditionalFormatting>
  <conditionalFormatting sqref="N36:O36">
    <cfRule type="expression" priority="240" dxfId="585">
      <formula>GrpE!$Y$11&gt;0</formula>
    </cfRule>
  </conditionalFormatting>
  <conditionalFormatting sqref="N42:O42">
    <cfRule type="expression" priority="239" dxfId="584">
      <formula>GrpE!$Y$12&gt;0</formula>
    </cfRule>
  </conditionalFormatting>
  <conditionalFormatting sqref="N43:O43">
    <cfRule type="expression" priority="241" dxfId="585">
      <formula>GrpE!$Y$12&gt;0</formula>
    </cfRule>
  </conditionalFormatting>
  <conditionalFormatting sqref="Q35:R35">
    <cfRule type="expression" priority="242" dxfId="584">
      <formula>GrpF!$Y$11&gt;0</formula>
    </cfRule>
  </conditionalFormatting>
  <conditionalFormatting sqref="Q36:R36">
    <cfRule type="expression" priority="244" dxfId="585">
      <formula>GrpF!$Y$11&gt;0</formula>
    </cfRule>
  </conditionalFormatting>
  <conditionalFormatting sqref="Q42:R42">
    <cfRule type="expression" priority="243" dxfId="584">
      <formula>GrpF!$Y$12&gt;0</formula>
    </cfRule>
  </conditionalFormatting>
  <conditionalFormatting sqref="Q43:R43">
    <cfRule type="expression" priority="245" dxfId="585">
      <formula>GrpF!$Y$12&gt;0</formula>
    </cfRule>
  </conditionalFormatting>
  <dataValidations count="2">
    <dataValidation type="textLength" operator="lessThanOrEqual" allowBlank="1" showInputMessage="1" showErrorMessage="1" sqref="V46:V49 Y48:Y49">
      <formula1>1</formula1>
    </dataValidation>
    <dataValidation type="whole" allowBlank="1" showInputMessage="1" showErrorMessage="1"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formula1>0</formula1>
      <formula2>99</formula2>
    </dataValidation>
  </dataValidations>
  <hyperlinks>
    <hyperlink ref="T92" r:id="rId1" display="https://hermann-baum.de/excel/UEFA_EURO/en/"/>
    <hyperlink ref="T92:X92" r:id="rId2" display="https://hermann-baum.de/excel/UEFA_EURO/en/"/>
  </hyperlinks>
  <pageMargins left="0.7" right="0.7" top="0.787401575" bottom="0.787401575" header="0.3" footer="0.3"/>
  <pageSetup orientation="portrait" paperSize="9" r:id="rId4"/>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topLeftCell="A1">
      <selection pane="topLeft" activeCell="B10" sqref="B10"/>
    </sheetView>
  </sheetViews>
  <sheetFormatPr defaultRowHeight="14.5"/>
  <cols>
    <col min="1" max="1" width="78.4285714285714" customWidth="1"/>
    <col min="2" max="2" width="61.5714285714286" customWidth="1"/>
  </cols>
  <sheetData>
    <row r="1" spans="1:2" ht="14.5">
      <c r="A1" s="703" t="s">
        <v>1783</v>
      </c>
      <c r="B1" s="704" t="s">
        <v>1784</v>
      </c>
    </row>
    <row r="2" spans="1:2" ht="14.5">
      <c r="A2" s="705" t="s">
        <v>1785</v>
      </c>
      <c r="B2" s="706" t="s">
        <v>1800</v>
      </c>
    </row>
    <row r="3" spans="1:2" ht="14.5">
      <c r="A3" s="706" t="s">
        <v>1786</v>
      </c>
      <c r="B3" s="705" t="s">
        <v>1795</v>
      </c>
    </row>
    <row r="4" spans="1:2" ht="14.5">
      <c r="A4" s="705" t="s">
        <v>1787</v>
      </c>
      <c r="B4" s="706" t="s">
        <v>1796</v>
      </c>
    </row>
    <row r="5" spans="1:2" ht="14.5">
      <c r="A5" s="706" t="s">
        <v>1790</v>
      </c>
      <c r="B5" s="705" t="s">
        <v>1797</v>
      </c>
    </row>
    <row r="6" spans="1:2" ht="14.5">
      <c r="A6" s="705" t="s">
        <v>1791</v>
      </c>
      <c r="B6" s="706" t="s">
        <v>1798</v>
      </c>
    </row>
    <row r="7" spans="1:2" ht="14.5">
      <c r="A7" s="706" t="s">
        <v>1792</v>
      </c>
      <c r="B7" s="705" t="s">
        <v>1799</v>
      </c>
    </row>
    <row r="8" spans="1:2" ht="14.5">
      <c r="A8" s="705" t="s">
        <v>1793</v>
      </c>
      <c r="B8" s="706" t="s">
        <v>1788</v>
      </c>
    </row>
    <row r="9" spans="1:2" ht="14.5">
      <c r="A9" s="706" t="s">
        <v>1794</v>
      </c>
      <c r="B9" s="705" t="s">
        <v>1789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Normal="100" zoomScaleSheetLayoutView="85" zoomScalePageLayoutView="75" workbookViewId="0" topLeftCell="A1"/>
  </sheetViews>
  <sheetFormatPr defaultColWidth="11.4542857142857" defaultRowHeight="14.5"/>
  <cols>
    <col min="1" max="1" width="5.14285714285714" customWidth="1"/>
    <col min="2" max="3" width="13.1428571428571" customWidth="1"/>
    <col min="4" max="4" width="5.71428571428571" customWidth="1"/>
    <col min="5" max="6" width="13.1428571428571" customWidth="1"/>
    <col min="7" max="7" width="5.71428571428571" customWidth="1"/>
    <col min="8" max="9" width="13.1428571428571" customWidth="1"/>
    <col min="10" max="10" width="5.71428571428571" customWidth="1"/>
    <col min="11" max="12" width="13.1428571428571" customWidth="1"/>
    <col min="13" max="13" width="5.71428571428571" customWidth="1"/>
    <col min="14" max="15" width="13.1428571428571" customWidth="1"/>
    <col min="16" max="16" width="5.71428571428571" customWidth="1"/>
    <col min="17" max="18" width="13.1428571428571" customWidth="1"/>
    <col min="19" max="19" width="5.71428571428571" customWidth="1"/>
    <col min="20" max="21" width="13.1428571428571" customWidth="1"/>
    <col min="22" max="22" width="5.71428571428571" customWidth="1"/>
    <col min="23" max="24" width="13.1428571428571" customWidth="1"/>
    <col min="25" max="25" width="5.71428571428571" customWidth="1"/>
    <col min="26" max="26" width="3" customWidth="1"/>
  </cols>
  <sheetData>
    <row r="1" spans="2:25" ht="55.5">
      <c r="B1" s="773"/>
      <c r="C1" s="773"/>
      <c r="D1" s="77"/>
      <c r="E1" s="774" t="str">
        <f>EURO!E1</f>
        <v>European Championship 2024</v>
      </c>
      <c r="F1" s="774"/>
      <c r="G1" s="774"/>
      <c r="H1" s="774"/>
      <c r="I1" s="774"/>
      <c r="J1" s="774"/>
      <c r="K1" s="774"/>
      <c r="L1" s="774"/>
      <c r="M1" s="774"/>
      <c r="N1" s="774"/>
      <c r="O1" s="774"/>
      <c r="P1" s="774"/>
      <c r="Q1" s="774"/>
      <c r="R1" s="774"/>
      <c r="S1" s="774"/>
      <c r="T1" s="774"/>
      <c r="U1" s="774"/>
      <c r="V1" s="77"/>
      <c r="W1" s="77"/>
      <c r="X1" s="546" t="str">
        <f>EURO!X1</f>
        <v>hb/vers. 1.8.4
2024-05-21</v>
      </c>
      <c r="Y1" s="23"/>
    </row>
    <row r="2" spans="2:24"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5" ht="14.5">
      <c r="A3" s="4"/>
      <c r="B3" s="418" t="str">
        <v>Hungary</v>
      </c>
      <c r="C3" s="419" t="str">
        <v xml:space="preserve">   7        7 - 3</v>
      </c>
      <c r="D3" s="95" t="str">
        <v/>
      </c>
      <c r="E3" s="418" t="str">
        <v>Croatia</v>
      </c>
      <c r="F3" s="419" t="str">
        <v xml:space="preserve">   7        5 - 2</v>
      </c>
      <c r="G3" s="95" t="str">
        <v/>
      </c>
      <c r="H3" s="418" t="str">
        <v>England</v>
      </c>
      <c r="I3" s="419" t="str">
        <v xml:space="preserve">   5        7 - 3</v>
      </c>
      <c r="J3" s="4" t="str">
        <v/>
      </c>
      <c r="K3" s="418" t="str">
        <v>France</v>
      </c>
      <c r="L3" s="419" t="str">
        <v xml:space="preserve">   9        9 - 1</v>
      </c>
      <c r="M3" s="4" t="str">
        <v/>
      </c>
      <c r="N3" s="418" t="str">
        <v>Belgium</v>
      </c>
      <c r="O3" s="419" t="str">
        <v xml:space="preserve">   7        7 - 2</v>
      </c>
      <c r="P3" s="95" t="str">
        <v/>
      </c>
      <c r="Q3" s="418" t="str">
        <v>Portugal</v>
      </c>
      <c r="R3" s="419" t="str">
        <v xml:space="preserve">   7        6 - 2</v>
      </c>
      <c r="S3" s="4"/>
      <c r="T3" s="303"/>
      <c r="U3" s="303"/>
      <c r="V3" s="303"/>
      <c r="W3" s="303"/>
      <c r="X3" s="303"/>
      <c r="Y3" s="4"/>
    </row>
    <row r="4" spans="1:25" ht="14.5">
      <c r="A4" s="4"/>
      <c r="B4" s="413" t="str">
        <v>Germany</v>
      </c>
      <c r="C4" s="420" t="str">
        <v xml:space="preserve">   7        6 - 3</v>
      </c>
      <c r="D4" s="95" t="str">
        <v/>
      </c>
      <c r="E4" s="413" t="str">
        <v>Spain</v>
      </c>
      <c r="F4" s="420" t="str">
        <v xml:space="preserve">   5        5 - 3</v>
      </c>
      <c r="G4" s="95" t="str">
        <v/>
      </c>
      <c r="H4" s="413" t="str">
        <v>Serbia</v>
      </c>
      <c r="I4" s="420" t="str">
        <v xml:space="preserve">   5        5 - 4</v>
      </c>
      <c r="J4" s="4" t="str">
        <v/>
      </c>
      <c r="K4" s="413" t="str">
        <v>Netherlands</v>
      </c>
      <c r="L4" s="420" t="str">
        <v xml:space="preserve">   6        6 - 3</v>
      </c>
      <c r="M4" s="4" t="str">
        <v/>
      </c>
      <c r="N4" s="413" t="str">
        <v>Ukraine</v>
      </c>
      <c r="O4" s="420" t="str">
        <v xml:space="preserve">   5        4 - 3</v>
      </c>
      <c r="P4" s="95" t="str">
        <v/>
      </c>
      <c r="Q4" s="413" t="str">
        <v>Czechia</v>
      </c>
      <c r="R4" s="420" t="str">
        <v xml:space="preserve">   7        5 - 2</v>
      </c>
      <c r="S4" s="4"/>
      <c r="T4" s="303"/>
      <c r="U4" s="303"/>
      <c r="V4" s="303"/>
      <c r="W4" s="303"/>
      <c r="X4" s="303"/>
      <c r="Y4" s="4"/>
    </row>
    <row r="5" spans="1:25" ht="14.5">
      <c r="A5" s="4"/>
      <c r="B5" s="415" t="str">
        <v>Scotland</v>
      </c>
      <c r="C5" s="416" t="str">
        <v xml:space="preserve">   3        3 - 4</v>
      </c>
      <c r="D5" s="95" t="str">
        <v/>
      </c>
      <c r="E5" s="415" t="str">
        <v>Italy</v>
      </c>
      <c r="F5" s="416" t="str">
        <v xml:space="preserve">   4        6 - 3</v>
      </c>
      <c r="G5" s="95" t="str">
        <v/>
      </c>
      <c r="H5" s="415" t="str">
        <v>Denmark</v>
      </c>
      <c r="I5" s="416" t="str">
        <v xml:space="preserve">   5        3 - 2</v>
      </c>
      <c r="J5" s="4" t="str">
        <v/>
      </c>
      <c r="K5" s="415" t="str">
        <v>Austria</v>
      </c>
      <c r="L5" s="416" t="str">
        <v xml:space="preserve">   1        2 - 7</v>
      </c>
      <c r="M5" s="4" t="str">
        <v/>
      </c>
      <c r="N5" s="415" t="str">
        <v>Slovakia</v>
      </c>
      <c r="O5" s="416" t="str">
        <v xml:space="preserve">   2        3 - 5</v>
      </c>
      <c r="P5" s="95" t="str">
        <v/>
      </c>
      <c r="Q5" s="415" t="str">
        <v>Türkiye</v>
      </c>
      <c r="R5" s="416" t="str">
        <v xml:space="preserve">   3        2 - 4</v>
      </c>
      <c r="S5" s="4"/>
      <c r="T5" s="303"/>
      <c r="U5" s="303"/>
      <c r="V5" s="303"/>
      <c r="W5" s="303"/>
      <c r="X5" s="303"/>
      <c r="Y5" s="4"/>
    </row>
    <row r="6" spans="1:26" ht="14.5">
      <c r="A6" s="80"/>
      <c r="B6" s="414" t="str">
        <v>Switzerland</v>
      </c>
      <c r="C6" s="417" t="str">
        <v xml:space="preserve">   0        0 - 6</v>
      </c>
      <c r="D6" s="96" t="str">
        <v/>
      </c>
      <c r="E6" s="414" t="str">
        <v>Albania</v>
      </c>
      <c r="F6" s="417" t="str">
        <v xml:space="preserve">   0        1 - 9</v>
      </c>
      <c r="G6" s="96" t="str">
        <v/>
      </c>
      <c r="H6" s="414" t="str">
        <v>Slovenia</v>
      </c>
      <c r="I6" s="417" t="str">
        <v xml:space="preserve">   0        1 - 7</v>
      </c>
      <c r="J6" s="80" t="str">
        <v/>
      </c>
      <c r="K6" s="414" t="str">
        <v>Poland</v>
      </c>
      <c r="L6" s="417" t="str">
        <v xml:space="preserve">   1        3 - 9</v>
      </c>
      <c r="M6" s="80" t="str">
        <v/>
      </c>
      <c r="N6" s="414" t="str">
        <v>Romania</v>
      </c>
      <c r="O6" s="417" t="str">
        <v xml:space="preserve">   1        2 - 6</v>
      </c>
      <c r="P6" s="96" t="str">
        <v/>
      </c>
      <c r="Q6" s="414" t="str">
        <v>Georgia</v>
      </c>
      <c r="R6" s="417" t="str">
        <v xml:space="preserve">   0        3 - 8</v>
      </c>
      <c r="S6" s="80"/>
      <c r="T6" s="303"/>
      <c r="U6" s="303"/>
      <c r="V6" s="303"/>
      <c r="W6" s="303"/>
      <c r="X6" s="303"/>
      <c r="Y6" s="80"/>
      <c r="Z6" s="81"/>
    </row>
    <row r="7" spans="1:25" ht="10.5" customHeight="1">
      <c r="A7" s="4"/>
      <c r="B7" s="775"/>
      <c r="C7" s="775"/>
      <c r="D7" s="775"/>
      <c r="E7" s="775"/>
      <c r="F7" s="775"/>
      <c r="G7" s="775"/>
      <c r="H7" s="775"/>
      <c r="I7" s="775"/>
      <c r="J7" s="775"/>
      <c r="K7" s="775"/>
      <c r="L7" s="775"/>
      <c r="M7" s="775"/>
      <c r="N7" s="775"/>
      <c r="O7" s="775"/>
      <c r="P7" s="775"/>
      <c r="Q7" s="775"/>
      <c r="R7" s="775"/>
      <c r="S7" s="229"/>
      <c r="T7" s="229"/>
      <c r="U7" s="229"/>
      <c r="V7" s="229"/>
      <c r="W7" s="229"/>
      <c r="X7" s="229"/>
      <c r="Y7" s="4"/>
    </row>
    <row r="8" spans="2:24" ht="12" customHeight="1">
      <c r="B8" s="776"/>
      <c r="C8" s="776"/>
      <c r="D8" s="120"/>
      <c r="E8" s="776"/>
      <c r="F8" s="776"/>
      <c r="G8" s="120"/>
      <c r="H8" s="776"/>
      <c r="I8" s="776"/>
      <c r="J8" s="120"/>
      <c r="K8" s="776"/>
      <c r="L8" s="776"/>
      <c r="M8" s="19"/>
      <c r="N8" s="776"/>
      <c r="O8" s="776"/>
      <c r="P8" s="120"/>
      <c r="Q8" s="776"/>
      <c r="R8" s="776"/>
      <c r="S8" s="121"/>
      <c r="T8" s="770"/>
      <c r="U8" s="770"/>
      <c r="V8" s="120"/>
      <c r="W8" s="770"/>
      <c r="X8" s="770"/>
    </row>
    <row r="9" spans="2:24" ht="21">
      <c r="B9" s="771" t="str">
        <f>EURO!B9</f>
        <v>Group A</v>
      </c>
      <c r="C9" s="772"/>
      <c r="D9" s="5"/>
      <c r="E9" s="771" t="str">
        <f>EURO!E9</f>
        <v>Group B</v>
      </c>
      <c r="F9" s="772"/>
      <c r="H9" s="771" t="str">
        <f>EURO!H9</f>
        <v>Group C</v>
      </c>
      <c r="I9" s="772"/>
      <c r="K9" s="771" t="str">
        <f>EURO!K9</f>
        <v>Group D</v>
      </c>
      <c r="L9" s="772"/>
      <c r="N9" s="771" t="str">
        <f>EURO!N9</f>
        <v>Group E</v>
      </c>
      <c r="O9" s="772"/>
      <c r="Q9" s="771" t="str">
        <f>EURO!Q9</f>
        <v>Group F</v>
      </c>
      <c r="R9" s="772"/>
      <c r="T9" s="305"/>
      <c r="U9" s="302"/>
      <c r="V9" s="302"/>
      <c r="W9" s="302"/>
      <c r="X9" s="302"/>
    </row>
    <row r="10" spans="2:24" ht="15.75" customHeight="1" thickBot="1">
      <c r="B10" s="52"/>
      <c r="C10" s="52"/>
      <c r="D10" s="5"/>
      <c r="E10" s="52"/>
      <c r="F10" s="52"/>
      <c r="H10" s="52"/>
      <c r="I10" s="52"/>
      <c r="K10" s="52"/>
      <c r="L10" s="52"/>
      <c r="N10" s="52"/>
      <c r="O10" s="52"/>
      <c r="Q10" s="52"/>
      <c r="R10" s="52"/>
      <c r="T10" s="52"/>
      <c r="U10" s="52"/>
      <c r="W10" s="52"/>
      <c r="X10" s="52"/>
    </row>
    <row r="11" spans="1:24" ht="14.5">
      <c r="A11" s="111">
        <f>EURO!A11</f>
        <v>1</v>
      </c>
      <c r="B11" s="731" t="str">
        <f>EURO!B11</f>
        <v>Munich</v>
      </c>
      <c r="C11" s="732"/>
      <c r="D11" s="111">
        <f>EURO!D11</f>
        <v>3</v>
      </c>
      <c r="E11" s="731" t="str">
        <f>EURO!E11</f>
        <v>Berlin</v>
      </c>
      <c r="F11" s="732"/>
      <c r="G11" s="111">
        <f>EURO!G11</f>
        <v>6</v>
      </c>
      <c r="H11" s="731" t="str">
        <f>EURO!H11</f>
        <v>Stuttgart</v>
      </c>
      <c r="I11" s="732"/>
      <c r="J11" s="111">
        <f>EURO!J11</f>
        <v>7</v>
      </c>
      <c r="K11" s="731" t="str">
        <f>EURO!K11</f>
        <v>Hamburg</v>
      </c>
      <c r="L11" s="732"/>
      <c r="M11" s="111">
        <f>EURO!M11</f>
        <v>10</v>
      </c>
      <c r="N11" s="731" t="str">
        <f>EURO!N11</f>
        <v>Munich</v>
      </c>
      <c r="O11" s="732"/>
      <c r="P11" s="111">
        <f>EURO!P11</f>
        <v>11</v>
      </c>
      <c r="Q11" s="731" t="str">
        <f>EURO!Q11</f>
        <v>Dortmund</v>
      </c>
      <c r="R11" s="732"/>
      <c r="S11" s="111"/>
      <c r="T11" s="764" t="str">
        <f>EURO!T11</f>
        <v>Qualification for the Round of 16</v>
      </c>
      <c r="U11" s="765"/>
      <c r="V11" s="765"/>
      <c r="W11" s="765"/>
      <c r="X11" s="766"/>
    </row>
    <row r="12" spans="2:24" ht="14.5">
      <c r="B12" s="722">
        <f>EURO!B12</f>
        <v>45457.875</v>
      </c>
      <c r="C12" s="724"/>
      <c r="E12" s="722">
        <f>EURO!E12</f>
        <v>45458.75</v>
      </c>
      <c r="F12" s="724"/>
      <c r="H12" s="722">
        <f>EURO!H12</f>
        <v>45459.75</v>
      </c>
      <c r="I12" s="724"/>
      <c r="K12" s="722">
        <f>EURO!K12</f>
        <v>45459.625</v>
      </c>
      <c r="L12" s="724"/>
      <c r="N12" s="722">
        <f>EURO!N12</f>
        <v>45460.625</v>
      </c>
      <c r="O12" s="724"/>
      <c r="Q12" s="722">
        <f>EURO!Q12</f>
        <v>45461.75</v>
      </c>
      <c r="R12" s="724"/>
      <c r="T12" s="767"/>
      <c r="U12" s="768"/>
      <c r="V12" s="768"/>
      <c r="W12" s="768"/>
      <c r="X12" s="769"/>
    </row>
    <row r="13" spans="2:24" ht="14.5">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2:24" ht="15" thickBot="1">
      <c r="B14" s="632">
        <v>2</v>
      </c>
      <c r="C14" s="633">
        <v>1</v>
      </c>
      <c r="D14" t="str">
        <v/>
      </c>
      <c r="E14" s="632">
        <v>1</v>
      </c>
      <c r="F14" s="633">
        <v>1</v>
      </c>
      <c r="G14" t="str">
        <v/>
      </c>
      <c r="H14" s="632">
        <v>0</v>
      </c>
      <c r="I14" s="633">
        <v>1</v>
      </c>
      <c r="J14" t="str">
        <v/>
      </c>
      <c r="K14" s="632">
        <v>1</v>
      </c>
      <c r="L14" s="633">
        <v>3</v>
      </c>
      <c r="M14" t="str">
        <v/>
      </c>
      <c r="N14" s="632">
        <v>0</v>
      </c>
      <c r="O14" s="633">
        <v>1</v>
      </c>
      <c r="P14" t="str">
        <v/>
      </c>
      <c r="Q14" s="632">
        <v>2</v>
      </c>
      <c r="R14" s="633">
        <v>1</v>
      </c>
      <c r="T14" s="369"/>
      <c r="U14" s="647"/>
      <c r="V14" s="647"/>
      <c r="W14" s="647"/>
      <c r="X14" s="648"/>
    </row>
    <row r="15" spans="2:24"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4" ht="14.5">
      <c r="A16" s="111">
        <f>EURO!A16</f>
        <v>2</v>
      </c>
      <c r="B16" s="731" t="str">
        <f>EURO!B16</f>
        <v>Cologne</v>
      </c>
      <c r="C16" s="732"/>
      <c r="D16" s="111">
        <f>EURO!D16</f>
        <v>4</v>
      </c>
      <c r="E16" s="731" t="str">
        <f>EURO!E16</f>
        <v>Dortmund</v>
      </c>
      <c r="F16" s="732"/>
      <c r="G16" s="111">
        <f>EURO!G16</f>
        <v>5</v>
      </c>
      <c r="H16" s="731" t="str">
        <f>EURO!H16</f>
        <v>Gelsenkirchen</v>
      </c>
      <c r="I16" s="732"/>
      <c r="J16" s="111">
        <f>EURO!J16</f>
        <v>8</v>
      </c>
      <c r="K16" s="731" t="str">
        <f>EURO!K16</f>
        <v>Dusseldorf</v>
      </c>
      <c r="L16" s="732"/>
      <c r="M16" s="111">
        <f>EURO!M16</f>
        <v>9</v>
      </c>
      <c r="N16" s="731" t="str">
        <f>EURO!N16</f>
        <v>Frankfurt</v>
      </c>
      <c r="O16" s="732"/>
      <c r="P16" s="111">
        <f>EURO!P16</f>
        <v>12</v>
      </c>
      <c r="Q16" s="731" t="str">
        <f>EURO!Q16</f>
        <v>Leipzig</v>
      </c>
      <c r="R16" s="732"/>
      <c r="S16" s="111"/>
      <c r="T16" s="761"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2:24" ht="14.5">
      <c r="B17" s="722">
        <f>EURO!B17</f>
        <v>45458.625</v>
      </c>
      <c r="C17" s="724"/>
      <c r="E17" s="722">
        <f>EURO!E17</f>
        <v>45458.875</v>
      </c>
      <c r="F17" s="724"/>
      <c r="H17" s="722">
        <f>EURO!H17</f>
        <v>45459.875</v>
      </c>
      <c r="I17" s="724"/>
      <c r="K17" s="722">
        <f>EURO!K17</f>
        <v>45460.875</v>
      </c>
      <c r="L17" s="724"/>
      <c r="N17" s="722">
        <f>EURO!N17</f>
        <v>45460.75</v>
      </c>
      <c r="O17" s="724"/>
      <c r="Q17" s="722">
        <f>EURO!Q17</f>
        <v>45461.875</v>
      </c>
      <c r="R17" s="724"/>
      <c r="T17" s="761"/>
      <c r="U17" s="762"/>
      <c r="V17" s="762"/>
      <c r="W17" s="762"/>
      <c r="X17" s="763"/>
    </row>
    <row r="18" spans="2:24" ht="14.5">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61"/>
      <c r="U18" s="762"/>
      <c r="V18" s="762"/>
      <c r="W18" s="762"/>
      <c r="X18" s="763"/>
    </row>
    <row r="19" spans="2:24" ht="15" thickBot="1">
      <c r="B19" s="632">
        <v>3</v>
      </c>
      <c r="C19" s="633">
        <v>0</v>
      </c>
      <c r="D19" t="str">
        <v/>
      </c>
      <c r="E19" s="632">
        <v>4</v>
      </c>
      <c r="F19" s="633">
        <v>0</v>
      </c>
      <c r="G19" t="str">
        <v/>
      </c>
      <c r="H19" s="632">
        <v>2</v>
      </c>
      <c r="I19" s="633">
        <v>2</v>
      </c>
      <c r="J19" t="str">
        <v/>
      </c>
      <c r="K19" s="632">
        <v>0</v>
      </c>
      <c r="L19" s="633">
        <v>3</v>
      </c>
      <c r="M19" t="str">
        <v/>
      </c>
      <c r="N19" s="632">
        <v>2</v>
      </c>
      <c r="O19" s="633">
        <v>0</v>
      </c>
      <c r="P19" t="str">
        <v/>
      </c>
      <c r="Q19" s="632">
        <v>1</v>
      </c>
      <c r="R19" s="633">
        <v>1</v>
      </c>
      <c r="T19" s="761"/>
      <c r="U19" s="762"/>
      <c r="V19" s="762"/>
      <c r="W19" s="762"/>
      <c r="X19" s="763"/>
    </row>
    <row r="20" spans="2:24" ht="28" customHeight="1" thickBot="1">
      <c r="B20" s="22"/>
      <c r="C20" s="22"/>
      <c r="E20" s="22"/>
      <c r="F20" s="22"/>
      <c r="H20" s="22"/>
      <c r="I20" s="22"/>
      <c r="K20" s="22"/>
      <c r="L20" s="22"/>
      <c r="N20" s="22"/>
      <c r="O20" s="22"/>
      <c r="Q20" s="22"/>
      <c r="R20" s="22"/>
      <c r="T20" s="761"/>
      <c r="U20" s="762"/>
      <c r="V20" s="762"/>
      <c r="W20" s="762"/>
      <c r="X20" s="763"/>
    </row>
    <row r="21" spans="1:24" ht="14.5">
      <c r="A21" s="111">
        <f>EURO!A21</f>
        <v>14</v>
      </c>
      <c r="B21" s="731" t="str">
        <f>EURO!B21</f>
        <v>Stuttgart</v>
      </c>
      <c r="C21" s="732"/>
      <c r="D21" s="111">
        <f>EURO!D21</f>
        <v>15</v>
      </c>
      <c r="E21" s="731" t="str">
        <f>EURO!E21</f>
        <v>Hamburg</v>
      </c>
      <c r="F21" s="732"/>
      <c r="G21" s="111">
        <f>EURO!G21</f>
        <v>18</v>
      </c>
      <c r="H21" s="731" t="str">
        <f>EURO!H21</f>
        <v>Munich</v>
      </c>
      <c r="I21" s="732"/>
      <c r="J21" s="111">
        <f>EURO!J21</f>
        <v>19</v>
      </c>
      <c r="K21" s="731" t="str">
        <f>EURO!K21</f>
        <v>Berlin</v>
      </c>
      <c r="L21" s="732"/>
      <c r="M21" s="111">
        <f>EURO!M21</f>
        <v>21</v>
      </c>
      <c r="N21" s="731" t="str">
        <f>EURO!N21</f>
        <v>Dusseldorf</v>
      </c>
      <c r="O21" s="732"/>
      <c r="P21" s="111">
        <f>EURO!P21</f>
        <v>24</v>
      </c>
      <c r="Q21" s="731" t="str">
        <f>EURO!Q21</f>
        <v>Hamburg</v>
      </c>
      <c r="R21" s="732"/>
      <c r="S21" s="111"/>
      <c r="T21" s="761"/>
      <c r="U21" s="762"/>
      <c r="V21" s="762"/>
      <c r="W21" s="762"/>
      <c r="X21" s="763"/>
    </row>
    <row r="22" spans="2:24" ht="14.5">
      <c r="B22" s="722">
        <f>EURO!B22</f>
        <v>45462.75</v>
      </c>
      <c r="C22" s="724"/>
      <c r="E22" s="722">
        <f>EURO!E22</f>
        <v>45462.625</v>
      </c>
      <c r="F22" s="724"/>
      <c r="H22" s="722">
        <f>EURO!H22</f>
        <v>45463.625</v>
      </c>
      <c r="I22" s="724"/>
      <c r="K22" s="722">
        <f>EURO!K22</f>
        <v>45464.75</v>
      </c>
      <c r="L22" s="724"/>
      <c r="N22" s="722">
        <f>EURO!N22</f>
        <v>45464.625</v>
      </c>
      <c r="O22" s="724"/>
      <c r="Q22" s="722">
        <f>EURO!Q22</f>
        <v>45465.625</v>
      </c>
      <c r="R22" s="724"/>
      <c r="T22" s="761"/>
      <c r="U22" s="762"/>
      <c r="V22" s="762"/>
      <c r="W22" s="762"/>
      <c r="X22" s="763"/>
    </row>
    <row r="23" spans="2:24" ht="14.5">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61"/>
      <c r="U23" s="762"/>
      <c r="V23" s="762"/>
      <c r="W23" s="762"/>
      <c r="X23" s="763"/>
    </row>
    <row r="24" spans="2:24" ht="15" thickBot="1">
      <c r="B24" s="632">
        <v>2</v>
      </c>
      <c r="C24" s="633">
        <v>2</v>
      </c>
      <c r="D24" t="str">
        <v/>
      </c>
      <c r="E24" s="632">
        <v>2</v>
      </c>
      <c r="F24" s="633">
        <v>0</v>
      </c>
      <c r="G24" t="str">
        <v/>
      </c>
      <c r="H24" s="632">
        <v>1</v>
      </c>
      <c r="I24" s="633">
        <v>2</v>
      </c>
      <c r="J24" t="str">
        <v/>
      </c>
      <c r="K24" s="632">
        <v>2</v>
      </c>
      <c r="L24" s="633">
        <v>2</v>
      </c>
      <c r="M24" t="str">
        <v/>
      </c>
      <c r="N24" s="632">
        <v>1</v>
      </c>
      <c r="O24" s="633">
        <v>1</v>
      </c>
      <c r="P24" t="str">
        <v/>
      </c>
      <c r="Q24" s="632">
        <v>1</v>
      </c>
      <c r="R24" s="633">
        <v>3</v>
      </c>
      <c r="T24" s="761"/>
      <c r="U24" s="762"/>
      <c r="V24" s="762"/>
      <c r="W24" s="762"/>
      <c r="X24" s="763"/>
    </row>
    <row r="25" spans="2:24" ht="28" customHeight="1" thickBot="1">
      <c r="B25" s="22"/>
      <c r="C25" s="22"/>
      <c r="E25" s="22"/>
      <c r="F25" s="22"/>
      <c r="H25" s="22"/>
      <c r="I25" s="22"/>
      <c r="K25" s="22"/>
      <c r="L25" s="22"/>
      <c r="N25" s="22"/>
      <c r="O25" s="22"/>
      <c r="Q25" s="22"/>
      <c r="R25" s="22"/>
      <c r="T25" s="761"/>
      <c r="U25" s="762"/>
      <c r="V25" s="762"/>
      <c r="W25" s="762"/>
      <c r="X25" s="763"/>
    </row>
    <row r="26" spans="1:24" ht="14.5">
      <c r="A26" s="111">
        <f>EURO!A26</f>
        <v>13</v>
      </c>
      <c r="B26" s="731" t="str">
        <f>EURO!B26</f>
        <v>Cologne</v>
      </c>
      <c r="C26" s="732"/>
      <c r="D26" s="111">
        <f>EURO!D26</f>
        <v>16</v>
      </c>
      <c r="E26" s="731" t="str">
        <f>EURO!E26</f>
        <v>Gelsenkirchen</v>
      </c>
      <c r="F26" s="732"/>
      <c r="G26" s="111">
        <f>EURO!G26</f>
        <v>17</v>
      </c>
      <c r="H26" s="731" t="str">
        <f>EURO!H26</f>
        <v>Frankfurt</v>
      </c>
      <c r="I26" s="732"/>
      <c r="J26" s="111">
        <f>EURO!J26</f>
        <v>20</v>
      </c>
      <c r="K26" s="731" t="str">
        <f>EURO!K26</f>
        <v>Leipzig</v>
      </c>
      <c r="L26" s="732"/>
      <c r="M26" s="111">
        <f>EURO!M26</f>
        <v>22</v>
      </c>
      <c r="N26" s="731" t="str">
        <f>EURO!N26</f>
        <v>Cologne</v>
      </c>
      <c r="O26" s="732"/>
      <c r="P26" s="111">
        <f>EURO!P26</f>
        <v>23</v>
      </c>
      <c r="Q26" s="731" t="str">
        <f>EURO!Q26</f>
        <v>Dortmund</v>
      </c>
      <c r="R26" s="732"/>
      <c r="S26" s="111"/>
      <c r="T26" s="761"/>
      <c r="U26" s="762"/>
      <c r="V26" s="762"/>
      <c r="W26" s="762"/>
      <c r="X26" s="763"/>
    </row>
    <row r="27" spans="2:24" ht="14.5">
      <c r="B27" s="722">
        <f>EURO!B27</f>
        <v>45462.875</v>
      </c>
      <c r="C27" s="724"/>
      <c r="E27" s="722">
        <f>EURO!E27</f>
        <v>45463.875</v>
      </c>
      <c r="F27" s="724"/>
      <c r="H27" s="722">
        <f>EURO!H27</f>
        <v>45463.75</v>
      </c>
      <c r="I27" s="724"/>
      <c r="K27" s="722">
        <f>EURO!K27</f>
        <v>45464.875</v>
      </c>
      <c r="L27" s="724"/>
      <c r="N27" s="722">
        <f>EURO!N27</f>
        <v>45465.875</v>
      </c>
      <c r="O27" s="724"/>
      <c r="Q27" s="722">
        <f>EURO!Q27</f>
        <v>45465.75</v>
      </c>
      <c r="R27" s="724"/>
      <c r="T27" s="761"/>
      <c r="U27" s="762"/>
      <c r="V27" s="762"/>
      <c r="W27" s="762"/>
      <c r="X27" s="763"/>
    </row>
    <row r="28" spans="2:24" ht="14.5">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2:24" ht="15" thickBot="1">
      <c r="B29" s="632">
        <v>1</v>
      </c>
      <c r="C29" s="633">
        <v>0</v>
      </c>
      <c r="D29" t="str">
        <v/>
      </c>
      <c r="E29" s="632">
        <v>1</v>
      </c>
      <c r="F29" s="633">
        <v>1</v>
      </c>
      <c r="G29" t="str">
        <v/>
      </c>
      <c r="H29" s="632">
        <v>1</v>
      </c>
      <c r="I29" s="633">
        <v>1</v>
      </c>
      <c r="J29" t="str">
        <v/>
      </c>
      <c r="K29" s="632">
        <v>1</v>
      </c>
      <c r="L29" s="633">
        <v>2</v>
      </c>
      <c r="M29" t="str">
        <v/>
      </c>
      <c r="N29" s="632">
        <v>3</v>
      </c>
      <c r="O29" s="633">
        <v>0</v>
      </c>
      <c r="P29" t="str">
        <v/>
      </c>
      <c r="Q29" s="632">
        <v>0</v>
      </c>
      <c r="R29" s="633">
        <v>2</v>
      </c>
      <c r="T29" s="365"/>
      <c r="U29" s="366"/>
      <c r="V29" s="366"/>
      <c r="W29" s="366"/>
      <c r="X29" s="367"/>
    </row>
    <row r="30" spans="2:24" ht="28" customHeight="1" thickBot="1">
      <c r="B30" s="22"/>
      <c r="C30" s="22"/>
      <c r="E30" s="22"/>
      <c r="F30" s="22"/>
      <c r="H30" s="22"/>
      <c r="I30" s="22"/>
      <c r="K30" s="22"/>
      <c r="L30" s="22"/>
      <c r="N30" s="22"/>
      <c r="O30" s="22"/>
      <c r="Q30" s="22"/>
      <c r="R30" s="22"/>
      <c r="T30" s="368"/>
      <c r="U30" s="368"/>
      <c r="V30" s="368"/>
      <c r="W30" s="368"/>
      <c r="X30" s="368"/>
    </row>
    <row r="31" spans="1:24" ht="14.5">
      <c r="A31" s="111">
        <f>EURO!A31</f>
        <v>25</v>
      </c>
      <c r="B31" s="731" t="str">
        <f>EURO!B31</f>
        <v>Frankfurt</v>
      </c>
      <c r="C31" s="732"/>
      <c r="D31" s="111">
        <f>EURO!D31</f>
        <v>27</v>
      </c>
      <c r="E31" s="731" t="str">
        <f>EURO!E31</f>
        <v>Dusseldorf</v>
      </c>
      <c r="F31" s="732"/>
      <c r="G31" s="111">
        <f>EURO!G31</f>
        <v>29</v>
      </c>
      <c r="H31" s="731" t="str">
        <f>EURO!H31</f>
        <v>Cologne</v>
      </c>
      <c r="I31" s="732"/>
      <c r="J31" s="111">
        <f>EURO!J31</f>
        <v>31</v>
      </c>
      <c r="K31" s="731" t="str">
        <f>EURO!K31</f>
        <v>Berlin</v>
      </c>
      <c r="L31" s="732"/>
      <c r="M31" s="111">
        <f>EURO!M31</f>
        <v>33</v>
      </c>
      <c r="N31" s="731" t="str">
        <f>EURO!N31</f>
        <v>Frankfurt</v>
      </c>
      <c r="O31" s="732"/>
      <c r="P31" s="111">
        <f>EURO!P31</f>
        <v>35</v>
      </c>
      <c r="Q31" s="731" t="str">
        <f>EURO!Q31</f>
        <v>Gelsenkirchen</v>
      </c>
      <c r="R31" s="732"/>
      <c r="S31" s="111"/>
      <c r="T31" s="752" t="str">
        <f>EURO!T31</f>
        <v>The red dot   •</v>
      </c>
      <c r="U31" s="753"/>
      <c r="V31" s="753"/>
      <c r="W31" s="753"/>
      <c r="X31" s="754"/>
    </row>
    <row r="32" spans="2:24" ht="14.5">
      <c r="B32" s="722">
        <f>EURO!B32</f>
        <v>45466.875</v>
      </c>
      <c r="C32" s="724"/>
      <c r="E32" s="722">
        <f>EURO!E32</f>
        <v>45467.875</v>
      </c>
      <c r="F32" s="724"/>
      <c r="H32" s="722">
        <f>EURO!H32</f>
        <v>45468.875</v>
      </c>
      <c r="I32" s="724"/>
      <c r="K32" s="722">
        <f>EURO!K32</f>
        <v>45468.75</v>
      </c>
      <c r="L32" s="724"/>
      <c r="N32" s="722">
        <f>EURO!N32</f>
        <v>45469.75</v>
      </c>
      <c r="O32" s="724"/>
      <c r="Q32" s="722">
        <f>EURO!Q32</f>
        <v>45469.875</v>
      </c>
      <c r="R32" s="724"/>
      <c r="T32" s="755"/>
      <c r="U32" s="756"/>
      <c r="V32" s="756"/>
      <c r="W32" s="756"/>
      <c r="X32" s="757"/>
    </row>
    <row r="33" spans="2:24" ht="14.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46" t="str">
        <f>EURO!T33</f>
        <v>If a red dot appears above the group name, the ranking order within the group is not clear. Fair play or the overall European Qualifiers Rankings will then decide. In this case, enter Fair Play!</v>
      </c>
      <c r="U33" s="747"/>
      <c r="V33" s="747"/>
      <c r="W33" s="747"/>
      <c r="X33" s="748"/>
    </row>
    <row r="34" spans="2:24" ht="15" thickBot="1">
      <c r="B34" s="632">
        <v>0</v>
      </c>
      <c r="C34" s="633">
        <v>2</v>
      </c>
      <c r="D34" t="str">
        <v/>
      </c>
      <c r="E34" s="632">
        <v>1</v>
      </c>
      <c r="F34" s="633">
        <v>3</v>
      </c>
      <c r="G34" t="str">
        <v/>
      </c>
      <c r="H34" s="632">
        <v>4</v>
      </c>
      <c r="I34" s="633">
        <v>0</v>
      </c>
      <c r="J34" t="str">
        <v/>
      </c>
      <c r="K34" s="632">
        <v>2</v>
      </c>
      <c r="L34" s="633">
        <v>0</v>
      </c>
      <c r="M34" t="str">
        <v/>
      </c>
      <c r="N34" s="632">
        <v>2</v>
      </c>
      <c r="O34" s="633">
        <v>2</v>
      </c>
      <c r="P34" t="str">
        <v/>
      </c>
      <c r="Q34" s="632">
        <v>1</v>
      </c>
      <c r="R34" s="633">
        <v>3</v>
      </c>
      <c r="T34" s="746"/>
      <c r="U34" s="747"/>
      <c r="V34" s="747"/>
      <c r="W34" s="747"/>
      <c r="X34" s="748"/>
    </row>
    <row r="35" spans="2:24" ht="10" customHeight="1">
      <c r="B35" s="727" t="str">
        <f>EURO!B35</f>
        <v>Penalty shoot-out:</v>
      </c>
      <c r="C35" s="728"/>
      <c r="E35" s="727" t="str">
        <f>EURO!E35</f>
        <v>Penalty shoot-out:</v>
      </c>
      <c r="F35" s="728"/>
      <c r="H35" s="727" t="str">
        <f>EURO!H35</f>
        <v>Penalty shoot-out:</v>
      </c>
      <c r="I35" s="728"/>
      <c r="K35" s="727" t="str">
        <f>EURO!K35</f>
        <v>Penalty shoot-out:</v>
      </c>
      <c r="L35" s="728"/>
      <c r="N35" s="727" t="str">
        <f>EURO!N35</f>
        <v>Penalty shoot-out:</v>
      </c>
      <c r="O35" s="728"/>
      <c r="Q35" s="727" t="str">
        <f>EURO!Q35</f>
        <v>Penalty shoot-out:</v>
      </c>
      <c r="R35" s="728"/>
      <c r="T35" s="746"/>
      <c r="U35" s="747"/>
      <c r="V35" s="747"/>
      <c r="W35" s="747"/>
      <c r="X35" s="748"/>
    </row>
    <row r="36" spans="2:24"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49"/>
      <c r="U36" s="750"/>
      <c r="V36" s="750"/>
      <c r="W36" s="750"/>
      <c r="X36" s="751"/>
    </row>
    <row r="37" spans="2:24" ht="28" customHeight="1" thickBot="1">
      <c r="B37" s="726"/>
      <c r="C37" s="726"/>
      <c r="E37" s="726"/>
      <c r="F37" s="726"/>
      <c r="H37" s="726"/>
      <c r="I37" s="726"/>
      <c r="K37" s="726"/>
      <c r="L37" s="726"/>
      <c r="N37" s="726"/>
      <c r="O37" s="726"/>
      <c r="Q37" s="726"/>
      <c r="R37" s="726"/>
      <c r="T37" s="306"/>
      <c r="U37" s="307"/>
      <c r="V37" s="307"/>
      <c r="W37" s="307"/>
      <c r="X37" s="307"/>
    </row>
    <row r="38" spans="1:24" ht="14.5">
      <c r="A38" s="111">
        <f>EURO!A38</f>
        <v>26</v>
      </c>
      <c r="B38" s="731" t="str">
        <f>EURO!B38</f>
        <v>Stuttgart</v>
      </c>
      <c r="C38" s="732"/>
      <c r="D38" s="111">
        <f>EURO!D38</f>
        <v>28</v>
      </c>
      <c r="E38" s="731" t="str">
        <f>EURO!E38</f>
        <v>Leipzig</v>
      </c>
      <c r="F38" s="732"/>
      <c r="G38" s="111">
        <f>EURO!G38</f>
        <v>30</v>
      </c>
      <c r="H38" s="731" t="str">
        <f>EURO!H38</f>
        <v>Munich</v>
      </c>
      <c r="I38" s="732"/>
      <c r="J38" s="111">
        <f>EURO!J38</f>
        <v>32</v>
      </c>
      <c r="K38" s="731" t="str">
        <f>EURO!K38</f>
        <v>Dortmund</v>
      </c>
      <c r="L38" s="732"/>
      <c r="M38" s="111">
        <f>EURO!M38</f>
        <v>34</v>
      </c>
      <c r="N38" s="731" t="str">
        <f>EURO!N38</f>
        <v>Stuttgart</v>
      </c>
      <c r="O38" s="732"/>
      <c r="P38" s="111">
        <f>EURO!P38</f>
        <v>36</v>
      </c>
      <c r="Q38" s="731" t="str">
        <f>EURO!Q38</f>
        <v>Hamburg</v>
      </c>
      <c r="R38" s="732"/>
      <c r="S38" s="111"/>
      <c r="T38" s="307"/>
      <c r="U38" s="307"/>
      <c r="V38" s="307"/>
      <c r="W38" s="307"/>
      <c r="X38" s="307"/>
    </row>
    <row r="39" spans="2:24" ht="14.5">
      <c r="B39" s="722">
        <f>EURO!B39</f>
        <v>45466.875</v>
      </c>
      <c r="C39" s="724"/>
      <c r="E39" s="722">
        <f>EURO!E39</f>
        <v>45467.875</v>
      </c>
      <c r="F39" s="724"/>
      <c r="H39" s="722">
        <f>EURO!H39</f>
        <v>45468.875</v>
      </c>
      <c r="I39" s="724"/>
      <c r="K39" s="722">
        <f>EURO!K39</f>
        <v>45468.75</v>
      </c>
      <c r="L39" s="724"/>
      <c r="N39" s="722">
        <f>EURO!N39</f>
        <v>45469.75</v>
      </c>
      <c r="O39" s="724"/>
      <c r="Q39" s="722">
        <f>EURO!Q39</f>
        <v>45469.875</v>
      </c>
      <c r="R39" s="724"/>
      <c r="T39" s="307"/>
      <c r="U39" s="307"/>
      <c r="V39" s="307"/>
      <c r="W39" s="307"/>
      <c r="X39" s="307"/>
    </row>
    <row r="40" spans="2:24" ht="14.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2:24" ht="15" thickBot="1">
      <c r="B41" s="632">
        <v>1</v>
      </c>
      <c r="C41" s="633">
        <v>2</v>
      </c>
      <c r="D41" t="str">
        <v/>
      </c>
      <c r="E41" s="632">
        <v>2</v>
      </c>
      <c r="F41" s="633">
        <v>1</v>
      </c>
      <c r="G41" t="str">
        <v/>
      </c>
      <c r="H41" s="632">
        <v>1</v>
      </c>
      <c r="I41" s="633">
        <v>1</v>
      </c>
      <c r="J41" t="str">
        <v/>
      </c>
      <c r="K41" s="632">
        <v>4</v>
      </c>
      <c r="L41" s="633">
        <v>0</v>
      </c>
      <c r="M41" t="str">
        <v/>
      </c>
      <c r="N41" s="632">
        <v>2</v>
      </c>
      <c r="O41" s="633">
        <v>2</v>
      </c>
      <c r="P41" t="str">
        <v/>
      </c>
      <c r="Q41" s="632">
        <v>1</v>
      </c>
      <c r="R41" s="633">
        <v>0</v>
      </c>
      <c r="T41" s="307"/>
      <c r="U41" s="307"/>
      <c r="V41" s="307"/>
      <c r="W41" s="307"/>
      <c r="X41" s="307"/>
    </row>
    <row r="42" spans="2:24" ht="10" customHeight="1">
      <c r="B42" s="727" t="str">
        <f>EURO!B42</f>
        <v>Penalty shoot-out:</v>
      </c>
      <c r="C42" s="728"/>
      <c r="E42" s="727" t="str">
        <f>EURO!E42</f>
        <v>Penalty shoot-out:</v>
      </c>
      <c r="F42" s="728"/>
      <c r="H42" s="727" t="str">
        <f>EURO!H42</f>
        <v>Penalty shoot-out:</v>
      </c>
      <c r="I42" s="728"/>
      <c r="K42" s="727" t="str">
        <f>EURO!K42</f>
        <v>Penalty shoot-out:</v>
      </c>
      <c r="L42" s="728"/>
      <c r="N42" s="727" t="str">
        <f>EURO!N42</f>
        <v>Penalty shoot-out:</v>
      </c>
      <c r="O42" s="728"/>
      <c r="Q42" s="727" t="str">
        <f>EURO!Q42</f>
        <v>Penalty shoot-out:</v>
      </c>
      <c r="R42" s="728"/>
      <c r="T42" s="22"/>
      <c r="U42" s="22"/>
      <c r="W42" s="22"/>
      <c r="X42" s="22"/>
    </row>
    <row r="43" spans="2:24"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2:21" ht="15.5">
      <c r="B44" s="726"/>
      <c r="C44" s="726"/>
      <c r="E44" s="726"/>
      <c r="F44" s="726"/>
      <c r="H44" s="726"/>
      <c r="I44" s="726"/>
      <c r="K44" s="726"/>
      <c r="L44" s="726"/>
      <c r="N44" s="726"/>
      <c r="O44" s="726"/>
      <c r="Q44" s="726"/>
      <c r="R44" s="726"/>
      <c r="T44" s="777"/>
      <c r="U44" s="777"/>
    </row>
    <row r="45" spans="2:21" ht="26.25" customHeight="1" thickBot="1">
      <c r="B45" s="636"/>
      <c r="C45" s="636"/>
      <c r="E45" s="636"/>
      <c r="F45" s="636"/>
      <c r="H45" s="636"/>
      <c r="I45" s="636"/>
      <c r="K45" s="636"/>
      <c r="L45" s="636"/>
      <c r="N45" s="636"/>
      <c r="O45" s="636"/>
      <c r="Q45" s="636"/>
      <c r="R45" s="636"/>
      <c r="T45" s="637"/>
      <c r="U45" s="637"/>
    </row>
    <row r="46" spans="1:25" ht="14.5">
      <c r="A46" t="str">
        <f>IF(EURO!A45="","",EURO!A45)</f>
        <v/>
      </c>
      <c r="B46" s="744" t="str">
        <f>IF(EURO!B45="","",EURO!B45)</f>
        <v>Final table</v>
      </c>
      <c r="C46" s="745"/>
      <c r="D46" t="str">
        <f>IF(EURO!D45="","",EURO!D45)</f>
        <v/>
      </c>
      <c r="E46" s="744" t="str">
        <f>IF(EURO!E45="","",EURO!E45)</f>
        <v>Final table</v>
      </c>
      <c r="F46" s="745"/>
      <c r="G46" t="str">
        <f>IF(EURO!G45="","",EURO!G45)</f>
        <v/>
      </c>
      <c r="H46" s="744" t="str">
        <f>IF(EURO!H45="","",EURO!H45)</f>
        <v>Final table</v>
      </c>
      <c r="I46" s="745"/>
      <c r="J46" t="str">
        <f>IF(EURO!J45="","",EURO!J45)</f>
        <v/>
      </c>
      <c r="K46" s="744" t="str">
        <f>IF(EURO!K45="","",EURO!K45)</f>
        <v>Final table</v>
      </c>
      <c r="L46" s="745"/>
      <c r="M46" t="str">
        <f>IF(EURO!M45="","",EURO!M45)</f>
        <v/>
      </c>
      <c r="N46" s="744" t="str">
        <f>IF(EURO!N45="","",EURO!N45)</f>
        <v>Final table</v>
      </c>
      <c r="O46" s="745"/>
      <c r="P46" t="str">
        <f>IF(EURO!P45="","",EURO!P45)</f>
        <v/>
      </c>
      <c r="Q46" s="744" t="str">
        <f>IF(EURO!Q45="","",EURO!Q45)</f>
        <v>Final table</v>
      </c>
      <c r="R46" s="745"/>
      <c r="S46" t="str">
        <f>IF(EURO!S45="","",EURO!S45)</f>
        <v/>
      </c>
      <c r="T46" s="744" t="str">
        <f>IF(EURO!T45="","",EURO!T45)</f>
        <v>Third in the group</v>
      </c>
      <c r="U46" s="745"/>
      <c r="V46" s="309" t="str">
        <f>IF(EURO!V45="","",EURO!V45)</f>
        <v>Grp</v>
      </c>
      <c r="W46" s="739" t="str">
        <f>IF(EURO!W45="","",EURO!W45)</f>
        <v>Group combination:</v>
      </c>
      <c r="X46" s="740"/>
      <c r="Y46" s="308"/>
    </row>
    <row r="47" spans="1:24" ht="15" thickBot="1">
      <c r="A47" s="97" t="str">
        <f>IF(EURO!A46="","",EURO!A46)</f>
        <v>1A</v>
      </c>
      <c r="B47" s="737" t="str">
        <f ca="1">IF(EURO!B46="","",EURO!B46)</f>
        <v>Hungary</v>
      </c>
      <c r="C47" s="738"/>
      <c r="D47" s="97" t="str">
        <f>IF(EURO!D46="","",EURO!D46)</f>
        <v>1B</v>
      </c>
      <c r="E47" s="737" t="str">
        <f ca="1">IF(EURO!E46="","",EURO!E46)</f>
        <v>Croatia</v>
      </c>
      <c r="F47" s="738"/>
      <c r="G47" s="97" t="str">
        <f>IF(EURO!G46="","",EURO!G46)</f>
        <v>1C</v>
      </c>
      <c r="H47" s="737" t="str">
        <f ca="1">IF(EURO!H46="","",EURO!H46)</f>
        <v>England</v>
      </c>
      <c r="I47" s="738"/>
      <c r="J47" s="97" t="str">
        <f>IF(EURO!J46="","",EURO!J46)</f>
        <v>1D</v>
      </c>
      <c r="K47" s="737" t="str">
        <f ca="1">IF(EURO!K46="","",EURO!K46)</f>
        <v>France</v>
      </c>
      <c r="L47" s="738"/>
      <c r="M47" s="97" t="str">
        <f>IF(EURO!M46="","",EURO!M46)</f>
        <v>1E</v>
      </c>
      <c r="N47" s="737" t="str">
        <f ca="1">IF(EURO!N46="","",EURO!N46)</f>
        <v>Belgium</v>
      </c>
      <c r="O47" s="738"/>
      <c r="P47" s="97" t="str">
        <f>IF(EURO!P46="","",EURO!P46)</f>
        <v>1F</v>
      </c>
      <c r="Q47" s="737" t="str">
        <f ca="1">IF(EURO!Q46="","",EURO!Q46)</f>
        <v>Portugal</v>
      </c>
      <c r="R47" s="738"/>
      <c r="S47" s="97" t="str">
        <f>IF(EURO!S46="","",EURO!S46)</f>
        <v/>
      </c>
      <c r="T47" s="737" t="str">
        <f ca="1">IF(EURO!T46="","",EURO!T46)</f>
        <v>Denmark</v>
      </c>
      <c r="U47" s="738"/>
      <c r="V47" s="309" t="str">
        <f ca="1">IF(EURO!V46="","",EURO!V46)</f>
        <v>C</v>
      </c>
      <c r="W47" s="741" t="str">
        <f ca="1">IF(EURO!W46="","",EURO!W46)</f>
        <v>A B C F</v>
      </c>
      <c r="X47" s="742"/>
    </row>
    <row r="48" spans="1:25" ht="14.5">
      <c r="A48" s="97" t="str">
        <f>IF(EURO!A47="","",EURO!A47)</f>
        <v>2A</v>
      </c>
      <c r="B48" s="737" t="str">
        <f ca="1">IF(EURO!B47="","",EURO!B47)</f>
        <v>Germany</v>
      </c>
      <c r="C48" s="738"/>
      <c r="D48" s="97" t="str">
        <f>IF(EURO!D47="","",EURO!D47)</f>
        <v>2B</v>
      </c>
      <c r="E48" s="737" t="str">
        <f ca="1">IF(EURO!E47="","",EURO!E47)</f>
        <v>Spain</v>
      </c>
      <c r="F48" s="738"/>
      <c r="G48" s="97" t="str">
        <f>IF(EURO!G47="","",EURO!G47)</f>
        <v>2C</v>
      </c>
      <c r="H48" s="737" t="str">
        <f ca="1">IF(EURO!H47="","",EURO!H47)</f>
        <v>Serbia</v>
      </c>
      <c r="I48" s="738"/>
      <c r="J48" s="97" t="str">
        <f>IF(EURO!J47="","",EURO!J47)</f>
        <v>2D</v>
      </c>
      <c r="K48" s="737" t="str">
        <f ca="1">IF(EURO!K47="","",EURO!K47)</f>
        <v>Netherlands</v>
      </c>
      <c r="L48" s="738"/>
      <c r="M48" s="97" t="str">
        <f>IF(EURO!M47="","",EURO!M47)</f>
        <v>2E</v>
      </c>
      <c r="N48" s="737" t="str">
        <f ca="1">IF(EURO!N47="","",EURO!N47)</f>
        <v>Ukraine</v>
      </c>
      <c r="O48" s="738"/>
      <c r="P48" s="97" t="str">
        <f>IF(EURO!P47="","",EURO!P47)</f>
        <v>2F</v>
      </c>
      <c r="Q48" s="737" t="str">
        <f ca="1">IF(EURO!Q47="","",EURO!Q47)</f>
        <v>Czechia</v>
      </c>
      <c r="R48" s="738"/>
      <c r="S48" s="97" t="str">
        <f>IF(EURO!S47="","",EURO!S47)</f>
        <v/>
      </c>
      <c r="T48" s="737" t="str">
        <f ca="1">IF(EURO!T47="","",EURO!T47)</f>
        <v>Italy</v>
      </c>
      <c r="U48" s="738"/>
      <c r="V48" s="309" t="str">
        <f ca="1">IF(EURO!V47="","",EURO!V47)</f>
        <v>B</v>
      </c>
      <c r="W48" s="735" t="str">
        <f>IF(EURO!W47="","",EURO!W47)</f>
        <v>Not qualified:</v>
      </c>
      <c r="X48" s="736"/>
      <c r="Y48" s="311" t="str">
        <f>IF(EURO!Y47="","",EURO!Y47)</f>
        <v>Grp</v>
      </c>
    </row>
    <row r="49" spans="1:25" ht="14.5">
      <c r="A49" s="98" t="str">
        <f>IF(EURO!A48="","",EURO!A48)</f>
        <v>3A</v>
      </c>
      <c r="B49" s="733" t="str">
        <f ca="1">IF(EURO!B48="","",EURO!B48)</f>
        <v>Scotland</v>
      </c>
      <c r="C49" s="734"/>
      <c r="D49" s="98" t="str">
        <f>IF(EURO!D48="","",EURO!D48)</f>
        <v>3B</v>
      </c>
      <c r="E49" s="733" t="str">
        <f ca="1">IF(EURO!E48="","",EURO!E48)</f>
        <v>Italy</v>
      </c>
      <c r="F49" s="734"/>
      <c r="G49" s="98" t="str">
        <f>IF(EURO!G48="","",EURO!G48)</f>
        <v>3C</v>
      </c>
      <c r="H49" s="733" t="str">
        <f ca="1">IF(EURO!H48="","",EURO!H48)</f>
        <v>Denmark</v>
      </c>
      <c r="I49" s="734"/>
      <c r="J49" s="98" t="str">
        <f>IF(EURO!J48="","",EURO!J48)</f>
        <v>3D</v>
      </c>
      <c r="K49" s="733" t="str">
        <f ca="1">IF(EURO!K48="","",EURO!K48)</f>
        <v>Austria</v>
      </c>
      <c r="L49" s="734"/>
      <c r="M49" s="98" t="str">
        <f>IF(EURO!M48="","",EURO!M48)</f>
        <v>3E</v>
      </c>
      <c r="N49" s="733" t="str">
        <f ca="1">IF(EURO!N48="","",EURO!N48)</f>
        <v>Slovakia</v>
      </c>
      <c r="O49" s="734"/>
      <c r="P49" s="98" t="str">
        <f>IF(EURO!P48="","",EURO!P48)</f>
        <v>3F</v>
      </c>
      <c r="Q49" s="733" t="str">
        <f ca="1">IF(EURO!Q48="","",EURO!Q48)</f>
        <v>Türkiye</v>
      </c>
      <c r="R49" s="734"/>
      <c r="S49" s="98" t="str">
        <f>IF(EURO!S48="","",EURO!S48)</f>
        <v/>
      </c>
      <c r="T49" s="737" t="str">
        <f ca="1">IF(EURO!T48="","",EURO!T48)</f>
        <v>Scotland</v>
      </c>
      <c r="U49" s="738"/>
      <c r="V49" s="309" t="str">
        <f ca="1">IF(EURO!V48="","",EURO!V48)</f>
        <v>A</v>
      </c>
      <c r="W49" s="426" t="str">
        <f ca="1">IF(EURO!W48="","",EURO!W48)</f>
        <v>Slovakia</v>
      </c>
      <c r="X49" s="427" t="str">
        <f ca="1">IF(EURO!X48="","",EURO!X48)</f>
        <v xml:space="preserve">   2        3 - 5</v>
      </c>
      <c r="Y49" s="312" t="str">
        <f ca="1">IF(EURO!Y48="","",EURO!Y48)</f>
        <v>E</v>
      </c>
    </row>
    <row r="50" spans="1:25" ht="14.5">
      <c r="A50" s="98" t="str">
        <f>IF(EURO!A49="","",EURO!A49)</f>
        <v>4A</v>
      </c>
      <c r="B50" s="733" t="str">
        <f ca="1">IF(EURO!B49="","",EURO!B49)</f>
        <v>Switzerland</v>
      </c>
      <c r="C50" s="734"/>
      <c r="D50" s="98" t="str">
        <f>IF(EURO!D49="","",EURO!D49)</f>
        <v>4B</v>
      </c>
      <c r="E50" s="733" t="str">
        <f ca="1">IF(EURO!E49="","",EURO!E49)</f>
        <v>Albania</v>
      </c>
      <c r="F50" s="734"/>
      <c r="G50" s="98" t="str">
        <f>IF(EURO!G49="","",EURO!G49)</f>
        <v>4C</v>
      </c>
      <c r="H50" s="733" t="str">
        <f ca="1">IF(EURO!H49="","",EURO!H49)</f>
        <v>Slovenia</v>
      </c>
      <c r="I50" s="734"/>
      <c r="J50" s="98" t="str">
        <f>IF(EURO!J49="","",EURO!J49)</f>
        <v>4D</v>
      </c>
      <c r="K50" s="733" t="str">
        <f ca="1">IF(EURO!K49="","",EURO!K49)</f>
        <v>Poland</v>
      </c>
      <c r="L50" s="734"/>
      <c r="M50" s="98" t="str">
        <f>IF(EURO!M49="","",EURO!M49)</f>
        <v>4E</v>
      </c>
      <c r="N50" s="733" t="str">
        <f ca="1">IF(EURO!N49="","",EURO!N49)</f>
        <v>Romania</v>
      </c>
      <c r="O50" s="734"/>
      <c r="P50" s="98" t="str">
        <f>IF(EURO!P49="","",EURO!P49)</f>
        <v>4F</v>
      </c>
      <c r="Q50" s="733" t="str">
        <f ca="1">IF(EURO!Q49="","",EURO!Q49)</f>
        <v>Georgia</v>
      </c>
      <c r="R50" s="734"/>
      <c r="S50" s="98" t="str">
        <f>IF(EURO!S49="","",EURO!S49)</f>
        <v/>
      </c>
      <c r="T50" s="737" t="str">
        <f ca="1">IF(EURO!T49="","",EURO!T49)</f>
        <v>Türkiye</v>
      </c>
      <c r="U50" s="738"/>
      <c r="V50" s="309" t="str">
        <f ca="1">IF(EURO!V49="","",EURO!V49)</f>
        <v>F</v>
      </c>
      <c r="W50" s="426" t="str">
        <f ca="1">IF(EURO!W49="","",EURO!W49)</f>
        <v>Austria</v>
      </c>
      <c r="X50" s="427" t="str">
        <f ca="1">IF(EURO!X49="","",EURO!X49)</f>
        <v xml:space="preserve">   1        2 - 7</v>
      </c>
      <c r="Y50" s="312" t="str">
        <f ca="1">IF(EURO!Y49="","",EURO!Y49)</f>
        <v>D</v>
      </c>
    </row>
    <row r="51" spans="2:21" ht="15.75" customHeight="1">
      <c r="B51" s="636"/>
      <c r="C51" s="636"/>
      <c r="E51" s="636"/>
      <c r="F51" s="636"/>
      <c r="H51" s="636"/>
      <c r="I51" s="636"/>
      <c r="K51" s="636"/>
      <c r="L51" s="636"/>
      <c r="N51" s="636"/>
      <c r="O51" s="636"/>
      <c r="Q51" s="636"/>
      <c r="R51" s="636"/>
      <c r="T51" s="637"/>
      <c r="U51" s="637"/>
    </row>
    <row r="52" spans="2:21" ht="42" customHeight="1">
      <c r="B52" s="636"/>
      <c r="C52" s="636"/>
      <c r="E52" s="636"/>
      <c r="F52" s="636"/>
      <c r="H52" s="636"/>
      <c r="I52" s="636"/>
      <c r="K52" s="636"/>
      <c r="L52" s="636"/>
      <c r="N52" s="636"/>
      <c r="O52" s="636"/>
      <c r="Q52" s="636"/>
      <c r="R52" s="636"/>
      <c r="T52" s="637"/>
      <c r="U52" s="637"/>
    </row>
    <row r="53" spans="2:21" ht="41.25" customHeight="1">
      <c r="B53" s="636"/>
      <c r="C53" s="636"/>
      <c r="E53" s="636"/>
      <c r="F53" s="636"/>
      <c r="H53" s="636"/>
      <c r="I53" s="636"/>
      <c r="K53" s="636"/>
      <c r="L53" s="636"/>
      <c r="N53" s="636"/>
      <c r="O53" s="636"/>
      <c r="Q53" s="636"/>
      <c r="R53" s="636"/>
      <c r="T53" s="637"/>
      <c r="U53" s="637"/>
    </row>
    <row r="54" spans="1:25" ht="14.5">
      <c r="A54" t="str">
        <f>IF(EURO!A45="","",EURO!A45)</f>
        <v/>
      </c>
      <c r="B54" s="744" t="str">
        <f>EURO!B9</f>
        <v>Group A</v>
      </c>
      <c r="C54" s="745"/>
      <c r="D54" t="str">
        <f>IF(EURO!D45="","",EURO!D45)</f>
        <v/>
      </c>
      <c r="E54" s="744" t="str">
        <f>EURO!E9</f>
        <v>Group B</v>
      </c>
      <c r="F54" s="745"/>
      <c r="G54" t="str">
        <f>IF(EURO!G45="","",EURO!G45)</f>
        <v/>
      </c>
      <c r="H54" s="744" t="str">
        <f>EURO!H9</f>
        <v>Group C</v>
      </c>
      <c r="I54" s="745"/>
      <c r="J54" t="str">
        <f>IF(EURO!J45="","",EURO!J45)</f>
        <v/>
      </c>
      <c r="K54" s="744" t="str">
        <f>EURO!K9</f>
        <v>Group D</v>
      </c>
      <c r="L54" s="745"/>
      <c r="M54" t="str">
        <f>IF(EURO!M45="","",EURO!M45)</f>
        <v/>
      </c>
      <c r="N54" s="744" t="str">
        <f>EURO!N9</f>
        <v>Group E</v>
      </c>
      <c r="O54" s="745"/>
      <c r="P54" t="str">
        <f>IF(EURO!P45="","",EURO!P45)</f>
        <v/>
      </c>
      <c r="Q54" s="744" t="str">
        <f>EURO!Q9</f>
        <v>Group F</v>
      </c>
      <c r="R54" s="745"/>
      <c r="S54" t="str">
        <f>IF(EURO!S45="","",EURO!S45)</f>
        <v/>
      </c>
      <c r="T54" s="778" t="str">
        <f>IF(EURO!T45="","",EURO!T45)</f>
        <v>Third in the group</v>
      </c>
      <c r="U54" s="779"/>
      <c r="V54" s="309" t="str">
        <f>IF(EURO!V45="","",EURO!V45)</f>
        <v>Grp</v>
      </c>
      <c r="W54" s="644"/>
      <c r="X54" s="15"/>
      <c r="Y54" s="638"/>
    </row>
    <row r="55" spans="1:24" ht="14.5">
      <c r="A55" s="97" t="str">
        <f>IF(EURO!A46="","",EURO!A46)</f>
        <v>1A</v>
      </c>
      <c r="B55" s="737" t="str">
        <f ca="1">IF(EURO!B46="","",EURO!B46)</f>
        <v>Hungary</v>
      </c>
      <c r="C55" s="738"/>
      <c r="D55" s="97" t="str">
        <f>IF(EURO!D46="","",EURO!D46)</f>
        <v>1B</v>
      </c>
      <c r="E55" s="737" t="str">
        <f ca="1">IF(EURO!E46="","",EURO!E46)</f>
        <v>Croatia</v>
      </c>
      <c r="F55" s="738"/>
      <c r="G55" s="97" t="str">
        <f>IF(EURO!G46="","",EURO!G46)</f>
        <v>1C</v>
      </c>
      <c r="H55" s="737" t="str">
        <f ca="1">IF(EURO!H46="","",EURO!H46)</f>
        <v>England</v>
      </c>
      <c r="I55" s="738"/>
      <c r="J55" s="97" t="str">
        <f>IF(EURO!J46="","",EURO!J46)</f>
        <v>1D</v>
      </c>
      <c r="K55" s="737" t="str">
        <f ca="1">IF(EURO!K46="","",EURO!K46)</f>
        <v>France</v>
      </c>
      <c r="L55" s="738"/>
      <c r="M55" s="97" t="str">
        <f>IF(EURO!M46="","",EURO!M46)</f>
        <v>1E</v>
      </c>
      <c r="N55" s="737" t="str">
        <f ca="1">IF(EURO!N46="","",EURO!N46)</f>
        <v>Belgium</v>
      </c>
      <c r="O55" s="738"/>
      <c r="P55" s="97" t="str">
        <f>IF(EURO!P46="","",EURO!P46)</f>
        <v>1F</v>
      </c>
      <c r="Q55" s="737" t="str">
        <f ca="1">IF(EURO!Q46="","",EURO!Q46)</f>
        <v>Portugal</v>
      </c>
      <c r="R55" s="738"/>
      <c r="S55" s="97" t="str">
        <f>IF(EURO!S46="","",EURO!S46)</f>
        <v/>
      </c>
      <c r="T55" s="737" t="str">
        <f ca="1">IF(EURO!T46="","",EURO!T46)</f>
        <v>Denmark</v>
      </c>
      <c r="U55" s="738"/>
      <c r="V55" s="309" t="str">
        <f ca="1">IF(EURO!V46="","",EURO!V46)</f>
        <v>C</v>
      </c>
      <c r="W55" s="645"/>
      <c r="X55" s="646"/>
    </row>
    <row r="56" spans="1:25" ht="14.5">
      <c r="A56" s="97" t="str">
        <f>IF(EURO!A47="","",EURO!A47)</f>
        <v>2A</v>
      </c>
      <c r="B56" s="737" t="str">
        <f ca="1">IF(EURO!B47="","",EURO!B47)</f>
        <v>Germany</v>
      </c>
      <c r="C56" s="738"/>
      <c r="D56" s="97" t="str">
        <f>IF(EURO!D47="","",EURO!D47)</f>
        <v>2B</v>
      </c>
      <c r="E56" s="737" t="str">
        <f ca="1">IF(EURO!E47="","",EURO!E47)</f>
        <v>Spain</v>
      </c>
      <c r="F56" s="738"/>
      <c r="G56" s="97" t="str">
        <f>IF(EURO!G47="","",EURO!G47)</f>
        <v>2C</v>
      </c>
      <c r="H56" s="737" t="str">
        <f ca="1">IF(EURO!H47="","",EURO!H47)</f>
        <v>Serbia</v>
      </c>
      <c r="I56" s="738"/>
      <c r="J56" s="97" t="str">
        <f>IF(EURO!J47="","",EURO!J47)</f>
        <v>2D</v>
      </c>
      <c r="K56" s="737" t="str">
        <f ca="1">IF(EURO!K47="","",EURO!K47)</f>
        <v>Netherlands</v>
      </c>
      <c r="L56" s="738"/>
      <c r="M56" s="97" t="str">
        <f>IF(EURO!M47="","",EURO!M47)</f>
        <v>2E</v>
      </c>
      <c r="N56" s="737" t="str">
        <f ca="1">IF(EURO!N47="","",EURO!N47)</f>
        <v>Ukraine</v>
      </c>
      <c r="O56" s="738"/>
      <c r="P56" s="97" t="str">
        <f>IF(EURO!P47="","",EURO!P47)</f>
        <v>2F</v>
      </c>
      <c r="Q56" s="737" t="str">
        <f ca="1">IF(EURO!Q47="","",EURO!Q47)</f>
        <v>Czechia</v>
      </c>
      <c r="R56" s="738"/>
      <c r="S56" s="97" t="str">
        <f>IF(EURO!S47="","",EURO!S47)</f>
        <v/>
      </c>
      <c r="T56" s="737" t="str">
        <f ca="1">IF(EURO!T47="","",EURO!T47)</f>
        <v>Italy</v>
      </c>
      <c r="U56" s="738"/>
      <c r="V56" s="309" t="str">
        <f ca="1">IF(EURO!V47="","",EURO!V47)</f>
        <v>B</v>
      </c>
      <c r="W56" s="642"/>
      <c r="X56" s="643"/>
      <c r="Y56" s="638"/>
    </row>
    <row r="57" spans="1:25" ht="14.5">
      <c r="A57" s="98" t="str">
        <f>IF(EURO!A48="","",EURO!A48)</f>
        <v>3A</v>
      </c>
      <c r="B57" s="733" t="str">
        <f ca="1">IF(EURO!B48="","",EURO!B48)</f>
        <v>Scotland</v>
      </c>
      <c r="C57" s="734"/>
      <c r="D57" s="98" t="str">
        <f>IF(EURO!D48="","",EURO!D48)</f>
        <v>3B</v>
      </c>
      <c r="E57" s="733" t="str">
        <f ca="1">IF(EURO!E48="","",EURO!E48)</f>
        <v>Italy</v>
      </c>
      <c r="F57" s="734"/>
      <c r="G57" s="98" t="str">
        <f>IF(EURO!G48="","",EURO!G48)</f>
        <v>3C</v>
      </c>
      <c r="H57" s="733" t="str">
        <f ca="1">IF(EURO!H48="","",EURO!H48)</f>
        <v>Denmark</v>
      </c>
      <c r="I57" s="734"/>
      <c r="J57" s="98" t="str">
        <f>IF(EURO!J48="","",EURO!J48)</f>
        <v>3D</v>
      </c>
      <c r="K57" s="733" t="str">
        <f ca="1">IF(EURO!K48="","",EURO!K48)</f>
        <v>Austria</v>
      </c>
      <c r="L57" s="734"/>
      <c r="M57" s="98" t="str">
        <f>IF(EURO!M48="","",EURO!M48)</f>
        <v>3E</v>
      </c>
      <c r="N57" s="733" t="str">
        <f ca="1">IF(EURO!N48="","",EURO!N48)</f>
        <v>Slovakia</v>
      </c>
      <c r="O57" s="734"/>
      <c r="P57" s="98" t="str">
        <f>IF(EURO!P48="","",EURO!P48)</f>
        <v>3F</v>
      </c>
      <c r="Q57" s="733" t="str">
        <f ca="1">IF(EURO!Q48="","",EURO!Q48)</f>
        <v>Türkiye</v>
      </c>
      <c r="R57" s="734"/>
      <c r="S57" s="98" t="str">
        <f>IF(EURO!S48="","",EURO!S48)</f>
        <v/>
      </c>
      <c r="T57" s="737" t="str">
        <f ca="1">IF(EURO!T48="","",EURO!T48)</f>
        <v>Scotland</v>
      </c>
      <c r="U57" s="738"/>
      <c r="V57" s="309" t="str">
        <f ca="1">IF(EURO!V48="","",EURO!V48)</f>
        <v>A</v>
      </c>
      <c r="W57" s="639"/>
      <c r="X57" s="640"/>
      <c r="Y57" s="641"/>
    </row>
    <row r="58" spans="1:25" ht="14.5">
      <c r="A58" s="98" t="str">
        <f>IF(EURO!A49="","",EURO!A49)</f>
        <v>4A</v>
      </c>
      <c r="B58" s="733" t="str">
        <f ca="1">IF(EURO!B49="","",EURO!B49)</f>
        <v>Switzerland</v>
      </c>
      <c r="C58" s="734"/>
      <c r="D58" s="98" t="str">
        <f>IF(EURO!D49="","",EURO!D49)</f>
        <v>4B</v>
      </c>
      <c r="E58" s="733" t="str">
        <f ca="1">IF(EURO!E49="","",EURO!E49)</f>
        <v>Albania</v>
      </c>
      <c r="F58" s="734"/>
      <c r="G58" s="98" t="str">
        <f>IF(EURO!G49="","",EURO!G49)</f>
        <v>4C</v>
      </c>
      <c r="H58" s="733" t="str">
        <f ca="1">IF(EURO!H49="","",EURO!H49)</f>
        <v>Slovenia</v>
      </c>
      <c r="I58" s="734"/>
      <c r="J58" s="98" t="str">
        <f>IF(EURO!J49="","",EURO!J49)</f>
        <v>4D</v>
      </c>
      <c r="K58" s="733" t="str">
        <f ca="1">IF(EURO!K49="","",EURO!K49)</f>
        <v>Poland</v>
      </c>
      <c r="L58" s="734"/>
      <c r="M58" s="98" t="str">
        <f>IF(EURO!M49="","",EURO!M49)</f>
        <v>4E</v>
      </c>
      <c r="N58" s="733" t="str">
        <f ca="1">IF(EURO!N49="","",EURO!N49)</f>
        <v>Romania</v>
      </c>
      <c r="O58" s="734"/>
      <c r="P58" s="98" t="str">
        <f>IF(EURO!P49="","",EURO!P49)</f>
        <v>4F</v>
      </c>
      <c r="Q58" s="733" t="str">
        <f ca="1">IF(EURO!Q49="","",EURO!Q49)</f>
        <v>Georgia</v>
      </c>
      <c r="R58" s="734"/>
      <c r="S58" s="98" t="str">
        <f>IF(EURO!S49="","",EURO!S49)</f>
        <v/>
      </c>
      <c r="T58" s="737" t="str">
        <f ca="1">IF(EURO!T49="","",EURO!T49)</f>
        <v>Türkiye</v>
      </c>
      <c r="U58" s="738"/>
      <c r="V58" s="309" t="str">
        <f ca="1">IF(EURO!V49="","",EURO!V49)</f>
        <v>F</v>
      </c>
      <c r="W58" s="639"/>
      <c r="X58" s="640"/>
      <c r="Y58" s="641"/>
    </row>
    <row r="59" ht="102.75" customHeight="1"/>
    <row r="60" spans="2:24" ht="16" thickBot="1">
      <c r="B60" s="729" t="str">
        <f>EURO!B51</f>
        <v>Round of 16 - 4</v>
      </c>
      <c r="C60" s="730"/>
      <c r="E60" s="729" t="str">
        <f>EURO!E51</f>
        <v>Round of 16 - 2</v>
      </c>
      <c r="F60" s="730"/>
      <c r="H60" s="729" t="str">
        <f>EURO!H51</f>
        <v>Round of 16 - 6</v>
      </c>
      <c r="I60" s="730"/>
      <c r="K60" s="729" t="str">
        <f>EURO!K51</f>
        <v>Round of 16 - 5</v>
      </c>
      <c r="L60" s="730"/>
      <c r="N60" s="729" t="str">
        <f>EURO!N51</f>
        <v>Round of 16 - 7</v>
      </c>
      <c r="O60" s="730"/>
      <c r="Q60" s="729" t="str">
        <f>EURO!Q51</f>
        <v>Round of 16 - 8</v>
      </c>
      <c r="R60" s="730"/>
      <c r="T60" s="729" t="str">
        <f>EURO!T51</f>
        <v>Round of 16 - 3</v>
      </c>
      <c r="U60" s="730"/>
      <c r="W60" s="729" t="str">
        <f>EURO!W51</f>
        <v>Round of 16 - 1</v>
      </c>
      <c r="X60" s="730"/>
    </row>
    <row r="61" spans="1:24" ht="14.5">
      <c r="A61" s="111">
        <f>EURO!A52</f>
        <v>39</v>
      </c>
      <c r="B61" s="731" t="str">
        <f>EURO!B52</f>
        <v>Cologne</v>
      </c>
      <c r="C61" s="732"/>
      <c r="D61" s="111">
        <f>EURO!D52</f>
        <v>37</v>
      </c>
      <c r="E61" s="731" t="str">
        <f>EURO!E52</f>
        <v>Dortmund</v>
      </c>
      <c r="F61" s="732"/>
      <c r="G61" s="111">
        <f>EURO!G52</f>
        <v>41</v>
      </c>
      <c r="H61" s="731" t="str">
        <f>EURO!H52</f>
        <v>Frankfurt</v>
      </c>
      <c r="I61" s="732"/>
      <c r="J61" s="111">
        <f>EURO!J52</f>
        <v>42</v>
      </c>
      <c r="K61" s="731" t="str">
        <f>EURO!K52</f>
        <v>Dusseldorf</v>
      </c>
      <c r="L61" s="732"/>
      <c r="M61" s="111">
        <f>EURO!M52</f>
        <v>43</v>
      </c>
      <c r="N61" s="731" t="str">
        <f>EURO!N52</f>
        <v>Munich</v>
      </c>
      <c r="O61" s="732"/>
      <c r="P61" s="111">
        <f>EURO!P52</f>
        <v>44</v>
      </c>
      <c r="Q61" s="731" t="str">
        <f>EURO!Q52</f>
        <v>Leipzig</v>
      </c>
      <c r="R61" s="732"/>
      <c r="S61" s="111">
        <f>EURO!S52</f>
        <v>40</v>
      </c>
      <c r="T61" s="731" t="str">
        <f>EURO!T52</f>
        <v>Gelsenkirchen</v>
      </c>
      <c r="U61" s="732"/>
      <c r="V61" s="111">
        <f>EURO!V52</f>
        <v>38</v>
      </c>
      <c r="W61" s="731" t="str">
        <f>EURO!W52</f>
        <v>Berlin</v>
      </c>
      <c r="X61" s="732"/>
    </row>
    <row r="62" spans="2:24" ht="14.5">
      <c r="B62" s="722">
        <f>EURO!B53</f>
        <v>45473.875</v>
      </c>
      <c r="C62" s="724"/>
      <c r="E62" s="722">
        <f>EURO!E53</f>
        <v>45472.875</v>
      </c>
      <c r="F62" s="724"/>
      <c r="H62" s="722">
        <f>EURO!H53</f>
        <v>45474.875</v>
      </c>
      <c r="I62" s="724"/>
      <c r="K62" s="722">
        <f>EURO!K53</f>
        <v>45474.75</v>
      </c>
      <c r="L62" s="724"/>
      <c r="N62" s="722">
        <f>EURO!N53</f>
        <v>45475.75</v>
      </c>
      <c r="O62" s="724"/>
      <c r="Q62" s="722">
        <f>EURO!Q53</f>
        <v>45475.875</v>
      </c>
      <c r="R62" s="724"/>
      <c r="T62" s="722">
        <f>EURO!T53</f>
        <v>45473.75</v>
      </c>
      <c r="U62" s="724"/>
      <c r="V62" s="6"/>
      <c r="W62" s="722">
        <f>EURO!W53</f>
        <v>45472.75</v>
      </c>
      <c r="X62" s="724"/>
    </row>
    <row r="63" spans="2:24" ht="14.5">
      <c r="B63" s="53" t="str">
        <f ca="1">EURO!B54</f>
        <v>Croatia</v>
      </c>
      <c r="C63" s="54" t="str">
        <f ca="1">EURO!C54</f>
        <v>Scotland</v>
      </c>
      <c r="E63" s="53" t="str">
        <f ca="1">EURO!E54</f>
        <v>Hungary</v>
      </c>
      <c r="F63" s="54" t="str">
        <f ca="1">EURO!F54</f>
        <v>Serbia</v>
      </c>
      <c r="H63" s="53" t="str">
        <f ca="1">EURO!H54</f>
        <v>Portugal</v>
      </c>
      <c r="I63" s="54" t="str">
        <f ca="1">EURO!I54</f>
        <v>Denmark</v>
      </c>
      <c r="K63" s="53" t="str">
        <f ca="1">EURO!K54</f>
        <v>Netherlands</v>
      </c>
      <c r="L63" s="54" t="str">
        <f ca="1">EURO!L54</f>
        <v>Ukraine</v>
      </c>
      <c r="N63" s="53" t="str">
        <f ca="1">EURO!N54</f>
        <v>Belgium</v>
      </c>
      <c r="O63" s="54" t="str">
        <f ca="1">EURO!O54</f>
        <v>Italy</v>
      </c>
      <c r="Q63" s="53" t="str">
        <f ca="1">EURO!Q54</f>
        <v>France</v>
      </c>
      <c r="R63" s="54" t="str">
        <f ca="1">EURO!R54</f>
        <v>Czechia</v>
      </c>
      <c r="T63" s="53" t="str">
        <f ca="1">EURO!T54</f>
        <v>England</v>
      </c>
      <c r="U63" s="54" t="str">
        <f ca="1">EURO!U54</f>
        <v>Türkiye</v>
      </c>
      <c r="W63" s="53" t="str">
        <f ca="1">EURO!W54</f>
        <v>Germany</v>
      </c>
      <c r="X63" s="54" t="str">
        <f ca="1">EURO!X54</f>
        <v>Spain</v>
      </c>
    </row>
    <row r="64" spans="2:25" ht="15" thickBot="1">
      <c r="B64" s="1">
        <f>IF(EURO!B55="","",EURO!B55)</f>
        <v>2</v>
      </c>
      <c r="C64" s="2">
        <f>IF(EURO!C55="","",EURO!C55)</f>
        <v>0</v>
      </c>
      <c r="D64" s="300" t="str">
        <f>IF(EURO!D55="","",EURO!D55)</f>
        <v/>
      </c>
      <c r="E64" s="1">
        <f>IF(EURO!E55="","",EURO!E55)</f>
        <v>2</v>
      </c>
      <c r="F64" s="2">
        <f>IF(EURO!F55="","",EURO!F55)</f>
        <v>1</v>
      </c>
      <c r="G64" s="300" t="str">
        <f>IF(EURO!G55="","",EURO!G55)</f>
        <v/>
      </c>
      <c r="H64" s="1">
        <f>IF(EURO!H55="","",EURO!H55)</f>
        <v>1</v>
      </c>
      <c r="I64" s="2">
        <f>IF(EURO!I55="","",EURO!I55)</f>
        <v>2</v>
      </c>
      <c r="J64" s="300" t="str">
        <f>IF(EURO!J55="","",EURO!J55)</f>
        <v/>
      </c>
      <c r="K64" s="1">
        <f>IF(EURO!K55="","",EURO!K55)</f>
        <v>1</v>
      </c>
      <c r="L64" s="2">
        <f>IF(EURO!L55="","",EURO!L55)</f>
        <v>1</v>
      </c>
      <c r="M64" s="300" t="str">
        <f>IF(EURO!M55="","",EURO!M55)</f>
        <v/>
      </c>
      <c r="N64" s="1">
        <f>IF(EURO!N55="","",EURO!N55)</f>
        <v>2</v>
      </c>
      <c r="O64" s="2">
        <f>IF(EURO!O55="","",EURO!O55)</f>
        <v>2</v>
      </c>
      <c r="P64" s="300" t="str">
        <f>IF(EURO!P55="","",EURO!P55)</f>
        <v/>
      </c>
      <c r="Q64" s="1">
        <f>IF(EURO!Q55="","",EURO!Q55)</f>
        <v>1</v>
      </c>
      <c r="R64" s="2">
        <f>IF(EURO!R55="","",EURO!R55)</f>
        <v>0</v>
      </c>
      <c r="S64" s="300" t="str">
        <f>IF(EURO!S55="","",EURO!S55)</f>
        <v/>
      </c>
      <c r="T64" s="1">
        <f>IF(EURO!T55="","",EURO!T55)</f>
        <v>2</v>
      </c>
      <c r="U64" s="2">
        <f>IF(EURO!U55="","",EURO!U55)</f>
        <v>0</v>
      </c>
      <c r="V64" s="300" t="str">
        <f>IF(EURO!V55="","",EURO!V55)</f>
        <v/>
      </c>
      <c r="W64" s="1">
        <f>IF(EURO!W55="","",EURO!W55)</f>
        <v>1</v>
      </c>
      <c r="X64" s="2">
        <f>IF(EURO!X55="","",EURO!X55)</f>
        <v>1</v>
      </c>
      <c r="Y64" s="301" t="str">
        <f>IF(EURO!Y55="","",EURO!Y55)</f>
        <v/>
      </c>
    </row>
    <row r="65" spans="2:24" ht="10" customHeight="1">
      <c r="B65" s="727" t="str">
        <f>EURO!B56</f>
        <v>Penalty shoot-out:</v>
      </c>
      <c r="C65" s="728"/>
      <c r="E65" s="727" t="str">
        <f>EURO!E56</f>
        <v>Penalty shoot-out:</v>
      </c>
      <c r="F65" s="728"/>
      <c r="H65" s="727" t="str">
        <f>EURO!H56</f>
        <v>Penalty shoot-out:</v>
      </c>
      <c r="I65" s="728"/>
      <c r="K65" s="727" t="str">
        <f>EURO!K56</f>
        <v>Penalty shoot-out:</v>
      </c>
      <c r="L65" s="728"/>
      <c r="N65" s="727" t="str">
        <f>EURO!N56</f>
        <v>Penalty shoot-out:</v>
      </c>
      <c r="O65" s="728"/>
      <c r="Q65" s="727" t="str">
        <f>EURO!Q56</f>
        <v>Penalty shoot-out:</v>
      </c>
      <c r="R65" s="728"/>
      <c r="T65" s="727" t="str">
        <f>EURO!T56</f>
        <v>Penalty shoot-out:</v>
      </c>
      <c r="U65" s="728"/>
      <c r="W65" s="727" t="str">
        <f>EURO!W56</f>
        <v>Penalty shoot-out:</v>
      </c>
      <c r="X65" s="728"/>
    </row>
    <row r="66" spans="2:24" ht="15" thickBot="1">
      <c r="B66" s="295" t="str">
        <f>IF(EURO!B57="","",EURO!B57)</f>
        <v/>
      </c>
      <c r="C66" s="296" t="str">
        <f>IF(EURO!C57="","",EURO!C57)</f>
        <v/>
      </c>
      <c r="E66" s="295" t="str">
        <f>IF(EURO!E57="","",EURO!E57)</f>
        <v/>
      </c>
      <c r="F66" s="296" t="str">
        <f>IF(EURO!F57="","",EURO!F57)</f>
        <v/>
      </c>
      <c r="H66" s="295" t="str">
        <f>IF(EURO!H57="","",EURO!H57)</f>
        <v/>
      </c>
      <c r="I66" s="296" t="str">
        <f>IF(EURO!I57="","",EURO!I57)</f>
        <v/>
      </c>
      <c r="K66" s="295">
        <f>IF(EURO!K57="","",EURO!K57)</f>
        <v>3</v>
      </c>
      <c r="L66" s="296">
        <f>IF(EURO!L57="","",EURO!L57)</f>
        <v>2</v>
      </c>
      <c r="N66" s="295">
        <f>IF(EURO!N57="","",EURO!N57)</f>
        <v>3</v>
      </c>
      <c r="O66" s="296">
        <f>IF(EURO!O57="","",EURO!O57)</f>
        <v>2</v>
      </c>
      <c r="Q66" s="295" t="str">
        <f>IF(EURO!Q57="","",EURO!Q57)</f>
        <v/>
      </c>
      <c r="R66" s="296" t="str">
        <f>IF(EURO!R57="","",EURO!R57)</f>
        <v/>
      </c>
      <c r="T66" s="295" t="str">
        <f>IF(EURO!T57="","",EURO!T57)</f>
        <v/>
      </c>
      <c r="U66" s="296" t="str">
        <f>IF(EURO!U57="","",EURO!U57)</f>
        <v/>
      </c>
      <c r="W66" s="295">
        <f>IF(EURO!W57="","",EURO!W57)</f>
        <v>3</v>
      </c>
      <c r="X66" s="296">
        <f>IF(EURO!X57="","",EURO!X57)</f>
        <v>2</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26"/>
      <c r="C68" s="726"/>
      <c r="D68" s="239"/>
      <c r="E68" s="726"/>
      <c r="F68" s="726"/>
      <c r="G68" s="10"/>
      <c r="H68" s="726"/>
      <c r="I68" s="726"/>
      <c r="J68" s="10"/>
      <c r="K68" s="726"/>
      <c r="L68" s="726"/>
      <c r="M68" s="10"/>
      <c r="N68" s="726"/>
      <c r="O68" s="726"/>
      <c r="P68" s="10"/>
      <c r="Q68" s="726"/>
      <c r="R68" s="726"/>
      <c r="S68" s="10"/>
      <c r="T68" s="726"/>
      <c r="U68" s="726"/>
      <c r="V68" s="10"/>
      <c r="W68" s="726"/>
      <c r="X68" s="726"/>
    </row>
    <row r="69" spans="3:5" ht="33.75" customHeight="1">
      <c r="C69" s="11"/>
      <c r="E69" s="11"/>
    </row>
    <row r="70" spans="3:23" ht="15.75" customHeight="1">
      <c r="C70" s="725" t="str">
        <f>EURO!C61</f>
        <v>Quarter final 1</v>
      </c>
      <c r="D70" s="725"/>
      <c r="E70" s="725"/>
      <c r="I70" s="725" t="str">
        <f>EURO!I61</f>
        <v>Quarter final 2</v>
      </c>
      <c r="J70" s="725"/>
      <c r="K70" s="725"/>
      <c r="O70" s="725" t="str">
        <f>EURO!O61</f>
        <v>Quarter final 4</v>
      </c>
      <c r="P70" s="725"/>
      <c r="Q70" s="725"/>
      <c r="U70" s="725" t="str">
        <f>EURO!U61</f>
        <v>Quarter final 3</v>
      </c>
      <c r="V70" s="725"/>
      <c r="W70" s="725"/>
    </row>
    <row r="71" spans="2:23" ht="15.75" customHeight="1">
      <c r="B71" s="111">
        <f>EURO!B62</f>
        <v>45</v>
      </c>
      <c r="C71" s="718" t="str">
        <f>EURO!C62</f>
        <v>Stuttgart</v>
      </c>
      <c r="D71" s="719"/>
      <c r="E71" s="720"/>
      <c r="H71" s="111">
        <f>EURO!H62</f>
        <v>46</v>
      </c>
      <c r="I71" s="718" t="str">
        <f>EURO!I62</f>
        <v>Hamburg</v>
      </c>
      <c r="J71" s="719"/>
      <c r="K71" s="720"/>
      <c r="N71" s="111">
        <f>EURO!N62</f>
        <v>47</v>
      </c>
      <c r="O71" s="718" t="str">
        <f>EURO!O62</f>
        <v>Berlin</v>
      </c>
      <c r="P71" s="719"/>
      <c r="Q71" s="720"/>
      <c r="T71" s="111">
        <f>EURO!T62</f>
        <v>48</v>
      </c>
      <c r="U71" s="718" t="str">
        <f>EURO!U62</f>
        <v>Dusseldorf</v>
      </c>
      <c r="V71" s="719"/>
      <c r="W71" s="720"/>
    </row>
    <row r="72" spans="3:23" ht="14.5">
      <c r="C72" s="722">
        <f>EURO!C63</f>
        <v>45478.75</v>
      </c>
      <c r="D72" s="723"/>
      <c r="E72" s="724"/>
      <c r="I72" s="722">
        <f>EURO!I63</f>
        <v>45478.875</v>
      </c>
      <c r="J72" s="723"/>
      <c r="K72" s="724"/>
      <c r="O72" s="722">
        <f>EURO!O63</f>
        <v>45479.875</v>
      </c>
      <c r="P72" s="723"/>
      <c r="Q72" s="724"/>
      <c r="U72" s="722">
        <f>EURO!U63</f>
        <v>45479.75</v>
      </c>
      <c r="V72" s="723"/>
      <c r="W72" s="724"/>
    </row>
    <row r="73" spans="3:23" ht="14.5">
      <c r="C73" s="7" t="str">
        <f ca="1">EURO!C64</f>
        <v>Croatia</v>
      </c>
      <c r="E73" s="8" t="str">
        <f ca="1">EURO!E64</f>
        <v>Hungary</v>
      </c>
      <c r="I73" s="7" t="str">
        <f ca="1">EURO!I64</f>
        <v>Denmark</v>
      </c>
      <c r="K73" s="8" t="str">
        <f ca="1">EURO!K64</f>
        <v>Netherlands</v>
      </c>
      <c r="O73" s="7" t="str">
        <f ca="1">EURO!O64</f>
        <v>Belgium</v>
      </c>
      <c r="Q73" s="8" t="str">
        <f ca="1">EURO!Q64</f>
        <v>France</v>
      </c>
      <c r="U73" s="7" t="str">
        <f ca="1">EURO!U64</f>
        <v>England</v>
      </c>
      <c r="W73" s="8" t="str">
        <f ca="1">EURO!W64</f>
        <v>Germany</v>
      </c>
    </row>
    <row r="74" spans="3:24" ht="15" thickBot="1">
      <c r="C74" s="1">
        <f>IF(EURO!C65="","",EURO!C65)</f>
        <v>1</v>
      </c>
      <c r="D74" s="12"/>
      <c r="E74" s="3">
        <f>IF(EURO!E65="","",EURO!E65)</f>
        <v>0</v>
      </c>
      <c r="F74" s="301" t="str">
        <f>IF(EURO!F65="","",EURO!F65)</f>
        <v/>
      </c>
      <c r="I74" s="1">
        <f>IF(EURO!I65="","",EURO!I65)</f>
        <v>1</v>
      </c>
      <c r="J74" s="12"/>
      <c r="K74" s="3">
        <f>IF(EURO!K65="","",EURO!K65)</f>
        <v>0</v>
      </c>
      <c r="L74" s="301" t="str">
        <f>IF(EURO!L65="","",EURO!L65)</f>
        <v/>
      </c>
      <c r="O74" s="1">
        <f>IF(EURO!O65="","",EURO!O65)</f>
        <v>2</v>
      </c>
      <c r="P74" s="12"/>
      <c r="Q74" s="3">
        <f>IF(EURO!Q65="","",EURO!Q65)</f>
        <v>1</v>
      </c>
      <c r="R74" s="301" t="str">
        <f>IF(EURO!R65="","",EURO!R65)</f>
        <v/>
      </c>
      <c r="U74" s="1">
        <f>IF(EURO!U65="","",EURO!U65)</f>
        <v>0</v>
      </c>
      <c r="V74" s="12"/>
      <c r="W74" s="3">
        <f>IF(EURO!W65="","",EURO!W65)</f>
        <v>1</v>
      </c>
      <c r="X74" s="301" t="str">
        <f>IF(EURO!X65="","",EURO!X65)</f>
        <v/>
      </c>
    </row>
    <row r="75" spans="3:23" ht="10" customHeight="1">
      <c r="C75" s="708" t="str">
        <f>EURO!C66</f>
        <v>Penalty shoot-out:</v>
      </c>
      <c r="D75" s="709"/>
      <c r="E75" s="710"/>
      <c r="I75" s="708" t="str">
        <f>EURO!I66</f>
        <v>Penalty shoot-out:</v>
      </c>
      <c r="J75" s="709"/>
      <c r="K75" s="710"/>
      <c r="O75" s="708" t="str">
        <f>EURO!O66</f>
        <v>Penalty shoot-out:</v>
      </c>
      <c r="P75" s="709"/>
      <c r="Q75" s="710"/>
      <c r="U75" s="708" t="str">
        <f>EURO!U66</f>
        <v>Penalty shoot-out:</v>
      </c>
      <c r="V75" s="709"/>
      <c r="W75" s="710"/>
    </row>
    <row r="76" spans="3:23" ht="1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3:23" s="9" customFormat="1" ht="14.5">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3:23" ht="12" customHeight="1">
      <c r="C78" s="711"/>
      <c r="D78" s="711"/>
      <c r="E78" s="711"/>
      <c r="F78" s="241"/>
      <c r="I78" s="711"/>
      <c r="J78" s="711"/>
      <c r="K78" s="711"/>
      <c r="O78" s="711"/>
      <c r="P78" s="711"/>
      <c r="Q78" s="711"/>
      <c r="U78" s="711"/>
      <c r="V78" s="711"/>
      <c r="W78" s="711"/>
    </row>
    <row r="79" ht="35.25" customHeight="1"/>
    <row r="80" spans="6:20" ht="15.5">
      <c r="F80" s="725" t="str">
        <f>EURO!F71</f>
        <v>Semi-Final 1</v>
      </c>
      <c r="G80" s="725"/>
      <c r="H80" s="725"/>
      <c r="R80" s="725" t="str">
        <f>EURO!R71</f>
        <v>Semi-Final 2</v>
      </c>
      <c r="S80" s="725"/>
      <c r="T80" s="725"/>
    </row>
    <row r="81" spans="5:20" ht="14.5">
      <c r="E81" s="111">
        <f>EURO!E72</f>
        <v>49</v>
      </c>
      <c r="F81" s="718" t="str">
        <f>EURO!F72</f>
        <v>Munich</v>
      </c>
      <c r="G81" s="719"/>
      <c r="H81" s="720"/>
      <c r="Q81" s="111">
        <f>EURO!Q72</f>
        <v>50</v>
      </c>
      <c r="R81" s="718" t="str">
        <f>EURO!R72</f>
        <v>Dortmund</v>
      </c>
      <c r="S81" s="719"/>
      <c r="T81" s="720"/>
    </row>
    <row r="82" spans="6:20" ht="15.5">
      <c r="F82" s="722">
        <f>EURO!F73</f>
        <v>45482.875</v>
      </c>
      <c r="G82" s="723"/>
      <c r="H82" s="724"/>
      <c r="L82" s="27"/>
      <c r="M82" s="27"/>
      <c r="R82" s="722">
        <f>EURO!R73</f>
        <v>45483.875</v>
      </c>
      <c r="S82" s="723"/>
      <c r="T82" s="724"/>
    </row>
    <row r="83" spans="6:20" ht="14.5">
      <c r="F83" s="7" t="str">
        <f ca="1">EURO!F74</f>
        <v>Croatia</v>
      </c>
      <c r="H83" s="8" t="str">
        <f ca="1">EURO!H74</f>
        <v>Denmark</v>
      </c>
      <c r="L83" s="25"/>
      <c r="M83" s="25"/>
      <c r="R83" s="7" t="str">
        <f ca="1">EURO!R74</f>
        <v>Belgium</v>
      </c>
      <c r="T83" s="8" t="str">
        <f ca="1">EURO!T74</f>
        <v>Germany</v>
      </c>
    </row>
    <row r="84" spans="6:21" ht="15" thickBot="1">
      <c r="F84" s="1">
        <f>IF(EURO!F75="","",EURO!F75)</f>
        <v>1</v>
      </c>
      <c r="G84" s="12"/>
      <c r="H84" s="3">
        <f>IF(EURO!H75="","",EURO!H75)</f>
        <v>1</v>
      </c>
      <c r="I84" s="301" t="str">
        <f>IF(EURO!I75="","",EURO!I75)</f>
        <v/>
      </c>
      <c r="L84" s="16"/>
      <c r="R84" s="1">
        <f>IF(EURO!R75="","",EURO!R75)</f>
        <v>2</v>
      </c>
      <c r="S84" s="12"/>
      <c r="T84" s="3">
        <f>IF(EURO!T75="","",EURO!T75)</f>
        <v>1</v>
      </c>
      <c r="U84" s="301" t="str">
        <f>IF(EURO!U75="","",EURO!U75)</f>
        <v/>
      </c>
    </row>
    <row r="85" spans="6:20" ht="10" customHeight="1">
      <c r="F85" s="708" t="str">
        <f>EURO!F76</f>
        <v>Penalty shoot-out:</v>
      </c>
      <c r="G85" s="709"/>
      <c r="H85" s="710"/>
      <c r="L85" s="16"/>
      <c r="R85" s="708" t="str">
        <f>EURO!R76</f>
        <v>Penalty shoot-out:</v>
      </c>
      <c r="S85" s="709"/>
      <c r="T85" s="710"/>
    </row>
    <row r="86" spans="6:20" ht="15" thickBot="1">
      <c r="F86" s="297">
        <f>IF(EURO!F77="","",EURO!F77)</f>
        <v>3</v>
      </c>
      <c r="G86" s="12"/>
      <c r="H86" s="298">
        <f>IF(EURO!H77="","",EURO!H77)</f>
        <v>2</v>
      </c>
      <c r="L86" s="16"/>
      <c r="R86" s="297" t="str">
        <f>IF(EURO!R77="","",EURO!R77)</f>
        <v/>
      </c>
      <c r="S86" s="12"/>
      <c r="T86" s="298" t="str">
        <f>IF(EURO!T77="","",EURO!T77)</f>
        <v/>
      </c>
    </row>
    <row r="87" spans="6:20" ht="14.5">
      <c r="F87" s="10" t="str">
        <f>EURO!F78</f>
        <v>W45</v>
      </c>
      <c r="G87" s="13"/>
      <c r="H87" s="10" t="str">
        <f>EURO!H78</f>
        <v>W46</v>
      </c>
      <c r="I87" s="241"/>
      <c r="L87" s="17"/>
      <c r="R87" s="10" t="str">
        <f>EURO!R78</f>
        <v>W47</v>
      </c>
      <c r="S87" s="13"/>
      <c r="T87" s="10" t="str">
        <f>EURO!T78</f>
        <v>W48</v>
      </c>
    </row>
    <row r="88" spans="6:20" ht="12" customHeight="1">
      <c r="F88" s="711"/>
      <c r="G88" s="711"/>
      <c r="H88" s="711"/>
      <c r="L88" s="238"/>
      <c r="M88" s="238"/>
      <c r="N88" s="238"/>
      <c r="R88" s="711"/>
      <c r="S88" s="711"/>
      <c r="T88" s="711"/>
    </row>
    <row r="90" spans="12:14" ht="31">
      <c r="L90" s="715" t="str">
        <f>EURO!L81</f>
        <v>Final</v>
      </c>
      <c r="M90" s="716"/>
      <c r="N90" s="717"/>
    </row>
    <row r="91" spans="11:14" ht="15" customHeight="1">
      <c r="K91" s="111">
        <f>EURO!K82</f>
        <v>51</v>
      </c>
      <c r="L91" s="718" t="str">
        <f>EURO!L82</f>
        <v>Berlin</v>
      </c>
      <c r="M91" s="719"/>
      <c r="N91" s="720"/>
    </row>
    <row r="92" spans="12:14" ht="15" customHeight="1">
      <c r="L92" s="722">
        <f>EURO!L83</f>
        <v>45487.875</v>
      </c>
      <c r="M92" s="723"/>
      <c r="N92" s="724"/>
    </row>
    <row r="93" spans="12:14" ht="15" customHeight="1">
      <c r="L93" s="7" t="str">
        <f ca="1">EURO!L84</f>
        <v>Croatia</v>
      </c>
      <c r="N93" s="8" t="str">
        <f ca="1">EURO!N84</f>
        <v>Belgium</v>
      </c>
    </row>
    <row r="94" spans="2:15" ht="15" customHeight="1" thickBot="1">
      <c r="B94" s="15"/>
      <c r="L94" s="1">
        <f>IF(EURO!L85="","",EURO!L85)</f>
        <v>1</v>
      </c>
      <c r="M94" s="11"/>
      <c r="N94" s="3">
        <f>IF(EURO!N85="","",EURO!N85)</f>
        <v>0</v>
      </c>
      <c r="O94" s="301" t="str">
        <f>IF(EURO!O85="","",EURO!O85)</f>
        <v/>
      </c>
    </row>
    <row r="95" spans="2:23" ht="10" customHeight="1">
      <c r="B95" s="15"/>
      <c r="L95" s="708" t="str">
        <f>EURO!L86</f>
        <v>Penalty shoot-out:</v>
      </c>
      <c r="M95" s="709"/>
      <c r="N95" s="710"/>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12:15" ht="14.5">
      <c r="L97" s="10" t="str">
        <f>EURO!L88</f>
        <v>W49</v>
      </c>
      <c r="M97" s="13"/>
      <c r="N97" s="10" t="str">
        <f>EURO!N88</f>
        <v>W50</v>
      </c>
      <c r="O97" s="241"/>
    </row>
    <row r="98" spans="12:14" ht="14.5">
      <c r="L98" s="711"/>
      <c r="M98" s="711"/>
      <c r="N98" s="711"/>
    </row>
    <row r="100" spans="21:24" ht="14.5">
      <c r="U100" s="15"/>
      <c r="V100" s="15"/>
      <c r="W100" s="15"/>
      <c r="X100" s="15"/>
    </row>
    <row r="101" spans="2:4" ht="14.5">
      <c r="B101" s="713"/>
      <c r="C101" s="713"/>
      <c r="D101" s="713"/>
    </row>
    <row r="102" spans="10:16" ht="15" customHeight="1">
      <c r="J102" s="721" t="str">
        <f>EURO!R82</f>
        <v>European Champion 2024:</v>
      </c>
      <c r="K102" s="721"/>
      <c r="L102" s="721"/>
      <c r="M102" s="721"/>
      <c r="N102" s="721"/>
      <c r="O102" s="721"/>
      <c r="P102" s="721"/>
    </row>
    <row r="103" spans="10:16" ht="15" customHeight="1">
      <c r="J103" s="721"/>
      <c r="K103" s="721"/>
      <c r="L103" s="721"/>
      <c r="M103" s="721"/>
      <c r="N103" s="721"/>
      <c r="O103" s="721"/>
      <c r="P103" s="721"/>
    </row>
    <row r="104" spans="10:16" ht="15" customHeight="1">
      <c r="J104" s="707" t="str">
        <f ca="1">EURO!R84</f>
        <v>Croatia</v>
      </c>
      <c r="K104" s="707"/>
      <c r="L104" s="707"/>
      <c r="M104" s="707"/>
      <c r="N104" s="707"/>
      <c r="O104" s="707"/>
      <c r="P104" s="707"/>
    </row>
    <row r="105" spans="10:16" ht="15" customHeight="1">
      <c r="J105" s="707"/>
      <c r="K105" s="707"/>
      <c r="L105" s="707"/>
      <c r="M105" s="707"/>
      <c r="N105" s="707"/>
      <c r="O105" s="707"/>
      <c r="P105" s="707"/>
    </row>
    <row r="109" spans="20:25" ht="14.5">
      <c r="T109" s="780" t="str">
        <f>EURO!T92</f>
        <v>https://hermann-baum.de/excel/UEFA_EURO/en/</v>
      </c>
      <c r="U109" s="780"/>
      <c r="V109" s="780"/>
      <c r="W109" s="780"/>
      <c r="X109" s="780"/>
      <c r="Y109" s="780"/>
    </row>
  </sheetData>
  <sheetProtection sheet="1" objects="1" scenario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priority="414" dxfId="582">
      <formula>INT(B12)=TODAY()</formula>
    </cfRule>
  </conditionalFormatting>
  <conditionalFormatting sqref="B14">
    <cfRule type="expression" priority="411" dxfId="581">
      <formula>AND(B12&lt;TODAY(),B14="")</formula>
    </cfRule>
  </conditionalFormatting>
  <conditionalFormatting sqref="B19">
    <cfRule type="expression" priority="248" dxfId="581">
      <formula>AND(B17&lt;TODAY(),B19="")</formula>
    </cfRule>
  </conditionalFormatting>
  <conditionalFormatting sqref="B24">
    <cfRule type="expression" priority="236" dxfId="581">
      <formula>AND(B22&lt;TODAY(),B24="")</formula>
    </cfRule>
  </conditionalFormatting>
  <conditionalFormatting sqref="B29">
    <cfRule type="expression" priority="224" dxfId="581">
      <formula>AND(B27&lt;TODAY(),B29="")</formula>
    </cfRule>
  </conditionalFormatting>
  <conditionalFormatting sqref="B34">
    <cfRule type="expression" priority="212" dxfId="581">
      <formula>AND(B32&lt;TODAY(),B34="")</formula>
    </cfRule>
  </conditionalFormatting>
  <conditionalFormatting sqref="B41">
    <cfRule type="expression" priority="200" dxfId="581">
      <formula>AND(B39&lt;TODAY(),B41="")</formula>
    </cfRule>
  </conditionalFormatting>
  <conditionalFormatting sqref="B49 B57">
    <cfRule type="expression" priority="12" dxfId="569">
      <formula>OR($V$50="a",$V$47="a",$V$48="a",$V$49="a")</formula>
    </cfRule>
  </conditionalFormatting>
  <conditionalFormatting sqref="B62 E62 H62 K62 N62 Q62 T62 W62">
    <cfRule type="expression" priority="91" dxfId="582">
      <formula>INT(B62)=TODAY()</formula>
    </cfRule>
  </conditionalFormatting>
  <conditionalFormatting sqref="B64">
    <cfRule type="expression" priority="93" dxfId="581">
      <formula>AND(B62&lt;TODAY(),B64="")</formula>
    </cfRule>
  </conditionalFormatting>
  <conditionalFormatting sqref="B66">
    <cfRule type="expression" priority="83" dxfId="585">
      <formula>AND(B64=C64,B64&lt;&gt;"")</formula>
    </cfRule>
  </conditionalFormatting>
  <conditionalFormatting sqref="B5:C5">
    <cfRule type="expression" priority="350" dxfId="569">
      <formula>OR($V$55="a",$V$56="a",$V$57="a",$V$58="a")</formula>
    </cfRule>
  </conditionalFormatting>
  <conditionalFormatting sqref="B65:C65">
    <cfRule type="expression" priority="46" dxfId="584">
      <formula>AND(B64=C64,B64&lt;&gt;"",C64&lt;&gt;"")</formula>
    </cfRule>
  </conditionalFormatting>
  <conditionalFormatting sqref="C14">
    <cfRule type="expression" priority="412" dxfId="581">
      <formula>AND(B12&lt;TODAY(),C14="")</formula>
    </cfRule>
  </conditionalFormatting>
  <conditionalFormatting sqref="C19">
    <cfRule type="expression" priority="249" dxfId="581">
      <formula>AND(B17&lt;TODAY(),C19="")</formula>
    </cfRule>
  </conditionalFormatting>
  <conditionalFormatting sqref="C24">
    <cfRule type="expression" priority="237" dxfId="581">
      <formula>AND(B22&lt;TODAY(),C24="")</formula>
    </cfRule>
  </conditionalFormatting>
  <conditionalFormatting sqref="C29">
    <cfRule type="expression" priority="225" dxfId="581">
      <formula>AND(B27&lt;TODAY(),C29="")</formula>
    </cfRule>
  </conditionalFormatting>
  <conditionalFormatting sqref="C34">
    <cfRule type="expression" priority="213" dxfId="581">
      <formula>AND(B32&lt;TODAY(),C34="")</formula>
    </cfRule>
  </conditionalFormatting>
  <conditionalFormatting sqref="C41">
    <cfRule type="expression" priority="201" dxfId="581">
      <formula>AND(B39&lt;TODAY(),C41="")</formula>
    </cfRule>
  </conditionalFormatting>
  <conditionalFormatting sqref="C64">
    <cfRule type="expression" priority="92" dxfId="581">
      <formula>AND(B62&lt;TODAY(),C64="")</formula>
    </cfRule>
  </conditionalFormatting>
  <conditionalFormatting sqref="C66">
    <cfRule type="expression" priority="84" dxfId="585">
      <formula>AND(B64=C64,B64&lt;&gt;"")</formula>
    </cfRule>
  </conditionalFormatting>
  <conditionalFormatting sqref="C72">
    <cfRule type="expression" priority="94" dxfId="582">
      <formula>INT(C72)=TODAY()</formula>
    </cfRule>
  </conditionalFormatting>
  <conditionalFormatting sqref="C74 I74 O74 U74 F84 R84 L94">
    <cfRule type="expression" priority="97" dxfId="581">
      <formula>AND(C72&lt;TODAY(),C74="")</formula>
    </cfRule>
  </conditionalFormatting>
  <conditionalFormatting sqref="C76">
    <cfRule type="expression" priority="81" dxfId="585">
      <formula>AND(C74=E74,C74&lt;&gt;"")</formula>
    </cfRule>
  </conditionalFormatting>
  <conditionalFormatting sqref="C75:E75">
    <cfRule type="expression" priority="82" dxfId="584">
      <formula>AND(C74=E74,C74&lt;&gt;"",E74&lt;&gt;"")</formula>
    </cfRule>
  </conditionalFormatting>
  <conditionalFormatting sqref="E12 H12 K12 N12 Q12 B17 E17 H17 K17 N17 Q17 B22 E22 H22 K22 N22 Q22 B27 E27 H27 K27 N27 Q27 B32 E32 H32 K32 N32 Q32 B39 E39 H39 K39 N39 Q39">
    <cfRule type="expression" priority="250" dxfId="582">
      <formula>INT(B12)=TODAY()</formula>
    </cfRule>
  </conditionalFormatting>
  <conditionalFormatting sqref="E14">
    <cfRule type="expression" priority="329" dxfId="581">
      <formula>AND(E12&lt;TODAY(),E14="")</formula>
    </cfRule>
  </conditionalFormatting>
  <conditionalFormatting sqref="E19">
    <cfRule type="expression" priority="246" dxfId="581">
      <formula>AND(E17&lt;TODAY(),E19="")</formula>
    </cfRule>
  </conditionalFormatting>
  <conditionalFormatting sqref="E24">
    <cfRule type="expression" priority="234" dxfId="581">
      <formula>AND(E22&lt;TODAY(),E24="")</formula>
    </cfRule>
  </conditionalFormatting>
  <conditionalFormatting sqref="E29">
    <cfRule type="expression" priority="222" dxfId="581">
      <formula>AND(E27&lt;TODAY(),E29="")</formula>
    </cfRule>
  </conditionalFormatting>
  <conditionalFormatting sqref="E34">
    <cfRule type="expression" priority="210" dxfId="581">
      <formula>AND(E32&lt;TODAY(),E34="")</formula>
    </cfRule>
  </conditionalFormatting>
  <conditionalFormatting sqref="E41">
    <cfRule type="expression" priority="198" dxfId="581">
      <formula>AND(E39&lt;TODAY(),E41="")</formula>
    </cfRule>
  </conditionalFormatting>
  <conditionalFormatting sqref="E49 E57">
    <cfRule type="expression" priority="11" dxfId="569">
      <formula>OR($V$50="b",$V$47="b",$V$48="b",$V$49="b")</formula>
    </cfRule>
  </conditionalFormatting>
  <conditionalFormatting sqref="E64">
    <cfRule type="expression" priority="39" dxfId="581">
      <formula>AND(E62&lt;TODAY(),E64="")</formula>
    </cfRule>
  </conditionalFormatting>
  <conditionalFormatting sqref="E66">
    <cfRule type="expression" priority="77" dxfId="585">
      <formula>AND(E64=F64,E64&lt;&gt;"")</formula>
    </cfRule>
  </conditionalFormatting>
  <conditionalFormatting sqref="E74 K74 Q74 W74 H84 T84 N94">
    <cfRule type="expression" priority="95" dxfId="581">
      <formula>AND(C72&lt;TODAY(),E74="")</formula>
    </cfRule>
  </conditionalFormatting>
  <conditionalFormatting sqref="E76">
    <cfRule type="expression" priority="80" dxfId="585">
      <formula>AND(C74=E74,C74&lt;&gt;"")</formula>
    </cfRule>
  </conditionalFormatting>
  <conditionalFormatting sqref="E5:F5">
    <cfRule type="expression" priority="351" dxfId="569">
      <formula>OR($V$55="b",$V$56="b",$V$57="b",$V$58="b")</formula>
    </cfRule>
  </conditionalFormatting>
  <conditionalFormatting sqref="E65:F65">
    <cfRule type="expression" priority="47" dxfId="584">
      <formula>AND(E64=F64,E64&lt;&gt;"",F64&lt;&gt;"")</formula>
    </cfRule>
  </conditionalFormatting>
  <conditionalFormatting sqref="F14">
    <cfRule type="expression" priority="330" dxfId="581">
      <formula>AND(E12&lt;TODAY(),F14="")</formula>
    </cfRule>
  </conditionalFormatting>
  <conditionalFormatting sqref="F19">
    <cfRule type="expression" priority="247" dxfId="581">
      <formula>AND(E17&lt;TODAY(),F19="")</formula>
    </cfRule>
  </conditionalFormatting>
  <conditionalFormatting sqref="F24">
    <cfRule type="expression" priority="235" dxfId="581">
      <formula>AND(E22&lt;TODAY(),F24="")</formula>
    </cfRule>
  </conditionalFormatting>
  <conditionalFormatting sqref="F29">
    <cfRule type="expression" priority="223" dxfId="581">
      <formula>AND(E27&lt;TODAY(),F29="")</formula>
    </cfRule>
  </conditionalFormatting>
  <conditionalFormatting sqref="F34">
    <cfRule type="expression" priority="211" dxfId="581">
      <formula>AND(E32&lt;TODAY(),F34="")</formula>
    </cfRule>
  </conditionalFormatting>
  <conditionalFormatting sqref="F41">
    <cfRule type="expression" priority="199" dxfId="581">
      <formula>AND(E39&lt;TODAY(),F41="")</formula>
    </cfRule>
  </conditionalFormatting>
  <conditionalFormatting sqref="F64">
    <cfRule type="expression" priority="38" dxfId="581">
      <formula>AND(E62&lt;TODAY(),F64="")</formula>
    </cfRule>
  </conditionalFormatting>
  <conditionalFormatting sqref="F66">
    <cfRule type="expression" priority="78" dxfId="585">
      <formula>AND(E64=F64,E64&lt;&gt;"")</formula>
    </cfRule>
  </conditionalFormatting>
  <conditionalFormatting sqref="F82">
    <cfRule type="expression" priority="86" dxfId="582">
      <formula>INT(F82)=TODAY()</formula>
    </cfRule>
  </conditionalFormatting>
  <conditionalFormatting sqref="F86">
    <cfRule type="expression" priority="58" dxfId="585">
      <formula>AND(F84=H84,F84&lt;&gt;"")</formula>
    </cfRule>
  </conditionalFormatting>
  <conditionalFormatting sqref="F85:H85">
    <cfRule type="expression" priority="41" dxfId="584">
      <formula>AND(F84=H84,F84&lt;&gt;"",H84&lt;&gt;"")</formula>
    </cfRule>
  </conditionalFormatting>
  <conditionalFormatting sqref="H14">
    <cfRule type="expression" priority="327" dxfId="581">
      <formula>AND(H12&lt;TODAY(),H14="")</formula>
    </cfRule>
  </conditionalFormatting>
  <conditionalFormatting sqref="H19">
    <cfRule type="expression" priority="244" dxfId="581">
      <formula>AND(H17&lt;TODAY(),H19="")</formula>
    </cfRule>
  </conditionalFormatting>
  <conditionalFormatting sqref="H24">
    <cfRule type="expression" priority="232" dxfId="581">
      <formula>AND(H22&lt;TODAY(),H24="")</formula>
    </cfRule>
  </conditionalFormatting>
  <conditionalFormatting sqref="H29">
    <cfRule type="expression" priority="220" dxfId="581">
      <formula>AND(H27&lt;TODAY(),H29="")</formula>
    </cfRule>
  </conditionalFormatting>
  <conditionalFormatting sqref="H34">
    <cfRule type="expression" priority="208" dxfId="581">
      <formula>AND(H32&lt;TODAY(),H34="")</formula>
    </cfRule>
  </conditionalFormatting>
  <conditionalFormatting sqref="H41">
    <cfRule type="expression" priority="196" dxfId="581">
      <formula>AND(H39&lt;TODAY(),H41="")</formula>
    </cfRule>
  </conditionalFormatting>
  <conditionalFormatting sqref="H49 H57">
    <cfRule type="expression" priority="10" dxfId="569">
      <formula>OR($V$50="c",$V$47="c",$V$48="c",$V$49="c")</formula>
    </cfRule>
  </conditionalFormatting>
  <conditionalFormatting sqref="H64">
    <cfRule type="expression" priority="37" dxfId="581">
      <formula>AND(H62&lt;TODAY(),H64="")</formula>
    </cfRule>
  </conditionalFormatting>
  <conditionalFormatting sqref="H66">
    <cfRule type="expression" priority="75" dxfId="585">
      <formula>AND(H64=I64,H64&lt;&gt;"")</formula>
    </cfRule>
  </conditionalFormatting>
  <conditionalFormatting sqref="H86">
    <cfRule type="expression" priority="57" dxfId="585">
      <formula>AND(F84=H84,F84&lt;&gt;"")</formula>
    </cfRule>
  </conditionalFormatting>
  <conditionalFormatting sqref="H5:I5">
    <cfRule type="expression" priority="352" dxfId="569">
      <formula>OR($V$55="c",$V$56="c",$V$57="c",$V$58="c")</formula>
    </cfRule>
  </conditionalFormatting>
  <conditionalFormatting sqref="H65:I65">
    <cfRule type="expression" priority="48" dxfId="584">
      <formula>AND(H64=I64,H64&lt;&gt;"",I64&lt;&gt;"")</formula>
    </cfRule>
  </conditionalFormatting>
  <conditionalFormatting sqref="I14">
    <cfRule type="expression" priority="328" dxfId="581">
      <formula>AND(H12&lt;TODAY(),I14="")</formula>
    </cfRule>
  </conditionalFormatting>
  <conditionalFormatting sqref="I19">
    <cfRule type="expression" priority="245" dxfId="581">
      <formula>AND(H17&lt;TODAY(),I19="")</formula>
    </cfRule>
  </conditionalFormatting>
  <conditionalFormatting sqref="I24">
    <cfRule type="expression" priority="233" dxfId="581">
      <formula>AND(H22&lt;TODAY(),I24="")</formula>
    </cfRule>
  </conditionalFormatting>
  <conditionalFormatting sqref="I29">
    <cfRule type="expression" priority="221" dxfId="581">
      <formula>AND(H27&lt;TODAY(),I29="")</formula>
    </cfRule>
  </conditionalFormatting>
  <conditionalFormatting sqref="I34">
    <cfRule type="expression" priority="209" dxfId="581">
      <formula>AND(H32&lt;TODAY(),I34="")</formula>
    </cfRule>
  </conditionalFormatting>
  <conditionalFormatting sqref="I41">
    <cfRule type="expression" priority="197" dxfId="581">
      <formula>AND(H39&lt;TODAY(),I41="")</formula>
    </cfRule>
  </conditionalFormatting>
  <conditionalFormatting sqref="I64">
    <cfRule type="expression" priority="36" dxfId="581">
      <formula>AND(H62&lt;TODAY(),I64="")</formula>
    </cfRule>
  </conditionalFormatting>
  <conditionalFormatting sqref="I66">
    <cfRule type="expression" priority="76" dxfId="585">
      <formula>AND(H64=I64,H64&lt;&gt;"")</formula>
    </cfRule>
  </conditionalFormatting>
  <conditionalFormatting sqref="I72">
    <cfRule type="expression" priority="90" dxfId="582">
      <formula>INT(I72)=TODAY()</formula>
    </cfRule>
  </conditionalFormatting>
  <conditionalFormatting sqref="I76">
    <cfRule type="expression" priority="64" dxfId="585">
      <formula>AND(I74=K74,I74&lt;&gt;"")</formula>
    </cfRule>
  </conditionalFormatting>
  <conditionalFormatting sqref="I75:K75">
    <cfRule type="expression" priority="45" dxfId="584">
      <formula>AND(I74=K74,I74&lt;&gt;"",K74&lt;&gt;"")</formula>
    </cfRule>
  </conditionalFormatting>
  <conditionalFormatting sqref="K14">
    <cfRule type="expression" priority="325" dxfId="581">
      <formula>AND(K12&lt;TODAY(),K14="")</formula>
    </cfRule>
  </conditionalFormatting>
  <conditionalFormatting sqref="K19">
    <cfRule type="expression" priority="242" dxfId="581">
      <formula>AND(K17&lt;TODAY(),K19="")</formula>
    </cfRule>
  </conditionalFormatting>
  <conditionalFormatting sqref="K24">
    <cfRule type="expression" priority="230" dxfId="581">
      <formula>AND(K22&lt;TODAY(),K24="")</formula>
    </cfRule>
  </conditionalFormatting>
  <conditionalFormatting sqref="K29">
    <cfRule type="expression" priority="218" dxfId="581">
      <formula>AND(K27&lt;TODAY(),K29="")</formula>
    </cfRule>
  </conditionalFormatting>
  <conditionalFormatting sqref="K34">
    <cfRule type="expression" priority="206" dxfId="581">
      <formula>AND(K32&lt;TODAY(),K34="")</formula>
    </cfRule>
  </conditionalFormatting>
  <conditionalFormatting sqref="K41">
    <cfRule type="expression" priority="194" dxfId="581">
      <formula>AND(K39&lt;TODAY(),K41="")</formula>
    </cfRule>
  </conditionalFormatting>
  <conditionalFormatting sqref="K49 K57">
    <cfRule type="expression" priority="9" dxfId="569">
      <formula>OR($V$50="d",$V$47="d",$V$48="d",$V$49="d")</formula>
    </cfRule>
  </conditionalFormatting>
  <conditionalFormatting sqref="K64">
    <cfRule type="expression" priority="35" dxfId="581">
      <formula>AND(K62&lt;TODAY(),K64="")</formula>
    </cfRule>
  </conditionalFormatting>
  <conditionalFormatting sqref="K66">
    <cfRule type="expression" priority="73" dxfId="585">
      <formula>AND(K64=L64,K64&lt;&gt;"")</formula>
    </cfRule>
  </conditionalFormatting>
  <conditionalFormatting sqref="K76">
    <cfRule type="expression" priority="63" dxfId="585">
      <formula>AND(I74=K74,I74&lt;&gt;"")</formula>
    </cfRule>
  </conditionalFormatting>
  <conditionalFormatting sqref="K5:L5">
    <cfRule type="expression" priority="353" dxfId="569">
      <formula>OR($V$55="D",$V$56="d",$V$57="d",$V$58="d")</formula>
    </cfRule>
  </conditionalFormatting>
  <conditionalFormatting sqref="K65:L65">
    <cfRule type="expression" priority="49" dxfId="584">
      <formula>AND(K64=L64,K64&lt;&gt;"",L64&lt;&gt;"")</formula>
    </cfRule>
  </conditionalFormatting>
  <conditionalFormatting sqref="L14">
    <cfRule type="expression" priority="326" dxfId="581">
      <formula>AND(K12&lt;TODAY(),L14="")</formula>
    </cfRule>
  </conditionalFormatting>
  <conditionalFormatting sqref="L19">
    <cfRule type="expression" priority="243" dxfId="581">
      <formula>AND(K17&lt;TODAY(),L19="")</formula>
    </cfRule>
  </conditionalFormatting>
  <conditionalFormatting sqref="L24">
    <cfRule type="expression" priority="231" dxfId="581">
      <formula>AND(K22&lt;TODAY(),L24="")</formula>
    </cfRule>
  </conditionalFormatting>
  <conditionalFormatting sqref="L29">
    <cfRule type="expression" priority="219" dxfId="581">
      <formula>AND(K27&lt;TODAY(),L29="")</formula>
    </cfRule>
  </conditionalFormatting>
  <conditionalFormatting sqref="L34">
    <cfRule type="expression" priority="207" dxfId="581">
      <formula>AND(K32&lt;TODAY(),L34="")</formula>
    </cfRule>
  </conditionalFormatting>
  <conditionalFormatting sqref="L41">
    <cfRule type="expression" priority="195" dxfId="581">
      <formula>AND(K39&lt;TODAY(),L41="")</formula>
    </cfRule>
  </conditionalFormatting>
  <conditionalFormatting sqref="L64">
    <cfRule type="expression" priority="34" dxfId="581">
      <formula>AND(K62&lt;TODAY(),L64="")</formula>
    </cfRule>
  </conditionalFormatting>
  <conditionalFormatting sqref="L66">
    <cfRule type="expression" priority="74" dxfId="585">
      <formula>AND(K64=L64,K64&lt;&gt;"")</formula>
    </cfRule>
  </conditionalFormatting>
  <conditionalFormatting sqref="L84:L86">
    <cfRule type="expression" priority="98" dxfId="582">
      <formula>AND(L84=TODAY())</formula>
    </cfRule>
  </conditionalFormatting>
  <conditionalFormatting sqref="L92">
    <cfRule type="expression" priority="85" dxfId="582">
      <formula>INT(L92)=TODAY()</formula>
    </cfRule>
  </conditionalFormatting>
  <conditionalFormatting sqref="L96">
    <cfRule type="expression" priority="54" dxfId="585">
      <formula>AND(L94=N94,L94&lt;&gt;"")</formula>
    </cfRule>
  </conditionalFormatting>
  <conditionalFormatting sqref="L95:N95">
    <cfRule type="expression" priority="40" dxfId="584">
      <formula>AND(L94=N94,L94&lt;&gt;"",N94&lt;&gt;"")</formula>
    </cfRule>
  </conditionalFormatting>
  <conditionalFormatting sqref="N14">
    <cfRule type="expression" priority="323" dxfId="581">
      <formula>AND(N12&lt;TODAY(),N14="")</formula>
    </cfRule>
  </conditionalFormatting>
  <conditionalFormatting sqref="N19">
    <cfRule type="expression" priority="240" dxfId="581">
      <formula>AND(N17&lt;TODAY(),N19="")</formula>
    </cfRule>
  </conditionalFormatting>
  <conditionalFormatting sqref="N24">
    <cfRule type="expression" priority="228" dxfId="581">
      <formula>AND(N22&lt;TODAY(),N24="")</formula>
    </cfRule>
  </conditionalFormatting>
  <conditionalFormatting sqref="N29">
    <cfRule type="expression" priority="216" dxfId="581">
      <formula>AND(N27&lt;TODAY(),N29="")</formula>
    </cfRule>
  </conditionalFormatting>
  <conditionalFormatting sqref="N34">
    <cfRule type="expression" priority="204" dxfId="581">
      <formula>AND(N32&lt;TODAY(),N34="")</formula>
    </cfRule>
  </conditionalFormatting>
  <conditionalFormatting sqref="N41">
    <cfRule type="expression" priority="192" dxfId="581">
      <formula>AND(N39&lt;TODAY(),N41="")</formula>
    </cfRule>
  </conditionalFormatting>
  <conditionalFormatting sqref="N49 N57">
    <cfRule type="expression" priority="8" dxfId="569">
      <formula>OR($V$50="e",$V$47="e",$V$48="e",$V$49="e")</formula>
    </cfRule>
  </conditionalFormatting>
  <conditionalFormatting sqref="N64">
    <cfRule type="expression" priority="33" dxfId="581">
      <formula>AND(N62&lt;TODAY(),N64="")</formula>
    </cfRule>
  </conditionalFormatting>
  <conditionalFormatting sqref="N66">
    <cfRule type="expression" priority="71" dxfId="585">
      <formula>AND(N64=O64,N64&lt;&gt;"")</formula>
    </cfRule>
  </conditionalFormatting>
  <conditionalFormatting sqref="N96">
    <cfRule type="expression" priority="53" dxfId="585">
      <formula>AND(L94=N94,L94&lt;&gt;"")</formula>
    </cfRule>
  </conditionalFormatting>
  <conditionalFormatting sqref="N5:O5">
    <cfRule type="expression" priority="354" dxfId="569">
      <formula>OR($V$55="E",$V$56="E",$V$57="E",$V$58="E")</formula>
    </cfRule>
  </conditionalFormatting>
  <conditionalFormatting sqref="N65:O65">
    <cfRule type="expression" priority="50" dxfId="584">
      <formula>AND(N64=O64,N64&lt;&gt;"",O64&lt;&gt;"")</formula>
    </cfRule>
  </conditionalFormatting>
  <conditionalFormatting sqref="O14">
    <cfRule type="expression" priority="324" dxfId="581">
      <formula>AND(N12&lt;TODAY(),O14="")</formula>
    </cfRule>
  </conditionalFormatting>
  <conditionalFormatting sqref="O19">
    <cfRule type="expression" priority="241" dxfId="581">
      <formula>AND(N17&lt;TODAY(),O19="")</formula>
    </cfRule>
  </conditionalFormatting>
  <conditionalFormatting sqref="O24">
    <cfRule type="expression" priority="229" dxfId="581">
      <formula>AND(N22&lt;TODAY(),O24="")</formula>
    </cfRule>
  </conditionalFormatting>
  <conditionalFormatting sqref="O29">
    <cfRule type="expression" priority="217" dxfId="581">
      <formula>AND(N27&lt;TODAY(),O29="")</formula>
    </cfRule>
  </conditionalFormatting>
  <conditionalFormatting sqref="O34">
    <cfRule type="expression" priority="205" dxfId="581">
      <formula>AND(N32&lt;TODAY(),O34="")</formula>
    </cfRule>
  </conditionalFormatting>
  <conditionalFormatting sqref="O41">
    <cfRule type="expression" priority="193" dxfId="581">
      <formula>AND(N39&lt;TODAY(),O41="")</formula>
    </cfRule>
  </conditionalFormatting>
  <conditionalFormatting sqref="O64">
    <cfRule type="expression" priority="32" dxfId="581">
      <formula>AND(N62&lt;TODAY(),O64="")</formula>
    </cfRule>
  </conditionalFormatting>
  <conditionalFormatting sqref="O66">
    <cfRule type="expression" priority="72" dxfId="585">
      <formula>AND(N64=O64,N64&lt;&gt;"")</formula>
    </cfRule>
  </conditionalFormatting>
  <conditionalFormatting sqref="O72">
    <cfRule type="expression" priority="89" dxfId="582">
      <formula>INT(O72)=TODAY()</formula>
    </cfRule>
  </conditionalFormatting>
  <conditionalFormatting sqref="O76">
    <cfRule type="expression" priority="62" dxfId="585">
      <formula>AND(O74=Q74,O74&lt;&gt;"")</formula>
    </cfRule>
  </conditionalFormatting>
  <conditionalFormatting sqref="O75:Q75">
    <cfRule type="expression" priority="44" dxfId="584">
      <formula>AND(O74=Q74,O74&lt;&gt;"",Q74&lt;&gt;"")</formula>
    </cfRule>
  </conditionalFormatting>
  <conditionalFormatting sqref="Q14">
    <cfRule type="expression" priority="321" dxfId="581">
      <formula>AND(Q12&lt;TODAY(),Q14="")</formula>
    </cfRule>
  </conditionalFormatting>
  <conditionalFormatting sqref="Q19">
    <cfRule type="expression" priority="238" dxfId="581">
      <formula>AND(Q17&lt;TODAY(),Q19="")</formula>
    </cfRule>
  </conditionalFormatting>
  <conditionalFormatting sqref="Q24">
    <cfRule type="expression" priority="226" dxfId="581">
      <formula>AND(Q22&lt;TODAY(),Q24="")</formula>
    </cfRule>
  </conditionalFormatting>
  <conditionalFormatting sqref="Q29">
    <cfRule type="expression" priority="214" dxfId="581">
      <formula>AND(Q27&lt;TODAY(),Q29="")</formula>
    </cfRule>
  </conditionalFormatting>
  <conditionalFormatting sqref="Q34">
    <cfRule type="expression" priority="202" dxfId="581">
      <formula>AND(Q32&lt;TODAY(),Q34="")</formula>
    </cfRule>
  </conditionalFormatting>
  <conditionalFormatting sqref="Q41">
    <cfRule type="expression" priority="190" dxfId="581">
      <formula>AND(Q39&lt;TODAY(),Q41="")</formula>
    </cfRule>
  </conditionalFormatting>
  <conditionalFormatting sqref="Q49 Q57">
    <cfRule type="expression" priority="7" dxfId="569">
      <formula>OR($V$50="F",$V$47="F",$V$48="F",$V$49="F")</formula>
    </cfRule>
  </conditionalFormatting>
  <conditionalFormatting sqref="Q64">
    <cfRule type="expression" priority="31" dxfId="581">
      <formula>AND(Q62&lt;TODAY(),Q64="")</formula>
    </cfRule>
  </conditionalFormatting>
  <conditionalFormatting sqref="Q66">
    <cfRule type="expression" priority="69" dxfId="585">
      <formula>AND(Q64=R64,Q64&lt;&gt;"")</formula>
    </cfRule>
  </conditionalFormatting>
  <conditionalFormatting sqref="Q76">
    <cfRule type="expression" priority="61" dxfId="585">
      <formula>AND(O74=Q74,O74&lt;&gt;"")</formula>
    </cfRule>
  </conditionalFormatting>
  <conditionalFormatting sqref="Q5:R5">
    <cfRule type="expression" priority="355" dxfId="569">
      <formula>OR($V$55="F",$V$56="F",$V$57="F",$V$58="F")</formula>
    </cfRule>
  </conditionalFormatting>
  <conditionalFormatting sqref="Q65:R65">
    <cfRule type="expression" priority="79" dxfId="584">
      <formula>AND(Q64=R64,Q64&lt;&gt;"",R64&lt;&gt;"")</formula>
    </cfRule>
  </conditionalFormatting>
  <conditionalFormatting sqref="R14">
    <cfRule type="expression" priority="322" dxfId="581">
      <formula>AND(Q12&lt;TODAY(),R14="")</formula>
    </cfRule>
  </conditionalFormatting>
  <conditionalFormatting sqref="R19">
    <cfRule type="expression" priority="239" dxfId="581">
      <formula>AND(Q17&lt;TODAY(),R19="")</formula>
    </cfRule>
  </conditionalFormatting>
  <conditionalFormatting sqref="R24">
    <cfRule type="expression" priority="227" dxfId="581">
      <formula>AND(Q22&lt;TODAY(),R24="")</formula>
    </cfRule>
  </conditionalFormatting>
  <conditionalFormatting sqref="R29">
    <cfRule type="expression" priority="215" dxfId="581">
      <formula>AND(Q27&lt;TODAY(),R29="")</formula>
    </cfRule>
  </conditionalFormatting>
  <conditionalFormatting sqref="R34">
    <cfRule type="expression" priority="203" dxfId="581">
      <formula>AND(Q32&lt;TODAY(),R34="")</formula>
    </cfRule>
  </conditionalFormatting>
  <conditionalFormatting sqref="R41">
    <cfRule type="expression" priority="191" dxfId="581">
      <formula>AND(Q39&lt;TODAY(),R41="")</formula>
    </cfRule>
  </conditionalFormatting>
  <conditionalFormatting sqref="R64">
    <cfRule type="expression" priority="30" dxfId="581">
      <formula>AND(Q62&lt;TODAY(),R64="")</formula>
    </cfRule>
  </conditionalFormatting>
  <conditionalFormatting sqref="R66">
    <cfRule type="expression" priority="70" dxfId="585">
      <formula>AND(Q64=R64,Q64&lt;&gt;"")</formula>
    </cfRule>
  </conditionalFormatting>
  <conditionalFormatting sqref="R82">
    <cfRule type="expression" priority="87" dxfId="582">
      <formula>INT(R82)=TODAY()</formula>
    </cfRule>
  </conditionalFormatting>
  <conditionalFormatting sqref="R86">
    <cfRule type="expression" priority="56" dxfId="585">
      <formula>AND(R84=T84,R84&lt;&gt;"")</formula>
    </cfRule>
  </conditionalFormatting>
  <conditionalFormatting sqref="R85:T85">
    <cfRule type="expression" priority="42" dxfId="584">
      <formula>AND(R84=T84,R84&lt;&gt;"",T84&lt;&gt;"")</formula>
    </cfRule>
  </conditionalFormatting>
  <conditionalFormatting sqref="T16">
    <cfRule type="expression" priority="388" dxfId="582">
      <formula>AND(T16=TODAY())</formula>
    </cfRule>
  </conditionalFormatting>
  <conditionalFormatting sqref="T64">
    <cfRule type="expression" priority="29" dxfId="581">
      <formula>AND(T62&lt;TODAY(),T64="")</formula>
    </cfRule>
  </conditionalFormatting>
  <conditionalFormatting sqref="T66">
    <cfRule type="expression" priority="67" dxfId="585">
      <formula>AND(T64=U64,T64&lt;&gt;"")</formula>
    </cfRule>
  </conditionalFormatting>
  <conditionalFormatting sqref="T86">
    <cfRule type="expression" priority="55" dxfId="585">
      <formula>AND(R84=T84,R84&lt;&gt;"")</formula>
    </cfRule>
  </conditionalFormatting>
  <conditionalFormatting sqref="T65:U65">
    <cfRule type="expression" priority="52" dxfId="584">
      <formula>AND(T64=U64,T64&lt;&gt;"",U64&lt;&gt;"")</formula>
    </cfRule>
  </conditionalFormatting>
  <conditionalFormatting sqref="U64">
    <cfRule type="expression" priority="28" dxfId="581">
      <formula>AND(T62&lt;TODAY(),U64="")</formula>
    </cfRule>
  </conditionalFormatting>
  <conditionalFormatting sqref="U66">
    <cfRule type="expression" priority="68" dxfId="585">
      <formula>AND(T64=U64,T64&lt;&gt;"")</formula>
    </cfRule>
  </conditionalFormatting>
  <conditionalFormatting sqref="U72">
    <cfRule type="expression" priority="88" dxfId="582">
      <formula>INT(U72)=TODAY()</formula>
    </cfRule>
  </conditionalFormatting>
  <conditionalFormatting sqref="U76">
    <cfRule type="expression" priority="60" dxfId="585">
      <formula>AND(U74=W74,U74&lt;&gt;"")</formula>
    </cfRule>
  </conditionalFormatting>
  <conditionalFormatting sqref="U75:W75">
    <cfRule type="expression" priority="43" dxfId="584">
      <formula>AND(U74=W74,U74&lt;&gt;"",W74&lt;&gt;"")</formula>
    </cfRule>
  </conditionalFormatting>
  <conditionalFormatting sqref="V62">
    <cfRule type="expression" priority="96" dxfId="582">
      <formula>AND(V62=TODAY())</formula>
    </cfRule>
  </conditionalFormatting>
  <conditionalFormatting sqref="W64">
    <cfRule type="expression" priority="27" dxfId="581">
      <formula>AND(W62&lt;TODAY(),W64="")</formula>
    </cfRule>
  </conditionalFormatting>
  <conditionalFormatting sqref="W66">
    <cfRule type="expression" priority="65" dxfId="585">
      <formula>AND(W64=X64,W64&lt;&gt;"")</formula>
    </cfRule>
  </conditionalFormatting>
  <conditionalFormatting sqref="W76">
    <cfRule type="expression" priority="59" dxfId="585">
      <formula>AND(U74=W74,U74&lt;&gt;"")</formula>
    </cfRule>
  </conditionalFormatting>
  <conditionalFormatting sqref="W65:X65">
    <cfRule type="expression" priority="51" dxfId="584">
      <formula>AND(W64=X64,W64&lt;&gt;"",X64&lt;&gt;"")</formula>
    </cfRule>
  </conditionalFormatting>
  <conditionalFormatting sqref="X64">
    <cfRule type="expression" priority="26" dxfId="581">
      <formula>AND(W62&lt;TODAY(),X64="")</formula>
    </cfRule>
  </conditionalFormatting>
  <conditionalFormatting sqref="X66">
    <cfRule type="expression" priority="66" dxfId="585">
      <formula>AND(W64=X64,W64&lt;&gt;"")</formula>
    </cfRule>
  </conditionalFormatting>
  <conditionalFormatting sqref="B7">
    <cfRule type="expression" priority="415" dxfId="584">
      <formula>Distinctness!$D$4&gt;0</formula>
    </cfRule>
  </conditionalFormatting>
  <conditionalFormatting sqref="B35:C35">
    <cfRule type="expression" priority="416" dxfId="584">
      <formula>GrpA!$Y$11&gt;0</formula>
    </cfRule>
  </conditionalFormatting>
  <conditionalFormatting sqref="B36:C36">
    <cfRule type="expression" priority="418" dxfId="585">
      <formula>GrpA!$Y$11&gt;0</formula>
    </cfRule>
  </conditionalFormatting>
  <conditionalFormatting sqref="B43:C43">
    <cfRule type="expression" priority="183" dxfId="585">
      <formula>GrpA!$Y$11&gt;0</formula>
    </cfRule>
  </conditionalFormatting>
  <conditionalFormatting sqref="E35:F35 H35:I35 K35:L35 N35:O35 Q35:R35 B42:C42 E42:F42 H42:I42 K42:L42 N42:O42 Q42:R42">
    <cfRule type="expression" priority="189" dxfId="584">
      <formula>GrpA!$Y$11&gt;0</formula>
    </cfRule>
  </conditionalFormatting>
  <conditionalFormatting sqref="E36:F36">
    <cfRule type="expression" priority="422" dxfId="585">
      <formula>GrpB!$Y$11&gt;0</formula>
    </cfRule>
  </conditionalFormatting>
  <conditionalFormatting sqref="E43:F43">
    <cfRule type="expression" priority="184" dxfId="585">
      <formula>GrpB!$Y$11&gt;0</formula>
    </cfRule>
  </conditionalFormatting>
  <conditionalFormatting sqref="H36:I36">
    <cfRule type="expression" priority="426" dxfId="585">
      <formula>GrpC!$Y$11&gt;0</formula>
    </cfRule>
  </conditionalFormatting>
  <conditionalFormatting sqref="H43:I43">
    <cfRule type="expression" priority="185" dxfId="585">
      <formula>GrpC!$Y$11&gt;0</formula>
    </cfRule>
  </conditionalFormatting>
  <conditionalFormatting sqref="K36:L36">
    <cfRule type="expression" priority="430" dxfId="585">
      <formula>GrpD!$Y$11&gt;0</formula>
    </cfRule>
  </conditionalFormatting>
  <conditionalFormatting sqref="K43:L43">
    <cfRule type="expression" priority="186" dxfId="585">
      <formula>GrpD!$Y$11&gt;0</formula>
    </cfRule>
  </conditionalFormatting>
  <conditionalFormatting sqref="N36:O36">
    <cfRule type="expression" priority="434" dxfId="585">
      <formula>GrpE!$Y$11&gt;0</formula>
    </cfRule>
  </conditionalFormatting>
  <conditionalFormatting sqref="N43:O43">
    <cfRule type="expression" priority="187" dxfId="585">
      <formula>GrpE!$Y$11&gt;0</formula>
    </cfRule>
  </conditionalFormatting>
  <conditionalFormatting sqref="Q36:R36">
    <cfRule type="expression" priority="438" dxfId="585">
      <formula>GrpF!$Y$11&gt;0</formula>
    </cfRule>
  </conditionalFormatting>
  <conditionalFormatting sqref="Q43:R43">
    <cfRule type="expression" priority="188" dxfId="585">
      <formula>GrpF!$Y$11&gt;0</formula>
    </cfRule>
  </conditionalFormatting>
  <printOptions horizontalCentered="1"/>
  <pageMargins left="0.196850393700787" right="0.196850393700787" top="0.393700787401575" bottom="0.393700787401575" header="0.31496062992126" footer="0.31496062992126"/>
  <pageSetup fitToHeight="2" horizontalDpi="200" verticalDpi="200" orientation="landscape" paperSize="9" scale="54" r:id="rId2"/>
  <rowBreaks count="1" manualBreakCount="1">
    <brk id="53" max="16383" man="1"/>
  </rowBreak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L78"/>
  <sheetViews>
    <sheetView showGridLines="0" showRowColHeaders="0" workbookViewId="0" topLeftCell="A1">
      <selection pane="topLeft" activeCell="K7" sqref="K7"/>
    </sheetView>
  </sheetViews>
  <sheetFormatPr defaultColWidth="0" defaultRowHeight="14.5" zeroHeight="1"/>
  <cols>
    <col min="1" max="1" width="11.4285714285714" customWidth="1"/>
    <col min="2" max="2" width="21.5714285714286" style="108" customWidth="1"/>
    <col min="3" max="3" width="10.2857142857143" customWidth="1"/>
    <col min="4" max="4" width="18" customWidth="1"/>
    <col min="5" max="5" width="19" customWidth="1"/>
    <col min="6" max="6" width="9.28571428571429" customWidth="1"/>
    <col min="7" max="7" width="7.85714285714286" style="25" customWidth="1"/>
    <col min="8" max="8" width="9.71428571428571" style="25" customWidth="1"/>
    <col min="9" max="9" width="15.5714285714286" style="25" customWidth="1"/>
    <col min="10" max="10" width="11.4285714285714" customWidth="1"/>
    <col min="11" max="11" width="5.71428571428571" customWidth="1"/>
    <col min="12" max="12" width="19.2857142857143" customWidth="1"/>
    <col min="13" max="13" width="11.4285714285714" customWidth="1"/>
    <col min="14" max="16384" width="11.4285714285714" hidden="1"/>
  </cols>
  <sheetData>
    <row r="1" spans="1:9" ht="28.5">
      <c r="A1" s="126"/>
      <c r="B1" s="781" t="str">
        <f>Language!$E$221</f>
        <v>Daily schedule</v>
      </c>
      <c r="C1" s="781"/>
      <c r="D1" s="781"/>
      <c r="E1" s="781"/>
      <c r="F1" s="781"/>
      <c r="G1" s="781"/>
      <c r="H1" s="781"/>
      <c r="I1" s="650"/>
    </row>
    <row r="2" spans="1:12" ht="29"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2:12" ht="14.5">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2:12" ht="14.5">
      <c r="B5" s="593"/>
      <c r="C5" s="594"/>
      <c r="D5" s="595"/>
      <c r="E5" s="595"/>
      <c r="F5" s="596"/>
      <c r="G5" s="597"/>
      <c r="H5" s="597"/>
      <c r="I5" s="655"/>
      <c r="K5" s="784"/>
      <c r="L5" s="784"/>
    </row>
    <row r="6" spans="2:11" ht="15.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2:12" ht="14.5">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2:12" ht="14.5">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2:12" ht="14.5">
      <c r="B9" s="593"/>
      <c r="C9" s="594"/>
      <c r="D9" s="595"/>
      <c r="E9" s="595"/>
      <c r="F9" s="596"/>
      <c r="G9" s="597"/>
      <c r="H9" s="597"/>
      <c r="I9" s="655"/>
      <c r="K9" s="601" t="s">
        <v>185</v>
      </c>
      <c r="L9" s="603" t="str">
        <f>IFERROR(VLOOKUP(K9,Groups!$B$7:$D$35,3,0),"")</f>
        <v>France</v>
      </c>
    </row>
    <row r="10" spans="2: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2:9" ht="14.5">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2:9" ht="14.5">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2:9" ht="14.5">
      <c r="B13" s="593"/>
      <c r="C13" s="594"/>
      <c r="D13" s="595"/>
      <c r="E13" s="595"/>
      <c r="F13" s="596"/>
      <c r="G13" s="597"/>
      <c r="H13" s="597"/>
      <c r="I13" s="655"/>
    </row>
    <row r="14" spans="2:9" ht="14.5">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2:9" ht="14.5">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2:9" ht="14.5">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ht="14.5">
      <c r="B17" s="593"/>
      <c r="C17" s="594"/>
      <c r="D17" s="595"/>
      <c r="E17" s="595"/>
      <c r="F17" s="596"/>
      <c r="G17" s="597"/>
      <c r="H17" s="597"/>
      <c r="I17" s="655"/>
    </row>
    <row r="18" spans="2:9" ht="14.5">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ht="14.5">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ht="14.5">
      <c r="B20" s="593"/>
      <c r="C20" s="594"/>
      <c r="D20" s="595"/>
      <c r="E20" s="595"/>
      <c r="F20" s="596"/>
      <c r="G20" s="597"/>
      <c r="H20" s="597"/>
      <c r="I20" s="655"/>
    </row>
    <row r="21" spans="2:9" ht="14.5">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ht="14.5">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ht="14.5">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ht="14.5">
      <c r="B24" s="593"/>
      <c r="C24" s="594"/>
      <c r="D24" s="595"/>
      <c r="E24" s="595"/>
      <c r="F24" s="596"/>
      <c r="G24" s="597"/>
      <c r="H24" s="597"/>
      <c r="I24" s="655"/>
    </row>
    <row r="25" spans="2:9" ht="14.5">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ht="14.5">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ht="14.5">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ht="14.5">
      <c r="B28" s="593"/>
      <c r="C28" s="594"/>
      <c r="D28" s="595"/>
      <c r="E28" s="595"/>
      <c r="F28" s="596"/>
      <c r="G28" s="597"/>
      <c r="H28" s="597"/>
      <c r="I28" s="655"/>
    </row>
    <row r="29" spans="2:9" ht="14.5">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ht="14.5">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ht="14.5">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ht="14.5">
      <c r="B32" s="593"/>
      <c r="C32" s="594"/>
      <c r="D32" s="595"/>
      <c r="E32" s="595"/>
      <c r="F32" s="596"/>
      <c r="G32" s="597"/>
      <c r="H32" s="597"/>
      <c r="I32" s="655"/>
    </row>
    <row r="33" spans="2:9" ht="14.5">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ht="14.5">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ht="14.5">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ht="14.5">
      <c r="B36" s="593"/>
      <c r="C36" s="594"/>
      <c r="D36" s="595"/>
      <c r="E36" s="595"/>
      <c r="F36" s="596"/>
      <c r="G36" s="597"/>
      <c r="H36" s="597"/>
      <c r="I36" s="655"/>
    </row>
    <row r="37" spans="2:9" ht="14.5">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ht="14.5">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ht="14.5">
      <c r="B39" s="593"/>
      <c r="C39" s="594"/>
      <c r="D39" s="595"/>
      <c r="E39" s="595"/>
      <c r="F39" s="596"/>
      <c r="G39" s="597"/>
      <c r="H39" s="597"/>
      <c r="I39" s="655"/>
    </row>
    <row r="40" spans="2:9" ht="14.5">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ht="14.5">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ht="14.5">
      <c r="B42" s="593"/>
      <c r="C42" s="594"/>
      <c r="D42" s="595"/>
      <c r="E42" s="595"/>
      <c r="F42" s="596"/>
      <c r="G42" s="597"/>
      <c r="H42" s="597"/>
      <c r="I42" s="655"/>
    </row>
    <row r="43" spans="2:9" ht="14.5">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ht="14.5">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ht="14.5">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ht="14.5">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ht="14.5">
      <c r="B47" s="593"/>
      <c r="C47" s="594"/>
      <c r="D47" s="595"/>
      <c r="E47" s="595"/>
      <c r="F47" s="596"/>
      <c r="G47" s="597"/>
      <c r="H47" s="597"/>
      <c r="I47" s="655"/>
    </row>
    <row r="48" spans="2:9" ht="14.5">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ht="14.5">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ht="14.5">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ht="14.5">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ht="14.5">
      <c r="B52" s="593"/>
      <c r="C52" s="594"/>
      <c r="D52" s="595"/>
      <c r="E52" s="595"/>
      <c r="F52" s="596"/>
      <c r="G52" s="597"/>
      <c r="H52" s="597"/>
      <c r="I52" s="655"/>
    </row>
    <row r="53" spans="2:9" ht="14.5">
      <c r="B53" s="624" t="str">
        <f>Language!$E$227</f>
        <v>Round of 16</v>
      </c>
      <c r="C53" s="625"/>
      <c r="D53" s="626"/>
      <c r="E53" s="626"/>
      <c r="F53" s="627"/>
      <c r="G53" s="628"/>
      <c r="H53" s="628"/>
      <c r="I53" s="656"/>
    </row>
    <row r="54" spans="2:9" ht="14.5">
      <c r="B54" s="587">
        <f>INDEX(Matches!$B$4:$J$72,MATCH($F54,Matches!$B$4:$B$72,0),5)</f>
        <v>45472.75</v>
      </c>
      <c r="C54" s="588">
        <f>INDEX(Matches!$B$4:$J$72,MATCH($F54,Matches!$B$4:$B$72,0),5)</f>
        <v>45472.75</v>
      </c>
      <c r="D54" s="589" t="str">
        <f ca="1">INDEX(Matches!$B$4:$J$72,MATCH($F54,Matches!$B$4:$B$72,0),8)</f>
        <v>Germany</v>
      </c>
      <c r="E54" s="589" t="str">
        <f ca="1">INDEX(Matches!$B$4:$J$72,MATCH($F54,Matches!$B$4:$B$72,0),9)</f>
        <v>Spain</v>
      </c>
      <c r="F54" s="592">
        <v>38</v>
      </c>
      <c r="G54" s="591" t="str">
        <f>INDEX(Matches!$B$4:$J$72,MATCH($F54,Matches!$B$4:$B$72,0),2)</f>
        <v>2A</v>
      </c>
      <c r="H54" s="591" t="str">
        <f>INDEX(Matches!$B$4:$J$72,MATCH($F54,Matches!$B$4:$B$72,0),3)</f>
        <v>2B</v>
      </c>
      <c r="I54" s="654" t="str">
        <f>IFERROR(VLOOKUP($F54,Matches!$B$4:$H$58,7,0),"")</f>
        <v>Berlin</v>
      </c>
    </row>
    <row r="55" spans="2:9" ht="14.5">
      <c r="B55" s="587">
        <f>INDEX(Matches!$B$4:$J$72,MATCH($F55,Matches!$B$4:$B$72,0),5)</f>
        <v>45472.875</v>
      </c>
      <c r="C55" s="588">
        <f>INDEX(Matches!$B$4:$J$72,MATCH($F55,Matches!$B$4:$B$72,0),5)</f>
        <v>45472.875</v>
      </c>
      <c r="D55" s="589" t="str">
        <f ca="1">INDEX(Matches!$B$4:$J$72,MATCH($F55,Matches!$B$4:$B$72,0),8)</f>
        <v>Hungary</v>
      </c>
      <c r="E55" s="589" t="str">
        <f ca="1">INDEX(Matches!$B$4:$J$72,MATCH($F55,Matches!$B$4:$B$72,0),9)</f>
        <v>Serbia</v>
      </c>
      <c r="F55" s="592">
        <v>37</v>
      </c>
      <c r="G55" s="591" t="str">
        <f>INDEX(Matches!$B$4:$J$72,MATCH($F55,Matches!$B$4:$B$72,0),2)</f>
        <v>1A</v>
      </c>
      <c r="H55" s="591" t="str">
        <f>INDEX(Matches!$B$4:$J$72,MATCH($F55,Matches!$B$4:$B$72,0),3)</f>
        <v>2C</v>
      </c>
      <c r="I55" s="654" t="str">
        <f>IFERROR(VLOOKUP($F55,Matches!$B$4:$H$58,7,0),"")</f>
        <v>Dortmund</v>
      </c>
    </row>
    <row r="56" spans="2:9" ht="14.5">
      <c r="B56" s="593"/>
      <c r="C56" s="594"/>
      <c r="D56" s="595"/>
      <c r="E56" s="595"/>
      <c r="F56" s="596"/>
      <c r="G56" s="597"/>
      <c r="H56" s="597"/>
      <c r="I56" s="655"/>
    </row>
    <row r="57" spans="2:9" ht="14.5">
      <c r="B57" s="587">
        <f>INDEX(Matches!$B$4:$J$72,MATCH($F57,Matches!$B$4:$B$72,0),5)</f>
        <v>45473.75</v>
      </c>
      <c r="C57" s="588">
        <f>INDEX(Matches!$B$4:$J$72,MATCH($F57,Matches!$B$4:$B$72,0),5)</f>
        <v>45473.75</v>
      </c>
      <c r="D57" s="589" t="str">
        <f ca="1">INDEX(Matches!$B$4:$J$72,MATCH($F57,Matches!$B$4:$B$72,0),8)</f>
        <v>England</v>
      </c>
      <c r="E57" s="589" t="str">
        <f ca="1">INDEX(Matches!$B$4:$J$72,MATCH($F57,Matches!$B$4:$B$72,0),9)</f>
        <v>Türkiye</v>
      </c>
      <c r="F57" s="592">
        <v>40</v>
      </c>
      <c r="G57" s="591" t="str">
        <f>INDEX(Matches!$B$4:$J$72,MATCH($F57,Matches!$B$4:$B$72,0),2)</f>
        <v>1C</v>
      </c>
      <c r="H57" s="591" t="str">
        <f>INDEX(Matches!$B$4:$J$72,MATCH($F57,Matches!$B$4:$B$72,0),3)</f>
        <v>3D/E/F</v>
      </c>
      <c r="I57" s="654" t="str">
        <f>IFERROR(VLOOKUP($F57,Matches!$B$4:$H$58,7,0),"")</f>
        <v>Gelsenkirchen</v>
      </c>
    </row>
    <row r="58" spans="2:9" ht="14.5">
      <c r="B58" s="587">
        <f>INDEX(Matches!$B$4:$J$72,MATCH($F58,Matches!$B$4:$B$72,0),5)</f>
        <v>45473.875</v>
      </c>
      <c r="C58" s="588">
        <f>INDEX(Matches!$B$4:$J$72,MATCH($F58,Matches!$B$4:$B$72,0),5)</f>
        <v>45473.875</v>
      </c>
      <c r="D58" s="589" t="str">
        <f ca="1">INDEX(Matches!$B$4:$J$72,MATCH($F58,Matches!$B$4:$B$72,0),8)</f>
        <v>Croatia</v>
      </c>
      <c r="E58" s="589" t="str">
        <f ca="1">INDEX(Matches!$B$4:$J$72,MATCH($F58,Matches!$B$4:$B$72,0),9)</f>
        <v>Scotland</v>
      </c>
      <c r="F58" s="592">
        <v>39</v>
      </c>
      <c r="G58" s="591" t="str">
        <f>INDEX(Matches!$B$4:$J$72,MATCH($F58,Matches!$B$4:$B$72,0),2)</f>
        <v>1B</v>
      </c>
      <c r="H58" s="591" t="str">
        <f>INDEX(Matches!$B$4:$J$72,MATCH($F58,Matches!$B$4:$B$72,0),3)</f>
        <v>3A/D/E/F</v>
      </c>
      <c r="I58" s="654" t="str">
        <f>IFERROR(VLOOKUP($F58,Matches!$B$4:$H$58,7,0),"")</f>
        <v>Cologne</v>
      </c>
    </row>
    <row r="59" spans="2:9" ht="14.5">
      <c r="B59" s="593"/>
      <c r="C59" s="594"/>
      <c r="D59" s="595"/>
      <c r="E59" s="595"/>
      <c r="F59" s="596"/>
      <c r="G59" s="597"/>
      <c r="H59" s="597"/>
      <c r="I59" s="655"/>
    </row>
    <row r="60" spans="2:9" ht="14.5">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ht="14.5">
      <c r="B61" s="587">
        <f>INDEX(Matches!$B$4:$J$72,MATCH($F61,Matches!$B$4:$B$72,0),5)</f>
        <v>45474.875</v>
      </c>
      <c r="C61" s="588">
        <f>INDEX(Matches!$B$4:$J$72,MATCH($F61,Matches!$B$4:$B$72,0),5)</f>
        <v>45474.875</v>
      </c>
      <c r="D61" s="589" t="str">
        <f ca="1">INDEX(Matches!$B$4:$J$72,MATCH($F61,Matches!$B$4:$B$72,0),8)</f>
        <v>Portugal</v>
      </c>
      <c r="E61" s="589" t="str">
        <f ca="1">INDEX(Matches!$B$4:$J$72,MATCH($F61,Matches!$B$4:$B$72,0),9)</f>
        <v>Denmark</v>
      </c>
      <c r="F61" s="592">
        <v>41</v>
      </c>
      <c r="G61" s="591" t="str">
        <f>INDEX(Matches!$B$4:$J$72,MATCH($F61,Matches!$B$4:$B$72,0),2)</f>
        <v>1F</v>
      </c>
      <c r="H61" s="591" t="str">
        <f>INDEX(Matches!$B$4:$J$72,MATCH($F61,Matches!$B$4:$B$72,0),3)</f>
        <v>3A/B/C</v>
      </c>
      <c r="I61" s="654" t="str">
        <f>IFERROR(VLOOKUP($F61,Matches!$B$4:$H$58,7,0),"")</f>
        <v>Frankfurt</v>
      </c>
    </row>
    <row r="62" spans="2:9" ht="14.5">
      <c r="B62" s="593"/>
      <c r="C62" s="594"/>
      <c r="D62" s="595"/>
      <c r="E62" s="595"/>
      <c r="F62" s="596"/>
      <c r="G62" s="597"/>
      <c r="H62" s="597"/>
      <c r="I62" s="655"/>
    </row>
    <row r="63" spans="2:9" ht="14.5">
      <c r="B63" s="587">
        <f>INDEX(Matches!$B$4:$J$72,MATCH($F63,Matches!$B$4:$B$72,0),5)</f>
        <v>45475.75</v>
      </c>
      <c r="C63" s="588">
        <f>INDEX(Matches!$B$4:$J$72,MATCH($F63,Matches!$B$4:$B$72,0),5)</f>
        <v>45475.75</v>
      </c>
      <c r="D63" s="589" t="str">
        <f ca="1">INDEX(Matches!$B$4:$J$72,MATCH($F63,Matches!$B$4:$B$72,0),8)</f>
        <v>Belgium</v>
      </c>
      <c r="E63" s="589" t="str">
        <f ca="1">INDEX(Matches!$B$4:$J$72,MATCH($F63,Matches!$B$4:$B$72,0),9)</f>
        <v>Italy</v>
      </c>
      <c r="F63" s="592">
        <v>43</v>
      </c>
      <c r="G63" s="591" t="str">
        <f>INDEX(Matches!$B$4:$J$72,MATCH($F63,Matches!$B$4:$B$72,0),2)</f>
        <v>1E</v>
      </c>
      <c r="H63" s="591" t="str">
        <f>INDEX(Matches!$B$4:$J$72,MATCH($F63,Matches!$B$4:$B$72,0),3)</f>
        <v>3A/B/C/D</v>
      </c>
      <c r="I63" s="654" t="str">
        <f>IFERROR(VLOOKUP($F63,Matches!$B$4:$H$58,7,0),"")</f>
        <v>Munich</v>
      </c>
    </row>
    <row r="64" spans="2:9" ht="14.5">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ht="14.5">
      <c r="B65" s="593"/>
      <c r="C65" s="594"/>
      <c r="D65" s="595"/>
      <c r="E65" s="595"/>
      <c r="F65" s="596"/>
      <c r="G65" s="597"/>
      <c r="H65" s="597"/>
      <c r="I65" s="655"/>
    </row>
    <row r="66" spans="2:9" ht="14.5">
      <c r="B66" s="624" t="str">
        <f>Language!$E$228</f>
        <v>Quarter final</v>
      </c>
      <c r="C66" s="625"/>
      <c r="D66" s="626"/>
      <c r="E66" s="626"/>
      <c r="F66" s="627"/>
      <c r="G66" s="628"/>
      <c r="H66" s="628"/>
      <c r="I66" s="656"/>
    </row>
    <row r="67" spans="2:9" ht="14.5">
      <c r="B67" s="587">
        <f>INDEX(Matches!$B$4:$J$72,MATCH($F67,Matches!$B$4:$B$72,0),5)</f>
        <v>45478.75</v>
      </c>
      <c r="C67" s="588">
        <f>INDEX(Matches!$B$4:$J$72,MATCH($F67,Matches!$B$4:$B$72,0),5)</f>
        <v>45478.75</v>
      </c>
      <c r="D67" s="589" t="str">
        <f ca="1">INDIRECT("'"&amp;References!$A$1&amp;"'!$C$64")</f>
        <v>Croatia</v>
      </c>
      <c r="E67" s="589" t="str">
        <f ca="1">INDIRECT("'"&amp;References!$A$1&amp;"'!$E$64")</f>
        <v>Hungary</v>
      </c>
      <c r="F67" s="592">
        <v>45</v>
      </c>
      <c r="G67" s="591" t="str">
        <f>INDEX(Matches!$B$4:$J$72,MATCH($F67,Matches!$B$4:$B$72,0),2)</f>
        <v>W39</v>
      </c>
      <c r="H67" s="591" t="str">
        <f>INDEX(Matches!$B$4:$J$72,MATCH($F67,Matches!$B$4:$B$72,0),3)</f>
        <v>W37</v>
      </c>
      <c r="I67" s="654" t="str">
        <f>IFERROR(VLOOKUP($F67,Matches!$B$4:$H$58,7,0),"")</f>
        <v>Stuttgart</v>
      </c>
    </row>
    <row r="68" spans="2:9" ht="14.5">
      <c r="B68" s="587">
        <f>INDEX(Matches!$B$4:$J$72,MATCH($F68,Matches!$B$4:$B$72,0),5)</f>
        <v>45478.875</v>
      </c>
      <c r="C68" s="588">
        <f>INDEX(Matches!$B$4:$J$72,MATCH($F68,Matches!$B$4:$B$72,0),5)</f>
        <v>45478.875</v>
      </c>
      <c r="D68" s="589" t="str">
        <f ca="1">INDIRECT("'"&amp;References!$A$1&amp;"'!$I$64")</f>
        <v>Denmark</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ht="14.5">
      <c r="B69" s="593"/>
      <c r="C69" s="594"/>
      <c r="D69" s="595"/>
      <c r="E69" s="595"/>
      <c r="F69" s="596"/>
      <c r="G69" s="597"/>
      <c r="H69" s="597"/>
      <c r="I69" s="655"/>
    </row>
    <row r="70" spans="2:9" ht="14.5">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ht="14.5">
      <c r="B71" s="606">
        <f>INDEX(Matches!$B$4:$J$72,MATCH($F71,Matches!$B$4:$B$72,0),5)</f>
        <v>45479.875</v>
      </c>
      <c r="C71" s="607">
        <f>INDEX(Matches!$B$4:$J$72,MATCH($F71,Matches!$B$4:$B$72,0),5)</f>
        <v>45479.875</v>
      </c>
      <c r="D71" s="589" t="str">
        <f ca="1">INDIRECT("'"&amp;References!$A$1&amp;"'!$U$64")</f>
        <v>England</v>
      </c>
      <c r="E71" s="589" t="str">
        <f ca="1">INDIRECT("'"&amp;References!$A$1&amp;"'!$W$64")</f>
        <v>Germany</v>
      </c>
      <c r="F71" s="592">
        <v>47</v>
      </c>
      <c r="G71" s="629" t="str">
        <f>INDEX(Matches!$B$4:$J$72,MATCH($F71,Matches!$B$4:$B$72,0),2)</f>
        <v>W43</v>
      </c>
      <c r="H71" s="629" t="str">
        <f>INDEX(Matches!$B$4:$J$72,MATCH($F71,Matches!$B$4:$B$72,0),3)</f>
        <v>W44</v>
      </c>
      <c r="I71" s="657" t="str">
        <f>IFERROR(VLOOKUP($F71,Matches!$B$4:$H$58,7,0),"")</f>
        <v>Berlin</v>
      </c>
    </row>
    <row r="72" spans="2:9" ht="14.5">
      <c r="B72" s="593"/>
      <c r="C72" s="594"/>
      <c r="D72" s="595"/>
      <c r="E72" s="595"/>
      <c r="F72" s="596"/>
      <c r="G72" s="597"/>
      <c r="H72" s="597"/>
      <c r="I72" s="655"/>
    </row>
    <row r="73" spans="2:9" ht="14.5">
      <c r="B73" s="624" t="str">
        <f>Language!$E$229</f>
        <v>Semi-Final</v>
      </c>
      <c r="C73" s="625"/>
      <c r="D73" s="626"/>
      <c r="E73" s="626"/>
      <c r="F73" s="627"/>
      <c r="G73" s="628"/>
      <c r="H73" s="628"/>
      <c r="I73" s="656"/>
    </row>
    <row r="74" spans="2:9" ht="14.5">
      <c r="B74" s="606">
        <f>INDEX(Matches!$B$4:$J$72,MATCH($F74,Matches!$B$4:$B$72,0),5)</f>
        <v>45482.875</v>
      </c>
      <c r="C74" s="607">
        <f>INDEX(Matches!$B$4:$J$72,MATCH($F74,Matches!$B$4:$B$72,0),5)</f>
        <v>45482.875</v>
      </c>
      <c r="D74" s="608" t="str">
        <f ca="1">INDIRECT("'"&amp;References!$A$1&amp;"'!$F$74")</f>
        <v>Croatia</v>
      </c>
      <c r="E74" s="608" t="str">
        <f ca="1">INDIRECT("'"&amp;References!$A$1&amp;"'!$H$74")</f>
        <v>Denmark</v>
      </c>
      <c r="F74" s="592">
        <v>49</v>
      </c>
      <c r="G74" s="629" t="str">
        <f>INDEX(Matches!$B$4:$J$72,MATCH($F74,Matches!$B$4:$B$72,0),2)</f>
        <v>W45</v>
      </c>
      <c r="H74" s="629" t="str">
        <f>INDEX(Matches!$B$4:$J$72,MATCH($F74,Matches!$B$4:$B$72,0),3)</f>
        <v>W46</v>
      </c>
      <c r="I74" s="657" t="str">
        <f>IFERROR(VLOOKUP($F74,Matches!$B$4:$H$58,7,0),"")</f>
        <v>Munich</v>
      </c>
    </row>
    <row r="75" spans="2:9" ht="14.5">
      <c r="B75" s="587">
        <f>INDEX(Matches!$B$4:$J$72,MATCH($F75,Matches!$B$4:$B$72,0),5)</f>
        <v>45483.875</v>
      </c>
      <c r="C75" s="588">
        <f>INDEX(Matches!$B$4:$J$72,MATCH($F75,Matches!$B$4:$B$72,0),5)</f>
        <v>45483.875</v>
      </c>
      <c r="D75" s="589" t="str">
        <f ca="1">INDIRECT("'"&amp;References!$A$1&amp;"'!R$74")</f>
        <v>Belgium</v>
      </c>
      <c r="E75" s="589" t="str">
        <f ca="1">INDIRECT("'"&amp;References!$A$1&amp;"'!$T$74")</f>
        <v>Germany</v>
      </c>
      <c r="F75" s="592">
        <v>50</v>
      </c>
      <c r="G75" s="591" t="str">
        <f>INDEX(Matches!$B$4:$J$72,MATCH($F75,Matches!$B$4:$B$72,0),2)</f>
        <v>W47</v>
      </c>
      <c r="H75" s="591" t="str">
        <f>INDEX(Matches!$B$4:$J$72,MATCH($F75,Matches!$B$4:$B$72,0),3)</f>
        <v>W48</v>
      </c>
      <c r="I75" s="654" t="str">
        <f>IFERROR(VLOOKUP($F75,Matches!$B$4:$H$58,7,0),"")</f>
        <v>Dortmund</v>
      </c>
    </row>
    <row r="76" spans="2:9" ht="14.5">
      <c r="B76" s="593"/>
      <c r="C76" s="594"/>
      <c r="D76" s="595"/>
      <c r="E76" s="595"/>
      <c r="F76" s="596"/>
      <c r="G76" s="597"/>
      <c r="H76" s="597"/>
      <c r="I76" s="655"/>
    </row>
    <row r="77" spans="2:9" ht="14.5">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Croatia</v>
      </c>
      <c r="E78" s="611" t="str">
        <f ca="1">INDIRECT("'"&amp;References!$A$1&amp;"'!$N$84")</f>
        <v>Belgium</v>
      </c>
      <c r="F78" s="612">
        <v>51</v>
      </c>
      <c r="G78" s="613" t="str">
        <f>INDEX(Matches!$B$4:$J$72,MATCH($F78,Matches!$B$4:$B$72,0),2)</f>
        <v>W49</v>
      </c>
      <c r="H78" s="613" t="str">
        <f>INDEX(Matches!$B$4:$J$72,MATCH($F78,Matches!$B$4:$B$72,0),3)</f>
        <v>W50</v>
      </c>
      <c r="I78" s="658" t="str">
        <f>IFERROR(VLOOKUP($F78,Matches!$B$4:$H$58,7,0),"")</f>
        <v>Berlin</v>
      </c>
    </row>
    <row r="79" ht="15" thickTop="1"/>
    <row r="80" ht="14.5"/>
    <row r="81" ht="14.5"/>
    <row r="82" ht="14.5"/>
    <row r="83" ht="14.5"/>
    <row r="84" ht="14.5"/>
  </sheetData>
  <sheetProtection sheet="1" objects="1" scenarios="1" selectLockedCells="1"/>
  <mergeCells count="4">
    <mergeCell ref="B1:H1"/>
    <mergeCell ref="K2:L2"/>
    <mergeCell ref="G3:H3"/>
    <mergeCell ref="K3:L5"/>
  </mergeCells>
  <conditionalFormatting sqref="B4:B78">
    <cfRule type="expression" priority="1" dxfId="219">
      <formula>INT(B4)=TODAY()</formula>
    </cfRule>
  </conditionalFormatting>
  <conditionalFormatting sqref="D4:E78">
    <cfRule type="expression" priority="2" dxfId="218">
      <formula>AND(D4=$L$10,D4&lt;&gt;"")</formula>
    </cfRule>
    <cfRule type="expression" priority="3" dxfId="217">
      <formula>AND(D4=$L$9,D4&lt;&gt;"")</formula>
    </cfRule>
    <cfRule type="expression" priority="4" dxfId="216">
      <formula>AND(D4=$L$8,D4&lt;&gt;"")</formula>
    </cfRule>
    <cfRule type="expression" priority="5" dxfId="215">
      <formula>AND(D4=$L$7,D4&lt;&gt;"")</formula>
    </cfRule>
  </conditionalFormatting>
  <printOptions horizontalCentered="1"/>
  <pageMargins left="0.31496062992126" right="0.31496062992126" top="0.393700787401575" bottom="0.393700787401575" header="0.31496062992126" footer="0.31496062992126"/>
  <pageSetup fitToHeight="2" orientation="portrait" paperSize="9"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0"/>
  <sheetViews>
    <sheetView showGridLines="0" showRowColHeaders="0" workbookViewId="0" topLeftCell="A1">
      <selection pane="topLeft" activeCell="M6" sqref="M6"/>
    </sheetView>
  </sheetViews>
  <sheetFormatPr defaultColWidth="10.9042857142857" defaultRowHeight="15.5" zeroHeight="1"/>
  <cols>
    <col min="1" max="1" width="3.28571428571429" style="428" customWidth="1"/>
    <col min="2" max="2" width="4.71428571428571" style="428" customWidth="1"/>
    <col min="3" max="3" width="15.7142857142857" customWidth="1"/>
    <col min="4" max="4" width="4.71428571428571" customWidth="1"/>
    <col min="5" max="5" width="15.7142857142857" customWidth="1"/>
    <col min="6" max="7" width="4.71428571428571" style="22" customWidth="1"/>
    <col min="8" max="8" width="9.85714285714286" style="25" customWidth="1"/>
    <col min="9" max="9" width="4.71428571428571" style="25" customWidth="1"/>
    <col min="10" max="10" width="15.7142857142857" style="25" customWidth="1"/>
    <col min="11" max="11" width="4.71428571428571" style="25" customWidth="1"/>
    <col min="12" max="12" width="15.7142857142857" style="25" customWidth="1"/>
    <col min="13" max="14" width="4.71428571428571" style="25" customWidth="1"/>
    <col min="15" max="20" width="3.71428571428571" style="25" customWidth="1"/>
    <col min="22" max="22" width="4.71428571428571" style="25" customWidth="1"/>
    <col min="23" max="23" width="15.7142857142857" style="25" customWidth="1"/>
    <col min="24" max="24" width="4.71428571428571" style="25" customWidth="1"/>
    <col min="25" max="25" width="15.7142857142857" style="25" customWidth="1"/>
    <col min="26" max="27" width="4.71428571428571" style="25" customWidth="1"/>
    <col min="28" max="33" width="3.71428571428571" style="25" customWidth="1"/>
    <col min="35" max="35" width="4.71428571428571" style="25" customWidth="1"/>
    <col min="36" max="36" width="15.7142857142857" style="25" customWidth="1"/>
    <col min="37" max="37" width="4.71428571428571" style="25" customWidth="1"/>
    <col min="38" max="38" width="15.7142857142857" style="25" customWidth="1"/>
    <col min="39" max="40" width="4.71428571428571" style="25" customWidth="1"/>
    <col min="41" max="46" width="3.71428571428571" style="25" customWidth="1"/>
    <col min="48" max="48" width="4.71428571428571" style="25" customWidth="1"/>
    <col min="49" max="49" width="15.7142857142857" style="25" customWidth="1"/>
    <col min="50" max="50" width="4.71428571428571" style="25" customWidth="1"/>
    <col min="51" max="51" width="15.7142857142857" style="25" customWidth="1"/>
    <col min="52" max="53" width="4.71428571428571" style="25" customWidth="1"/>
    <col min="54" max="59" width="3.71428571428571" style="25" customWidth="1"/>
    <col min="61" max="61" width="4.71428571428571" style="25" customWidth="1"/>
    <col min="62" max="62" width="15.7142857142857" style="25" customWidth="1"/>
    <col min="63" max="63" width="4.71428571428571" style="25" customWidth="1"/>
    <col min="64" max="64" width="15.7142857142857" style="25" customWidth="1"/>
    <col min="65" max="66" width="4.71428571428571" style="25" customWidth="1"/>
    <col min="67" max="72" width="3.71428571428571" style="25" customWidth="1"/>
    <col min="74" max="74" width="4.71428571428571" style="25" customWidth="1"/>
    <col min="75" max="75" width="15.7142857142857" style="25" customWidth="1"/>
    <col min="76" max="76" width="4.71428571428571" style="25" customWidth="1"/>
    <col min="77" max="77" width="15.7142857142857" style="25" customWidth="1"/>
    <col min="78" max="79" width="4.71428571428571" style="25" customWidth="1"/>
    <col min="80" max="85" width="3.71428571428571" style="25" customWidth="1"/>
    <col min="87" max="87" width="4.71428571428571" style="25" customWidth="1"/>
    <col min="88" max="88" width="15.7142857142857" style="25" customWidth="1"/>
    <col min="89" max="89" width="4.71428571428571" style="25" customWidth="1"/>
    <col min="90" max="90" width="15.7142857142857" style="25" customWidth="1"/>
    <col min="91" max="92" width="4.71428571428571" style="25" customWidth="1"/>
    <col min="93" max="98" width="3.71428571428571" style="25" customWidth="1"/>
    <col min="100" max="100" width="4.71428571428571" style="25" customWidth="1"/>
    <col min="101" max="101" width="15.7142857142857" style="25" customWidth="1"/>
    <col min="102" max="102" width="4.71428571428571" style="25" customWidth="1"/>
    <col min="103" max="103" width="15.7142857142857" style="25" customWidth="1"/>
    <col min="104" max="105" width="4.71428571428571" style="25" customWidth="1"/>
    <col min="106" max="111" width="3.71428571428571" style="25" customWidth="1"/>
    <col min="113" max="113" width="4.71428571428571" style="25" customWidth="1"/>
    <col min="114" max="114" width="15.7142857142857" style="25" customWidth="1"/>
    <col min="115" max="115" width="4.71428571428571" style="25" customWidth="1"/>
    <col min="116" max="116" width="15.7142857142857" style="25" customWidth="1"/>
    <col min="117" max="118" width="4.71428571428571" style="25" customWidth="1"/>
    <col min="119" max="124" width="3.71428571428571" style="25" customWidth="1"/>
    <col min="126" max="126" width="4.71428571428571" style="25" customWidth="1"/>
    <col min="127" max="127" width="15.7142857142857" style="25" customWidth="1"/>
    <col min="128" max="128" width="4.71428571428571" style="25" customWidth="1"/>
    <col min="129" max="129" width="15.7142857142857" style="25" customWidth="1"/>
    <col min="130" max="131" width="4.71428571428571" style="25" customWidth="1"/>
    <col min="132" max="137" width="3.71428571428571" style="25" customWidth="1"/>
    <col min="139" max="139" width="4.71428571428571" style="25" customWidth="1"/>
    <col min="140" max="140" width="15.7142857142857" style="25" customWidth="1"/>
    <col min="141" max="141" width="4.71428571428571" style="25" customWidth="1"/>
    <col min="142" max="142" width="15.7142857142857" style="25" customWidth="1"/>
    <col min="143" max="144" width="4.71428571428571" style="25" customWidth="1"/>
    <col min="145" max="150" width="3.71428571428571" style="25" customWidth="1"/>
    <col min="152" max="152" width="4.71428571428571" style="25" customWidth="1"/>
    <col min="153" max="153" width="15.7142857142857" style="25" customWidth="1"/>
    <col min="154" max="154" width="4.71428571428571" style="25" customWidth="1"/>
    <col min="155" max="155" width="15.7142857142857" style="25" customWidth="1"/>
    <col min="156" max="157" width="4.71428571428571" style="25" customWidth="1"/>
    <col min="158" max="163" width="3.71428571428571" style="25" customWidth="1"/>
    <col min="165" max="165" width="4.71428571428571" style="25" customWidth="1"/>
    <col min="166" max="166" width="15.7142857142857" style="25" customWidth="1"/>
    <col min="167" max="167" width="4.71428571428571" style="25" customWidth="1"/>
    <col min="168" max="168" width="15.7142857142857" style="25" customWidth="1"/>
    <col min="169" max="170" width="4.71428571428571" style="25" customWidth="1"/>
    <col min="171" max="176" width="3.71428571428571" style="25" customWidth="1"/>
    <col min="178" max="178" width="4.71428571428571" style="25" customWidth="1"/>
    <col min="179" max="179" width="15.7142857142857" style="25" customWidth="1"/>
    <col min="180" max="180" width="4.71428571428571" style="25" customWidth="1"/>
    <col min="181" max="181" width="15.7142857142857" style="25" customWidth="1"/>
    <col min="182" max="183" width="4.71428571428571" style="25" customWidth="1"/>
    <col min="184" max="189" width="3.71428571428571" style="25" customWidth="1"/>
    <col min="191" max="191" width="4.71428571428571" style="25" customWidth="1"/>
    <col min="192" max="192" width="15.7142857142857" style="25" customWidth="1"/>
    <col min="193" max="193" width="4.71428571428571" style="25" customWidth="1"/>
    <col min="194" max="194" width="15.7142857142857" style="25" customWidth="1"/>
    <col min="195" max="196" width="4.71428571428571" style="25" customWidth="1"/>
    <col min="197" max="202" width="3.71428571428571" style="25" customWidth="1"/>
    <col min="204" max="204" width="4.71428571428571" style="25" customWidth="1"/>
    <col min="205" max="205" width="15.7142857142857" style="25" customWidth="1"/>
    <col min="206" max="206" width="4.71428571428571" style="25" customWidth="1"/>
    <col min="207" max="207" width="15.7142857142857" style="25" customWidth="1"/>
    <col min="208" max="209" width="4.71428571428571" style="25" customWidth="1"/>
    <col min="210" max="215" width="3.71428571428571" style="25" customWidth="1"/>
    <col min="217" max="217" width="4.71428571428571" style="25" customWidth="1"/>
    <col min="218" max="218" width="15.7142857142857" style="25" customWidth="1"/>
    <col min="219" max="219" width="4.71428571428571" style="25" customWidth="1"/>
    <col min="220" max="220" width="15.7142857142857" style="25" customWidth="1"/>
    <col min="221" max="222" width="4.71428571428571" style="25" customWidth="1"/>
    <col min="223" max="228" width="3.71428571428571" style="25" customWidth="1"/>
    <col min="230" max="230" width="4.71428571428571" style="25" customWidth="1"/>
    <col min="231" max="231" width="15.7142857142857" style="25" customWidth="1"/>
    <col min="232" max="232" width="4.71428571428571" style="25" customWidth="1"/>
    <col min="233" max="233" width="15.7142857142857" style="25" customWidth="1"/>
    <col min="234" max="235" width="4.71428571428571" style="25" customWidth="1"/>
    <col min="236" max="241" width="3.71428571428571" style="25" customWidth="1"/>
    <col min="243" max="243" width="4.71428571428571" style="25" customWidth="1"/>
    <col min="244" max="244" width="15.7142857142857" style="25" customWidth="1"/>
    <col min="245" max="245" width="4.71428571428571" style="25" customWidth="1"/>
    <col min="246" max="246" width="15.7142857142857" style="25" customWidth="1"/>
    <col min="247" max="248" width="4.71428571428571" style="25" customWidth="1"/>
    <col min="249" max="254" width="3.71428571428571" style="25" customWidth="1"/>
    <col min="256" max="256" width="4.71428571428571" style="25" customWidth="1"/>
    <col min="257" max="257" width="15.7142857142857" style="25" customWidth="1"/>
    <col min="258" max="258" width="4.71428571428571" style="25" customWidth="1"/>
    <col min="259" max="259" width="15.7142857142857" style="25" customWidth="1"/>
    <col min="260" max="261" width="4.71428571428571" style="25" customWidth="1"/>
    <col min="262" max="267" width="3.71428571428571" style="25" customWidth="1"/>
    <col min="269" max="269" width="4.71428571428571" style="25" customWidth="1"/>
    <col min="270" max="270" width="15.7142857142857" style="25" customWidth="1"/>
    <col min="271" max="271" width="4.71428571428571" style="25" customWidth="1"/>
    <col min="272" max="272" width="15.7142857142857" style="25" customWidth="1"/>
    <col min="273" max="274" width="4.71428571428571" style="25" customWidth="1"/>
    <col min="275" max="280" width="3.71428571428571" style="25" customWidth="1"/>
    <col min="282" max="282" width="4.71428571428571" style="25" customWidth="1"/>
    <col min="283" max="283" width="15.7142857142857" style="25" customWidth="1"/>
    <col min="284" max="284" width="4.71428571428571" style="25" customWidth="1"/>
    <col min="285" max="285" width="15.7142857142857" style="25" customWidth="1"/>
    <col min="286" max="287" width="4.71428571428571" style="25" customWidth="1"/>
    <col min="288" max="293" width="3.71428571428571" style="25" customWidth="1"/>
    <col min="295" max="295" width="4.71428571428571" style="25" customWidth="1"/>
    <col min="296" max="296" width="15.7142857142857" style="25" customWidth="1"/>
    <col min="297" max="297" width="4.71428571428571" style="25" customWidth="1"/>
    <col min="298" max="298" width="15.7142857142857" style="25" customWidth="1"/>
    <col min="299" max="300" width="4.71428571428571" style="25" customWidth="1"/>
    <col min="301" max="306" width="3.71428571428571" style="25" customWidth="1"/>
    <col min="308" max="308" width="4.71428571428571" style="25" customWidth="1"/>
    <col min="309" max="309" width="15.7142857142857" style="25" customWidth="1"/>
    <col min="310" max="310" width="4.71428571428571" style="25" customWidth="1"/>
    <col min="311" max="311" width="15.7142857142857" style="25" customWidth="1"/>
    <col min="312" max="313" width="4.71428571428571" style="25" customWidth="1"/>
    <col min="314" max="319" width="3.71428571428571" style="25" customWidth="1"/>
    <col min="321" max="321" width="4.71428571428571" style="25" customWidth="1"/>
    <col min="322" max="322" width="15.7142857142857" style="25" customWidth="1"/>
    <col min="323" max="323" width="4.71428571428571" style="25" customWidth="1"/>
    <col min="324" max="324" width="15.7142857142857" style="25" customWidth="1"/>
    <col min="325" max="326" width="4.71428571428571" style="25" customWidth="1"/>
    <col min="327" max="332" width="3.71428571428571" style="25" customWidth="1"/>
    <col min="334" max="334" width="4.71428571428571" style="25" customWidth="1"/>
    <col min="335" max="335" width="15.7142857142857" style="25" customWidth="1"/>
    <col min="336" max="336" width="4.71428571428571" style="25" customWidth="1"/>
    <col min="337" max="337" width="15.7142857142857" style="25" customWidth="1"/>
    <col min="338" max="339" width="4.71428571428571" style="25" customWidth="1"/>
    <col min="340" max="345" width="3.71428571428571" style="25" customWidth="1"/>
  </cols>
  <sheetData>
    <row r="1" spans="2:7" ht="28.5">
      <c r="B1" s="785" t="str">
        <f>Language!$E$172</f>
        <v>Predictions</v>
      </c>
      <c r="C1" s="785"/>
      <c r="D1" s="785"/>
      <c r="E1" s="785"/>
      <c r="F1" s="785"/>
      <c r="G1" s="785"/>
    </row>
    <row r="2" spans="1:345" ht="18.75" customHeight="1">
      <c r="A2" s="429"/>
      <c r="B2" s="429"/>
      <c r="C2" s="78"/>
      <c r="D2" s="78"/>
      <c r="E2" s="78"/>
      <c r="I2" s="786">
        <f ca="1">O72</f>
        <v>0</v>
      </c>
      <c r="J2" s="786"/>
      <c r="K2" s="786"/>
      <c r="L2" s="786"/>
      <c r="M2" s="786"/>
      <c r="N2" s="786"/>
      <c r="O2" s="786"/>
      <c r="P2" s="786"/>
      <c r="Q2" s="786"/>
      <c r="R2" s="786"/>
      <c r="S2" s="786"/>
      <c r="T2" s="786"/>
      <c r="V2" s="786">
        <f ca="1">AB72</f>
        <v>0</v>
      </c>
      <c r="W2" s="786"/>
      <c r="X2" s="786"/>
      <c r="Y2" s="786"/>
      <c r="Z2" s="786"/>
      <c r="AA2" s="786"/>
      <c r="AB2" s="786"/>
      <c r="AC2" s="786"/>
      <c r="AD2" s="786"/>
      <c r="AE2" s="786"/>
      <c r="AF2" s="786"/>
      <c r="AG2" s="786"/>
      <c r="AI2" s="786">
        <f ca="1">AO72</f>
        <v>0</v>
      </c>
      <c r="AJ2" s="786"/>
      <c r="AK2" s="786"/>
      <c r="AL2" s="786"/>
      <c r="AM2" s="786"/>
      <c r="AN2" s="786"/>
      <c r="AO2" s="786"/>
      <c r="AP2" s="786"/>
      <c r="AQ2" s="786"/>
      <c r="AR2" s="786"/>
      <c r="AS2" s="786"/>
      <c r="AT2" s="786"/>
      <c r="AV2" s="786">
        <f ca="1">BB72</f>
        <v>0</v>
      </c>
      <c r="AW2" s="786"/>
      <c r="AX2" s="786"/>
      <c r="AY2" s="786"/>
      <c r="AZ2" s="786"/>
      <c r="BA2" s="786"/>
      <c r="BB2" s="786"/>
      <c r="BC2" s="786"/>
      <c r="BD2" s="786"/>
      <c r="BE2" s="786"/>
      <c r="BF2" s="786"/>
      <c r="BG2" s="786"/>
      <c r="BI2" s="786">
        <f ca="1">BO72</f>
        <v>0</v>
      </c>
      <c r="BJ2" s="786"/>
      <c r="BK2" s="786"/>
      <c r="BL2" s="786"/>
      <c r="BM2" s="786"/>
      <c r="BN2" s="786"/>
      <c r="BO2" s="786"/>
      <c r="BP2" s="786"/>
      <c r="BQ2" s="786"/>
      <c r="BR2" s="786"/>
      <c r="BS2" s="786"/>
      <c r="BT2" s="786"/>
      <c r="BV2" s="786">
        <f ca="1">CB72</f>
        <v>0</v>
      </c>
      <c r="BW2" s="786"/>
      <c r="BX2" s="786"/>
      <c r="BY2" s="786"/>
      <c r="BZ2" s="786"/>
      <c r="CA2" s="786"/>
      <c r="CB2" s="786"/>
      <c r="CC2" s="786"/>
      <c r="CD2" s="786"/>
      <c r="CE2" s="786"/>
      <c r="CF2" s="786"/>
      <c r="CG2" s="786"/>
      <c r="CI2" s="786">
        <f ca="1">CO72</f>
        <v>0</v>
      </c>
      <c r="CJ2" s="786"/>
      <c r="CK2" s="786"/>
      <c r="CL2" s="786"/>
      <c r="CM2" s="786"/>
      <c r="CN2" s="786"/>
      <c r="CO2" s="786"/>
      <c r="CP2" s="786"/>
      <c r="CQ2" s="786"/>
      <c r="CR2" s="786"/>
      <c r="CS2" s="786"/>
      <c r="CT2" s="786"/>
      <c r="CV2" s="786">
        <f ca="1">DB72</f>
        <v>0</v>
      </c>
      <c r="CW2" s="786"/>
      <c r="CX2" s="786"/>
      <c r="CY2" s="786"/>
      <c r="CZ2" s="786"/>
      <c r="DA2" s="786"/>
      <c r="DB2" s="786"/>
      <c r="DC2" s="786"/>
      <c r="DD2" s="786"/>
      <c r="DE2" s="786"/>
      <c r="DF2" s="786"/>
      <c r="DG2" s="786"/>
      <c r="DI2" s="786">
        <f ca="1">DO72</f>
        <v>0</v>
      </c>
      <c r="DJ2" s="786"/>
      <c r="DK2" s="786"/>
      <c r="DL2" s="786"/>
      <c r="DM2" s="786"/>
      <c r="DN2" s="786"/>
      <c r="DO2" s="786"/>
      <c r="DP2" s="786"/>
      <c r="DQ2" s="786"/>
      <c r="DR2" s="786"/>
      <c r="DS2" s="786"/>
      <c r="DT2" s="786"/>
      <c r="DV2" s="786">
        <f ca="1">EB72</f>
        <v>0</v>
      </c>
      <c r="DW2" s="786"/>
      <c r="DX2" s="786"/>
      <c r="DY2" s="786"/>
      <c r="DZ2" s="786"/>
      <c r="EA2" s="786"/>
      <c r="EB2" s="786"/>
      <c r="EC2" s="786"/>
      <c r="ED2" s="786"/>
      <c r="EE2" s="786"/>
      <c r="EF2" s="786"/>
      <c r="EG2" s="786"/>
      <c r="EI2" s="786">
        <f ca="1">EO72</f>
        <v>0</v>
      </c>
      <c r="EJ2" s="786"/>
      <c r="EK2" s="786"/>
      <c r="EL2" s="786"/>
      <c r="EM2" s="786"/>
      <c r="EN2" s="786"/>
      <c r="EO2" s="786"/>
      <c r="EP2" s="786"/>
      <c r="EQ2" s="786"/>
      <c r="ER2" s="786"/>
      <c r="ES2" s="786"/>
      <c r="ET2" s="786"/>
      <c r="EV2" s="786">
        <f ca="1">FB72</f>
        <v>0</v>
      </c>
      <c r="EW2" s="786"/>
      <c r="EX2" s="786"/>
      <c r="EY2" s="786"/>
      <c r="EZ2" s="786"/>
      <c r="FA2" s="786"/>
      <c r="FB2" s="786"/>
      <c r="FC2" s="786"/>
      <c r="FD2" s="786"/>
      <c r="FE2" s="786"/>
      <c r="FF2" s="786"/>
      <c r="FG2" s="786"/>
      <c r="FI2" s="786">
        <f ca="1">FO72</f>
        <v>0</v>
      </c>
      <c r="FJ2" s="786"/>
      <c r="FK2" s="786"/>
      <c r="FL2" s="786"/>
      <c r="FM2" s="786"/>
      <c r="FN2" s="786"/>
      <c r="FO2" s="786"/>
      <c r="FP2" s="786"/>
      <c r="FQ2" s="786"/>
      <c r="FR2" s="786"/>
      <c r="FS2" s="786"/>
      <c r="FT2" s="786"/>
      <c r="FV2" s="786">
        <f ca="1">GB72</f>
        <v>0</v>
      </c>
      <c r="FW2" s="786"/>
      <c r="FX2" s="786"/>
      <c r="FY2" s="786"/>
      <c r="FZ2" s="786"/>
      <c r="GA2" s="786"/>
      <c r="GB2" s="786"/>
      <c r="GC2" s="786"/>
      <c r="GD2" s="786"/>
      <c r="GE2" s="786"/>
      <c r="GF2" s="786"/>
      <c r="GG2" s="786"/>
      <c r="GI2" s="786">
        <f ca="1">GO72</f>
        <v>0</v>
      </c>
      <c r="GJ2" s="786"/>
      <c r="GK2" s="786"/>
      <c r="GL2" s="786"/>
      <c r="GM2" s="786"/>
      <c r="GN2" s="786"/>
      <c r="GO2" s="786"/>
      <c r="GP2" s="786"/>
      <c r="GQ2" s="786"/>
      <c r="GR2" s="786"/>
      <c r="GS2" s="786"/>
      <c r="GT2" s="786"/>
      <c r="GV2" s="786">
        <f ca="1">HB72</f>
        <v>0</v>
      </c>
      <c r="GW2" s="786"/>
      <c r="GX2" s="786"/>
      <c r="GY2" s="786"/>
      <c r="GZ2" s="786"/>
      <c r="HA2" s="786"/>
      <c r="HB2" s="786"/>
      <c r="HC2" s="786"/>
      <c r="HD2" s="786"/>
      <c r="HE2" s="786"/>
      <c r="HF2" s="786"/>
      <c r="HG2" s="786"/>
      <c r="HI2" s="786">
        <f ca="1">HO72</f>
        <v>0</v>
      </c>
      <c r="HJ2" s="786"/>
      <c r="HK2" s="786"/>
      <c r="HL2" s="786"/>
      <c r="HM2" s="786"/>
      <c r="HN2" s="786"/>
      <c r="HO2" s="786"/>
      <c r="HP2" s="786"/>
      <c r="HQ2" s="786"/>
      <c r="HR2" s="786"/>
      <c r="HS2" s="786"/>
      <c r="HT2" s="786"/>
      <c r="HV2" s="786">
        <f ca="1">IB72</f>
        <v>0</v>
      </c>
      <c r="HW2" s="786"/>
      <c r="HX2" s="786"/>
      <c r="HY2" s="786"/>
      <c r="HZ2" s="786"/>
      <c r="IA2" s="786"/>
      <c r="IB2" s="786"/>
      <c r="IC2" s="786"/>
      <c r="ID2" s="786"/>
      <c r="IE2" s="786"/>
      <c r="IF2" s="786"/>
      <c r="IG2" s="786"/>
      <c r="II2" s="786">
        <f ca="1">IO72</f>
        <v>0</v>
      </c>
      <c r="IJ2" s="786"/>
      <c r="IK2" s="786"/>
      <c r="IL2" s="786"/>
      <c r="IM2" s="786"/>
      <c r="IN2" s="786"/>
      <c r="IO2" s="786"/>
      <c r="IP2" s="786"/>
      <c r="IQ2" s="786"/>
      <c r="IR2" s="786"/>
      <c r="IS2" s="786"/>
      <c r="IT2" s="786"/>
      <c r="IV2" s="786">
        <f ca="1">JB72</f>
        <v>0</v>
      </c>
      <c r="IW2" s="786"/>
      <c r="IX2" s="786"/>
      <c r="IY2" s="786"/>
      <c r="IZ2" s="786"/>
      <c r="JA2" s="786"/>
      <c r="JB2" s="786"/>
      <c r="JC2" s="786"/>
      <c r="JD2" s="786"/>
      <c r="JE2" s="786"/>
      <c r="JF2" s="786"/>
      <c r="JG2" s="786"/>
      <c r="JI2" s="786">
        <f ca="1">JO72</f>
        <v>0</v>
      </c>
      <c r="JJ2" s="786"/>
      <c r="JK2" s="786"/>
      <c r="JL2" s="786"/>
      <c r="JM2" s="786"/>
      <c r="JN2" s="786"/>
      <c r="JO2" s="786"/>
      <c r="JP2" s="786"/>
      <c r="JQ2" s="786"/>
      <c r="JR2" s="786"/>
      <c r="JS2" s="786"/>
      <c r="JT2" s="786"/>
      <c r="JV2" s="786">
        <f ca="1">KB72</f>
        <v>0</v>
      </c>
      <c r="JW2" s="786"/>
      <c r="JX2" s="786"/>
      <c r="JY2" s="786"/>
      <c r="JZ2" s="786"/>
      <c r="KA2" s="786"/>
      <c r="KB2" s="786"/>
      <c r="KC2" s="786"/>
      <c r="KD2" s="786"/>
      <c r="KE2" s="786"/>
      <c r="KF2" s="786"/>
      <c r="KG2" s="786"/>
      <c r="KI2" s="786">
        <f ca="1">KO72</f>
        <v>0</v>
      </c>
      <c r="KJ2" s="786"/>
      <c r="KK2" s="786"/>
      <c r="KL2" s="786"/>
      <c r="KM2" s="786"/>
      <c r="KN2" s="786"/>
      <c r="KO2" s="786"/>
      <c r="KP2" s="786"/>
      <c r="KQ2" s="786"/>
      <c r="KR2" s="786"/>
      <c r="KS2" s="786"/>
      <c r="KT2" s="786"/>
      <c r="KV2" s="786">
        <f ca="1">LB72</f>
        <v>0</v>
      </c>
      <c r="KW2" s="786"/>
      <c r="KX2" s="786"/>
      <c r="KY2" s="786"/>
      <c r="KZ2" s="786"/>
      <c r="LA2" s="786"/>
      <c r="LB2" s="786"/>
      <c r="LC2" s="786"/>
      <c r="LD2" s="786"/>
      <c r="LE2" s="786"/>
      <c r="LF2" s="786"/>
      <c r="LG2" s="786"/>
      <c r="LI2" s="786">
        <f ca="1">LO72</f>
        <v>0</v>
      </c>
      <c r="LJ2" s="786"/>
      <c r="LK2" s="786"/>
      <c r="LL2" s="786"/>
      <c r="LM2" s="786"/>
      <c r="LN2" s="786"/>
      <c r="LO2" s="786"/>
      <c r="LP2" s="786"/>
      <c r="LQ2" s="786"/>
      <c r="LR2" s="786"/>
      <c r="LS2" s="786"/>
      <c r="LT2" s="786"/>
      <c r="LV2" s="786">
        <f ca="1">MB72</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si="0" ref="I5:I32">$B5</f>
        <v>Group A</v>
      </c>
      <c r="J5" s="439"/>
      <c r="K5" s="439"/>
      <c r="L5" s="440"/>
      <c r="M5" s="443"/>
      <c r="N5" s="444"/>
      <c r="O5" s="441"/>
      <c r="P5" s="445"/>
      <c r="Q5" s="445"/>
      <c r="R5" s="440"/>
      <c r="S5" s="440"/>
      <c r="T5" s="446"/>
      <c r="V5" s="437" t="str">
        <f t="shared" si="1" ref="V5:V32">$B5</f>
        <v>Group A</v>
      </c>
      <c r="W5" s="439"/>
      <c r="X5" s="439"/>
      <c r="Y5" s="440"/>
      <c r="Z5" s="443"/>
      <c r="AA5" s="444"/>
      <c r="AB5" s="441"/>
      <c r="AC5" s="445"/>
      <c r="AD5" s="445"/>
      <c r="AE5" s="440"/>
      <c r="AF5" s="440"/>
      <c r="AG5" s="446"/>
      <c r="AI5" s="437" t="str">
        <f t="shared" si="2" ref="AI5:AI32">$B5</f>
        <v>Group A</v>
      </c>
      <c r="AJ5" s="439"/>
      <c r="AK5" s="439"/>
      <c r="AL5" s="440"/>
      <c r="AM5" s="443"/>
      <c r="AN5" s="444"/>
      <c r="AO5" s="441"/>
      <c r="AP5" s="445"/>
      <c r="AQ5" s="445"/>
      <c r="AR5" s="440"/>
      <c r="AS5" s="440"/>
      <c r="AT5" s="446"/>
      <c r="AV5" s="437" t="str">
        <f t="shared" si="3" ref="AV5:AV32">$B5</f>
        <v>Group A</v>
      </c>
      <c r="AW5" s="439"/>
      <c r="AX5" s="439"/>
      <c r="AY5" s="440"/>
      <c r="AZ5" s="443"/>
      <c r="BA5" s="444"/>
      <c r="BB5" s="441"/>
      <c r="BC5" s="445"/>
      <c r="BD5" s="445"/>
      <c r="BE5" s="440"/>
      <c r="BF5" s="440"/>
      <c r="BG5" s="446"/>
      <c r="BI5" s="437" t="str">
        <f t="shared" si="4" ref="BI5:BI32">$B5</f>
        <v>Group A</v>
      </c>
      <c r="BJ5" s="439"/>
      <c r="BK5" s="439"/>
      <c r="BL5" s="440"/>
      <c r="BM5" s="443"/>
      <c r="BN5" s="444"/>
      <c r="BO5" s="441"/>
      <c r="BP5" s="445"/>
      <c r="BQ5" s="445"/>
      <c r="BR5" s="440"/>
      <c r="BS5" s="440"/>
      <c r="BT5" s="446"/>
      <c r="BV5" s="437" t="str">
        <f t="shared" si="5" ref="BV5:BV32">$B5</f>
        <v>Group A</v>
      </c>
      <c r="BW5" s="439"/>
      <c r="BX5" s="439"/>
      <c r="BY5" s="440"/>
      <c r="BZ5" s="443"/>
      <c r="CA5" s="444"/>
      <c r="CB5" s="441"/>
      <c r="CC5" s="445"/>
      <c r="CD5" s="445"/>
      <c r="CE5" s="440"/>
      <c r="CF5" s="440"/>
      <c r="CG5" s="446"/>
      <c r="CI5" s="437" t="str">
        <f t="shared" si="6" ref="CI5:CI32">$B5</f>
        <v>Group A</v>
      </c>
      <c r="CJ5" s="439"/>
      <c r="CK5" s="439"/>
      <c r="CL5" s="440"/>
      <c r="CM5" s="443"/>
      <c r="CN5" s="444"/>
      <c r="CO5" s="441"/>
      <c r="CP5" s="445"/>
      <c r="CQ5" s="445"/>
      <c r="CR5" s="440"/>
      <c r="CS5" s="440"/>
      <c r="CT5" s="446"/>
      <c r="CV5" s="437" t="str">
        <f t="shared" si="7" ref="CV5:CV32">$B5</f>
        <v>Group A</v>
      </c>
      <c r="CW5" s="439"/>
      <c r="CX5" s="439"/>
      <c r="CY5" s="440"/>
      <c r="CZ5" s="443"/>
      <c r="DA5" s="444"/>
      <c r="DB5" s="441"/>
      <c r="DC5" s="445"/>
      <c r="DD5" s="445"/>
      <c r="DE5" s="440"/>
      <c r="DF5" s="440"/>
      <c r="DG5" s="446"/>
      <c r="DI5" s="437" t="str">
        <f t="shared" si="8" ref="DI5:DI32">$B5</f>
        <v>Group A</v>
      </c>
      <c r="DJ5" s="439"/>
      <c r="DK5" s="439"/>
      <c r="DL5" s="440"/>
      <c r="DM5" s="443"/>
      <c r="DN5" s="444"/>
      <c r="DO5" s="441"/>
      <c r="DP5" s="445"/>
      <c r="DQ5" s="445"/>
      <c r="DR5" s="440"/>
      <c r="DS5" s="440"/>
      <c r="DT5" s="446"/>
      <c r="DV5" s="437" t="str">
        <f t="shared" si="9" ref="DV5:DV32">$B5</f>
        <v>Group A</v>
      </c>
      <c r="DW5" s="439"/>
      <c r="DX5" s="439"/>
      <c r="DY5" s="440"/>
      <c r="DZ5" s="443"/>
      <c r="EA5" s="444"/>
      <c r="EB5" s="441"/>
      <c r="EC5" s="445"/>
      <c r="ED5" s="445"/>
      <c r="EE5" s="440"/>
      <c r="EF5" s="440"/>
      <c r="EG5" s="446"/>
      <c r="EI5" s="437" t="str">
        <f t="shared" si="10" ref="EI5:EI32">$B5</f>
        <v>Group A</v>
      </c>
      <c r="EJ5" s="439"/>
      <c r="EK5" s="439"/>
      <c r="EL5" s="440"/>
      <c r="EM5" s="443"/>
      <c r="EN5" s="444"/>
      <c r="EO5" s="441"/>
      <c r="EP5" s="445"/>
      <c r="EQ5" s="445"/>
      <c r="ER5" s="440"/>
      <c r="ES5" s="440"/>
      <c r="ET5" s="446"/>
      <c r="EV5" s="437" t="str">
        <f t="shared" si="11" ref="EV5:EV32">$B5</f>
        <v>Group A</v>
      </c>
      <c r="EW5" s="439"/>
      <c r="EX5" s="439"/>
      <c r="EY5" s="440"/>
      <c r="EZ5" s="443"/>
      <c r="FA5" s="444"/>
      <c r="FB5" s="441"/>
      <c r="FC5" s="445"/>
      <c r="FD5" s="445"/>
      <c r="FE5" s="440"/>
      <c r="FF5" s="440"/>
      <c r="FG5" s="446"/>
      <c r="FI5" s="437" t="str">
        <f t="shared" si="12" ref="FI5:FI32">$B5</f>
        <v>Group A</v>
      </c>
      <c r="FJ5" s="439"/>
      <c r="FK5" s="439"/>
      <c r="FL5" s="440"/>
      <c r="FM5" s="443"/>
      <c r="FN5" s="444"/>
      <c r="FO5" s="441"/>
      <c r="FP5" s="445"/>
      <c r="FQ5" s="445"/>
      <c r="FR5" s="440"/>
      <c r="FS5" s="440"/>
      <c r="FT5" s="446"/>
      <c r="FV5" s="437" t="str">
        <f t="shared" si="13" ref="FV5:FV32">$B5</f>
        <v>Group A</v>
      </c>
      <c r="FW5" s="439"/>
      <c r="FX5" s="439"/>
      <c r="FY5" s="440"/>
      <c r="FZ5" s="443"/>
      <c r="GA5" s="444"/>
      <c r="GB5" s="441"/>
      <c r="GC5" s="445"/>
      <c r="GD5" s="445"/>
      <c r="GE5" s="440"/>
      <c r="GF5" s="440"/>
      <c r="GG5" s="446"/>
      <c r="GI5" s="437" t="str">
        <f t="shared" si="14" ref="GI5:GI32">$B5</f>
        <v>Group A</v>
      </c>
      <c r="GJ5" s="439"/>
      <c r="GK5" s="439"/>
      <c r="GL5" s="440"/>
      <c r="GM5" s="443"/>
      <c r="GN5" s="444"/>
      <c r="GO5" s="441"/>
      <c r="GP5" s="445"/>
      <c r="GQ5" s="445"/>
      <c r="GR5" s="440"/>
      <c r="GS5" s="440"/>
      <c r="GT5" s="446"/>
      <c r="GV5" s="437" t="str">
        <f t="shared" si="15" ref="GV5:GV32">$B5</f>
        <v>Group A</v>
      </c>
      <c r="GW5" s="439"/>
      <c r="GX5" s="439"/>
      <c r="GY5" s="440"/>
      <c r="GZ5" s="443"/>
      <c r="HA5" s="444"/>
      <c r="HB5" s="441"/>
      <c r="HC5" s="445"/>
      <c r="HD5" s="445"/>
      <c r="HE5" s="440"/>
      <c r="HF5" s="440"/>
      <c r="HG5" s="446"/>
      <c r="HI5" s="437" t="str">
        <f t="shared" si="16" ref="HI5:HI32">$B5</f>
        <v>Group A</v>
      </c>
      <c r="HJ5" s="439"/>
      <c r="HK5" s="439"/>
      <c r="HL5" s="440"/>
      <c r="HM5" s="443"/>
      <c r="HN5" s="444"/>
      <c r="HO5" s="441"/>
      <c r="HP5" s="445"/>
      <c r="HQ5" s="445"/>
      <c r="HR5" s="440"/>
      <c r="HS5" s="440"/>
      <c r="HT5" s="446"/>
      <c r="HV5" s="437" t="str">
        <f t="shared" si="17" ref="HV5:HV32">$B5</f>
        <v>Group A</v>
      </c>
      <c r="HW5" s="439"/>
      <c r="HX5" s="439"/>
      <c r="HY5" s="440"/>
      <c r="HZ5" s="443"/>
      <c r="IA5" s="444"/>
      <c r="IB5" s="441"/>
      <c r="IC5" s="445"/>
      <c r="ID5" s="445"/>
      <c r="IE5" s="440"/>
      <c r="IF5" s="440"/>
      <c r="IG5" s="446"/>
      <c r="II5" s="437" t="str">
        <f t="shared" si="18" ref="II5:II32">$B5</f>
        <v>Group A</v>
      </c>
      <c r="IJ5" s="439"/>
      <c r="IK5" s="439"/>
      <c r="IL5" s="440"/>
      <c r="IM5" s="443"/>
      <c r="IN5" s="444"/>
      <c r="IO5" s="441"/>
      <c r="IP5" s="445"/>
      <c r="IQ5" s="445"/>
      <c r="IR5" s="440"/>
      <c r="IS5" s="440"/>
      <c r="IT5" s="446"/>
      <c r="IV5" s="437" t="str">
        <f t="shared" si="19" ref="IV5:IV32">$B5</f>
        <v>Group A</v>
      </c>
      <c r="IW5" s="439"/>
      <c r="IX5" s="439"/>
      <c r="IY5" s="440"/>
      <c r="IZ5" s="443"/>
      <c r="JA5" s="444"/>
      <c r="JB5" s="441"/>
      <c r="JC5" s="445"/>
      <c r="JD5" s="445"/>
      <c r="JE5" s="440"/>
      <c r="JF5" s="440"/>
      <c r="JG5" s="446"/>
      <c r="JI5" s="437" t="str">
        <f t="shared" si="20" ref="JI5:JI32">$B5</f>
        <v>Group A</v>
      </c>
      <c r="JJ5" s="439"/>
      <c r="JK5" s="439"/>
      <c r="JL5" s="440"/>
      <c r="JM5" s="443"/>
      <c r="JN5" s="444"/>
      <c r="JO5" s="441"/>
      <c r="JP5" s="445"/>
      <c r="JQ5" s="445"/>
      <c r="JR5" s="440"/>
      <c r="JS5" s="440"/>
      <c r="JT5" s="446"/>
      <c r="JV5" s="437" t="str">
        <f t="shared" si="21" ref="JV5:JV32">$B5</f>
        <v>Group A</v>
      </c>
      <c r="JW5" s="439"/>
      <c r="JX5" s="439"/>
      <c r="JY5" s="440"/>
      <c r="JZ5" s="443"/>
      <c r="KA5" s="444"/>
      <c r="KB5" s="441"/>
      <c r="KC5" s="445"/>
      <c r="KD5" s="445"/>
      <c r="KE5" s="440"/>
      <c r="KF5" s="440"/>
      <c r="KG5" s="446"/>
      <c r="KI5" s="437" t="str">
        <f t="shared" si="22" ref="KI5:KI32">$B5</f>
        <v>Group A</v>
      </c>
      <c r="KJ5" s="439"/>
      <c r="KK5" s="439"/>
      <c r="KL5" s="440"/>
      <c r="KM5" s="443"/>
      <c r="KN5" s="444"/>
      <c r="KO5" s="441"/>
      <c r="KP5" s="445"/>
      <c r="KQ5" s="445"/>
      <c r="KR5" s="440"/>
      <c r="KS5" s="440"/>
      <c r="KT5" s="446"/>
      <c r="KV5" s="437" t="str">
        <f t="shared" si="23" ref="KV5:KV32">$B5</f>
        <v>Group A</v>
      </c>
      <c r="KW5" s="439"/>
      <c r="KX5" s="439"/>
      <c r="KY5" s="440"/>
      <c r="KZ5" s="443"/>
      <c r="LA5" s="444"/>
      <c r="LB5" s="441"/>
      <c r="LC5" s="445"/>
      <c r="LD5" s="445"/>
      <c r="LE5" s="440"/>
      <c r="LF5" s="440"/>
      <c r="LG5" s="446"/>
      <c r="LI5" s="437" t="str">
        <f t="shared" si="24" ref="LI5:LI32">$B5</f>
        <v>Group A</v>
      </c>
      <c r="LJ5" s="439"/>
      <c r="LK5" s="439"/>
      <c r="LL5" s="440"/>
      <c r="LM5" s="443"/>
      <c r="LN5" s="444"/>
      <c r="LO5" s="441"/>
      <c r="LP5" s="445"/>
      <c r="LQ5" s="445"/>
      <c r="LR5" s="440"/>
      <c r="LS5" s="440"/>
      <c r="LT5" s="446"/>
      <c r="LV5" s="437" t="str">
        <f t="shared" si="25" ref="LV5:LV32">$B5</f>
        <v>Group A</v>
      </c>
      <c r="LW5" s="439"/>
      <c r="LX5" s="439"/>
      <c r="LY5" s="440"/>
      <c r="LZ5" s="443"/>
      <c r="MA5" s="444"/>
      <c r="MB5" s="441"/>
      <c r="MC5" s="445"/>
      <c r="MD5" s="445"/>
      <c r="ME5" s="440"/>
      <c r="MF5" s="440"/>
      <c r="MG5" s="446"/>
    </row>
    <row r="6" spans="2:345" ht="15.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ca="1" t="shared" si="26" ref="K6:K11">$D6</f>
        <v>13</v>
      </c>
      <c r="L6" s="448" t="str">
        <f ca="1">GrpA!$D$4</f>
        <v>Scotland</v>
      </c>
      <c r="M6" s="452"/>
      <c r="N6" s="452"/>
      <c r="O6" s="453"/>
      <c r="P6" s="449" t="str">
        <f ca="1" t="shared" si="27" ref="P6:P11">IF(($F6&lt;&gt;"")*($G6&lt;&gt;"")*(M6&lt;&gt;"")*(N6&lt;&gt;""),($F6&gt;$G6)*(M6&gt;N6)+($F6=$G6)*(M6=N6)+($F6&lt;$G6)*(M6&lt;N6),"")</f>
        <v/>
      </c>
      <c r="Q6" s="449" t="str">
        <f ca="1">IF((P6&lt;&gt;""),IF(OR($F6&lt;&gt;$G6,PrSettings!$M$4="●"),(($F6-$G6)=(M6-N6))*1,0),"")</f>
        <v/>
      </c>
      <c r="R6" s="449" t="str">
        <f ca="1" t="shared" si="28" ref="R6:R11">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ca="1" t="shared" si="29" ref="X6:X11">$D6</f>
        <v>13</v>
      </c>
      <c r="Y6" s="448" t="str">
        <f ca="1">GrpA!$D$4</f>
        <v>Scotland</v>
      </c>
      <c r="Z6" s="452"/>
      <c r="AA6" s="452"/>
      <c r="AB6" s="453"/>
      <c r="AC6" s="449" t="str">
        <f ca="1" t="shared" si="30" ref="AC6:AC11">IF(($F6&lt;&gt;"")*($G6&lt;&gt;"")*(Z6&lt;&gt;"")*(AA6&lt;&gt;""),($F6&gt;$G6)*(Z6&gt;AA6)+($F6=$G6)*(Z6=AA6)+($F6&lt;$G6)*(Z6&lt;AA6),"")</f>
        <v/>
      </c>
      <c r="AD6" s="449" t="str">
        <f ca="1">IF((AC6&lt;&gt;""),IF(OR($F6&lt;&gt;$G6,PrSettings!$M$4="●"),(($F6-$G6)=(Z6-AA6))*1,0),"")</f>
        <v/>
      </c>
      <c r="AE6" s="449" t="str">
        <f ca="1" t="shared" si="31" ref="AE6:AE1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ca="1" t="shared" si="32" ref="AK6:AK11">$D6</f>
        <v>13</v>
      </c>
      <c r="AL6" s="448" t="str">
        <f ca="1">GrpA!$D$4</f>
        <v>Scotland</v>
      </c>
      <c r="AM6" s="452"/>
      <c r="AN6" s="452"/>
      <c r="AO6" s="453"/>
      <c r="AP6" s="449" t="str">
        <f ca="1" t="shared" si="33" ref="AP6:AP11">IF(($F6&lt;&gt;"")*($G6&lt;&gt;"")*(AM6&lt;&gt;"")*(AN6&lt;&gt;""),($F6&gt;$G6)*(AM6&gt;AN6)+($F6=$G6)*(AM6=AN6)+($F6&lt;$G6)*(AM6&lt;AN6),"")</f>
        <v/>
      </c>
      <c r="AQ6" s="449" t="str">
        <f ca="1">IF((AP6&lt;&gt;""),IF(OR($F6&lt;&gt;$G6,PrSettings!$M$4="●"),(($F6-$G6)=(AM6-AN6))*1,0),"")</f>
        <v/>
      </c>
      <c r="AR6" s="449" t="str">
        <f ca="1" t="shared" si="34" ref="AR6:AR11">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ca="1" t="shared" si="35" ref="AX6:AX11">$D6</f>
        <v>13</v>
      </c>
      <c r="AY6" s="448" t="str">
        <f ca="1">GrpA!$D$4</f>
        <v>Scotland</v>
      </c>
      <c r="AZ6" s="452"/>
      <c r="BA6" s="452"/>
      <c r="BB6" s="453"/>
      <c r="BC6" s="449" t="str">
        <f ca="1" t="shared" si="36" ref="BC6:BC11">IF(($F6&lt;&gt;"")*($G6&lt;&gt;"")*(AZ6&lt;&gt;"")*(BA6&lt;&gt;""),($F6&gt;$G6)*(AZ6&gt;BA6)+($F6=$G6)*(AZ6=BA6)+($F6&lt;$G6)*(AZ6&lt;BA6),"")</f>
        <v/>
      </c>
      <c r="BD6" s="449" t="str">
        <f ca="1">IF((BC6&lt;&gt;""),IF(OR($F6&lt;&gt;$G6,PrSettings!$M$4="●"),(($F6-$G6)=(AZ6-BA6))*1,0),"")</f>
        <v/>
      </c>
      <c r="BE6" s="449" t="str">
        <f ca="1" t="shared" si="37" ref="BE6:BE11">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ca="1" t="shared" si="38" ref="BK6:BK11">$D6</f>
        <v>13</v>
      </c>
      <c r="BL6" s="448" t="str">
        <f ca="1">GrpA!$D$4</f>
        <v>Scotland</v>
      </c>
      <c r="BM6" s="452"/>
      <c r="BN6" s="452"/>
      <c r="BO6" s="453"/>
      <c r="BP6" s="449" t="str">
        <f ca="1" t="shared" si="39" ref="BP6:BP11">IF(($F6&lt;&gt;"")*($G6&lt;&gt;"")*(BM6&lt;&gt;"")*(BN6&lt;&gt;""),($F6&gt;$G6)*(BM6&gt;BN6)+($F6=$G6)*(BM6=BN6)+($F6&lt;$G6)*(BM6&lt;BN6),"")</f>
        <v/>
      </c>
      <c r="BQ6" s="449" t="str">
        <f ca="1">IF((BP6&lt;&gt;""),IF(OR($F6&lt;&gt;$G6,PrSettings!$M$4="●"),(($F6-$G6)=(BM6-BN6))*1,0),"")</f>
        <v/>
      </c>
      <c r="BR6" s="449" t="str">
        <f ca="1" t="shared" si="40" ref="BR6:BR11">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ca="1" t="shared" si="41" ref="BX6:BX11">$D6</f>
        <v>13</v>
      </c>
      <c r="BY6" s="448" t="str">
        <f ca="1">GrpA!$D$4</f>
        <v>Scotland</v>
      </c>
      <c r="BZ6" s="452"/>
      <c r="CA6" s="452"/>
      <c r="CB6" s="453"/>
      <c r="CC6" s="449" t="str">
        <f ca="1" t="shared" si="42" ref="CC6:CC11">IF(($F6&lt;&gt;"")*($G6&lt;&gt;"")*(BZ6&lt;&gt;"")*(CA6&lt;&gt;""),($F6&gt;$G6)*(BZ6&gt;CA6)+($F6=$G6)*(BZ6=CA6)+($F6&lt;$G6)*(BZ6&lt;CA6),"")</f>
        <v/>
      </c>
      <c r="CD6" s="449" t="str">
        <f ca="1">IF((CC6&lt;&gt;""),IF(OR($F6&lt;&gt;$G6,PrSettings!$M$4="●"),(($F6-$G6)=(BZ6-CA6))*1,0),"")</f>
        <v/>
      </c>
      <c r="CE6" s="449" t="str">
        <f ca="1" t="shared" si="43" ref="CE6:CE11">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ca="1" t="shared" si="44" ref="CK6:CK11">$D6</f>
        <v>13</v>
      </c>
      <c r="CL6" s="448" t="str">
        <f ca="1">GrpA!$D$4</f>
        <v>Scotland</v>
      </c>
      <c r="CM6" s="452"/>
      <c r="CN6" s="452"/>
      <c r="CO6" s="453"/>
      <c r="CP6" s="449" t="str">
        <f ca="1" t="shared" si="45" ref="CP6:CP11">IF(($F6&lt;&gt;"")*($G6&lt;&gt;"")*(CM6&lt;&gt;"")*(CN6&lt;&gt;""),($F6&gt;$G6)*(CM6&gt;CN6)+($F6=$G6)*(CM6=CN6)+($F6&lt;$G6)*(CM6&lt;CN6),"")</f>
        <v/>
      </c>
      <c r="CQ6" s="449" t="str">
        <f ca="1">IF((CP6&lt;&gt;""),IF(OR($F6&lt;&gt;$G6,PrSettings!$M$4="●"),(($F6-$G6)=(CM6-CN6))*1,0),"")</f>
        <v/>
      </c>
      <c r="CR6" s="449" t="str">
        <f ca="1" t="shared" si="46" ref="CR6:CR11">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ca="1" t="shared" si="47" ref="CX6:CX11">$D6</f>
        <v>13</v>
      </c>
      <c r="CY6" s="448" t="str">
        <f ca="1">GrpA!$D$4</f>
        <v>Scotland</v>
      </c>
      <c r="CZ6" s="452"/>
      <c r="DA6" s="452"/>
      <c r="DB6" s="453"/>
      <c r="DC6" s="449" t="str">
        <f ca="1" t="shared" si="48" ref="DC6:DC11">IF(($F6&lt;&gt;"")*($G6&lt;&gt;"")*(CZ6&lt;&gt;"")*(DA6&lt;&gt;""),($F6&gt;$G6)*(CZ6&gt;DA6)+($F6=$G6)*(CZ6=DA6)+($F6&lt;$G6)*(CZ6&lt;DA6),"")</f>
        <v/>
      </c>
      <c r="DD6" s="449" t="str">
        <f ca="1">IF((DC6&lt;&gt;""),IF(OR($F6&lt;&gt;$G6,PrSettings!$M$4="●"),(($F6-$G6)=(CZ6-DA6))*1,0),"")</f>
        <v/>
      </c>
      <c r="DE6" s="449" t="str">
        <f ca="1" t="shared" si="49" ref="DE6:DE11">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ca="1" t="shared" si="50" ref="DK6:DK11">$D6</f>
        <v>13</v>
      </c>
      <c r="DL6" s="448" t="str">
        <f ca="1">GrpA!$D$4</f>
        <v>Scotland</v>
      </c>
      <c r="DM6" s="452"/>
      <c r="DN6" s="452"/>
      <c r="DO6" s="453"/>
      <c r="DP6" s="449" t="str">
        <f ca="1" t="shared" si="51" ref="DP6:DP11">IF(($F6&lt;&gt;"")*($G6&lt;&gt;"")*(DM6&lt;&gt;"")*(DN6&lt;&gt;""),($F6&gt;$G6)*(DM6&gt;DN6)+($F6=$G6)*(DM6=DN6)+($F6&lt;$G6)*(DM6&lt;DN6),"")</f>
        <v/>
      </c>
      <c r="DQ6" s="449" t="str">
        <f ca="1">IF((DP6&lt;&gt;""),IF(OR($F6&lt;&gt;$G6,PrSettings!$M$4="●"),(($F6-$G6)=(DM6-DN6))*1,0),"")</f>
        <v/>
      </c>
      <c r="DR6" s="449" t="str">
        <f ca="1" t="shared" si="52" ref="DR6:DR11">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ca="1" t="shared" si="53" ref="DX6:DX11">$D6</f>
        <v>13</v>
      </c>
      <c r="DY6" s="448" t="str">
        <f ca="1">GrpA!$D$4</f>
        <v>Scotland</v>
      </c>
      <c r="DZ6" s="452"/>
      <c r="EA6" s="452"/>
      <c r="EB6" s="453"/>
      <c r="EC6" s="449" t="str">
        <f ca="1" t="shared" si="54" ref="EC6:EC11">IF(($F6&lt;&gt;"")*($G6&lt;&gt;"")*(DZ6&lt;&gt;"")*(EA6&lt;&gt;""),($F6&gt;$G6)*(DZ6&gt;EA6)+($F6=$G6)*(DZ6=EA6)+($F6&lt;$G6)*(DZ6&lt;EA6),"")</f>
        <v/>
      </c>
      <c r="ED6" s="449" t="str">
        <f ca="1">IF((EC6&lt;&gt;""),IF(OR($F6&lt;&gt;$G6,PrSettings!$M$4="●"),(($F6-$G6)=(DZ6-EA6))*1,0),"")</f>
        <v/>
      </c>
      <c r="EE6" s="449" t="str">
        <f ca="1" t="shared" si="55" ref="EE6:EE11">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ca="1" t="shared" si="56" ref="EK6:EK11">$D6</f>
        <v>13</v>
      </c>
      <c r="EL6" s="448" t="str">
        <f ca="1">GrpA!$D$4</f>
        <v>Scotland</v>
      </c>
      <c r="EM6" s="452"/>
      <c r="EN6" s="452"/>
      <c r="EO6" s="453"/>
      <c r="EP6" s="449" t="str">
        <f ca="1" t="shared" si="57" ref="EP6:EP11">IF(($F6&lt;&gt;"")*($G6&lt;&gt;"")*(EM6&lt;&gt;"")*(EN6&lt;&gt;""),($F6&gt;$G6)*(EM6&gt;EN6)+($F6=$G6)*(EM6=EN6)+($F6&lt;$G6)*(EM6&lt;EN6),"")</f>
        <v/>
      </c>
      <c r="EQ6" s="449" t="str">
        <f ca="1">IF((EP6&lt;&gt;""),IF(OR($F6&lt;&gt;$G6,PrSettings!$M$4="●"),(($F6-$G6)=(EM6-EN6))*1,0),"")</f>
        <v/>
      </c>
      <c r="ER6" s="449" t="str">
        <f ca="1" t="shared" si="58" ref="ER6:ER11">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ca="1" t="shared" si="59" ref="EX6:EX11">$D6</f>
        <v>13</v>
      </c>
      <c r="EY6" s="448" t="str">
        <f ca="1">GrpA!$D$4</f>
        <v>Scotland</v>
      </c>
      <c r="EZ6" s="452"/>
      <c r="FA6" s="452"/>
      <c r="FB6" s="453"/>
      <c r="FC6" s="449" t="str">
        <f ca="1" t="shared" si="60" ref="FC6:FC11">IF(($F6&lt;&gt;"")*($G6&lt;&gt;"")*(EZ6&lt;&gt;"")*(FA6&lt;&gt;""),($F6&gt;$G6)*(EZ6&gt;FA6)+($F6=$G6)*(EZ6=FA6)+($F6&lt;$G6)*(EZ6&lt;FA6),"")</f>
        <v/>
      </c>
      <c r="FD6" s="449" t="str">
        <f ca="1">IF((FC6&lt;&gt;""),IF(OR($F6&lt;&gt;$G6,PrSettings!$M$4="●"),(($F6-$G6)=(EZ6-FA6))*1,0),"")</f>
        <v/>
      </c>
      <c r="FE6" s="449" t="str">
        <f ca="1" t="shared" si="61" ref="FE6:FE1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ca="1" t="shared" si="62" ref="FK6:FK11">$D6</f>
        <v>13</v>
      </c>
      <c r="FL6" s="448" t="str">
        <f ca="1">GrpA!$D$4</f>
        <v>Scotland</v>
      </c>
      <c r="FM6" s="452"/>
      <c r="FN6" s="452"/>
      <c r="FO6" s="453"/>
      <c r="FP6" s="449" t="str">
        <f ca="1" t="shared" si="63" ref="FP6:FP11">IF(($F6&lt;&gt;"")*($G6&lt;&gt;"")*(FM6&lt;&gt;"")*(FN6&lt;&gt;""),($F6&gt;$G6)*(FM6&gt;FN6)+($F6=$G6)*(FM6=FN6)+($F6&lt;$G6)*(FM6&lt;FN6),"")</f>
        <v/>
      </c>
      <c r="FQ6" s="449" t="str">
        <f ca="1">IF((FP6&lt;&gt;""),IF(OR($F6&lt;&gt;$G6,PrSettings!$M$4="●"),(($F6-$G6)=(FM6-FN6))*1,0),"")</f>
        <v/>
      </c>
      <c r="FR6" s="449" t="str">
        <f ca="1" t="shared" si="64" ref="FR6:FR11">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ca="1" t="shared" si="65" ref="FX6:FX11">$D6</f>
        <v>13</v>
      </c>
      <c r="FY6" s="448" t="str">
        <f ca="1">GrpA!$D$4</f>
        <v>Scotland</v>
      </c>
      <c r="FZ6" s="452"/>
      <c r="GA6" s="452"/>
      <c r="GB6" s="453"/>
      <c r="GC6" s="449" t="str">
        <f ca="1" t="shared" si="66" ref="GC6:GC11">IF(($F6&lt;&gt;"")*($G6&lt;&gt;"")*(FZ6&lt;&gt;"")*(GA6&lt;&gt;""),($F6&gt;$G6)*(FZ6&gt;GA6)+($F6=$G6)*(FZ6=GA6)+($F6&lt;$G6)*(FZ6&lt;GA6),"")</f>
        <v/>
      </c>
      <c r="GD6" s="449" t="str">
        <f ca="1">IF((GC6&lt;&gt;""),IF(OR($F6&lt;&gt;$G6,PrSettings!$M$4="●"),(($F6-$G6)=(FZ6-GA6))*1,0),"")</f>
        <v/>
      </c>
      <c r="GE6" s="449" t="str">
        <f ca="1" t="shared" si="67" ref="GE6:GE11">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ca="1" t="shared" si="68" ref="GK6:GK11">$D6</f>
        <v>13</v>
      </c>
      <c r="GL6" s="448" t="str">
        <f ca="1">GrpA!$D$4</f>
        <v>Scotland</v>
      </c>
      <c r="GM6" s="452"/>
      <c r="GN6" s="452"/>
      <c r="GO6" s="453"/>
      <c r="GP6" s="449" t="str">
        <f ca="1" t="shared" si="69" ref="GP6:GP11">IF(($F6&lt;&gt;"")*($G6&lt;&gt;"")*(GM6&lt;&gt;"")*(GN6&lt;&gt;""),($F6&gt;$G6)*(GM6&gt;GN6)+($F6=$G6)*(GM6=GN6)+($F6&lt;$G6)*(GM6&lt;GN6),"")</f>
        <v/>
      </c>
      <c r="GQ6" s="449" t="str">
        <f ca="1">IF((GP6&lt;&gt;""),IF(OR($F6&lt;&gt;$G6,PrSettings!$M$4="●"),(($F6-$G6)=(GM6-GN6))*1,0),"")</f>
        <v/>
      </c>
      <c r="GR6" s="449" t="str">
        <f ca="1" t="shared" si="70" ref="GR6:GR11">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ca="1" t="shared" si="71" ref="GX6:GX11">$D6</f>
        <v>13</v>
      </c>
      <c r="GY6" s="448" t="str">
        <f ca="1">GrpA!$D$4</f>
        <v>Scotland</v>
      </c>
      <c r="GZ6" s="452"/>
      <c r="HA6" s="452"/>
      <c r="HB6" s="453"/>
      <c r="HC6" s="449" t="str">
        <f ca="1" t="shared" si="72" ref="HC6:HC11">IF(($F6&lt;&gt;"")*($G6&lt;&gt;"")*(GZ6&lt;&gt;"")*(HA6&lt;&gt;""),($F6&gt;$G6)*(GZ6&gt;HA6)+($F6=$G6)*(GZ6=HA6)+($F6&lt;$G6)*(GZ6&lt;HA6),"")</f>
        <v/>
      </c>
      <c r="HD6" s="449" t="str">
        <f ca="1">IF((HC6&lt;&gt;""),IF(OR($F6&lt;&gt;$G6,PrSettings!$M$4="●"),(($F6-$G6)=(GZ6-HA6))*1,0),"")</f>
        <v/>
      </c>
      <c r="HE6" s="449" t="str">
        <f ca="1" t="shared" si="73" ref="HE6:HE11">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ca="1" t="shared" si="74" ref="HK6:HK11">$D6</f>
        <v>13</v>
      </c>
      <c r="HL6" s="448" t="str">
        <f ca="1">GrpA!$D$4</f>
        <v>Scotland</v>
      </c>
      <c r="HM6" s="452"/>
      <c r="HN6" s="452"/>
      <c r="HO6" s="453"/>
      <c r="HP6" s="449" t="str">
        <f ca="1" t="shared" si="75" ref="HP6:HP11">IF(($F6&lt;&gt;"")*($G6&lt;&gt;"")*(HM6&lt;&gt;"")*(HN6&lt;&gt;""),($F6&gt;$G6)*(HM6&gt;HN6)+($F6=$G6)*(HM6=HN6)+($F6&lt;$G6)*(HM6&lt;HN6),"")</f>
        <v/>
      </c>
      <c r="HQ6" s="449" t="str">
        <f ca="1">IF((HP6&lt;&gt;""),IF(OR($F6&lt;&gt;$G6,PrSettings!$M$4="●"),(($F6-$G6)=(HM6-HN6))*1,0),"")</f>
        <v/>
      </c>
      <c r="HR6" s="449" t="str">
        <f ca="1" t="shared" si="76" ref="HR6:HR11">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ca="1" t="shared" si="77" ref="HX6:HX11">$D6</f>
        <v>13</v>
      </c>
      <c r="HY6" s="448" t="str">
        <f ca="1">GrpA!$D$4</f>
        <v>Scotland</v>
      </c>
      <c r="HZ6" s="452"/>
      <c r="IA6" s="452"/>
      <c r="IB6" s="453"/>
      <c r="IC6" s="449" t="str">
        <f ca="1" t="shared" si="78" ref="IC6:IC11">IF(($F6&lt;&gt;"")*($G6&lt;&gt;"")*(HZ6&lt;&gt;"")*(IA6&lt;&gt;""),($F6&gt;$G6)*(HZ6&gt;IA6)+($F6=$G6)*(HZ6=IA6)+($F6&lt;$G6)*(HZ6&lt;IA6),"")</f>
        <v/>
      </c>
      <c r="ID6" s="449" t="str">
        <f ca="1">IF((IC6&lt;&gt;""),IF(OR($F6&lt;&gt;$G6,PrSettings!$M$4="●"),(($F6-$G6)=(HZ6-IA6))*1,0),"")</f>
        <v/>
      </c>
      <c r="IE6" s="449" t="str">
        <f ca="1" t="shared" si="79" ref="IE6:IE11">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ca="1" t="shared" si="80" ref="IK6:IK11">$D6</f>
        <v>13</v>
      </c>
      <c r="IL6" s="448" t="str">
        <f ca="1">GrpA!$D$4</f>
        <v>Scotland</v>
      </c>
      <c r="IM6" s="452"/>
      <c r="IN6" s="452"/>
      <c r="IO6" s="453"/>
      <c r="IP6" s="449" t="str">
        <f ca="1" t="shared" si="81" ref="IP6:IP11">IF(($F6&lt;&gt;"")*($G6&lt;&gt;"")*(IM6&lt;&gt;"")*(IN6&lt;&gt;""),($F6&gt;$G6)*(IM6&gt;IN6)+($F6=$G6)*(IM6=IN6)+($F6&lt;$G6)*(IM6&lt;IN6),"")</f>
        <v/>
      </c>
      <c r="IQ6" s="449" t="str">
        <f ca="1">IF((IP6&lt;&gt;""),IF(OR($F6&lt;&gt;$G6,PrSettings!$M$4="●"),(($F6-$G6)=(IM6-IN6))*1,0),"")</f>
        <v/>
      </c>
      <c r="IR6" s="449" t="str">
        <f ca="1" t="shared" si="82" ref="IR6:IR11">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ca="1" t="shared" si="83" ref="IX6:IX11">$D6</f>
        <v>13</v>
      </c>
      <c r="IY6" s="448" t="str">
        <f ca="1">GrpA!$D$4</f>
        <v>Scotland</v>
      </c>
      <c r="IZ6" s="452"/>
      <c r="JA6" s="452"/>
      <c r="JB6" s="453"/>
      <c r="JC6" s="449" t="str">
        <f ca="1" t="shared" si="84" ref="JC6:JC11">IF(($F6&lt;&gt;"")*($G6&lt;&gt;"")*(IZ6&lt;&gt;"")*(JA6&lt;&gt;""),($F6&gt;$G6)*(IZ6&gt;JA6)+($F6=$G6)*(IZ6=JA6)+($F6&lt;$G6)*(IZ6&lt;JA6),"")</f>
        <v/>
      </c>
      <c r="JD6" s="449" t="str">
        <f ca="1">IF((JC6&lt;&gt;""),IF(OR($F6&lt;&gt;$G6,PrSettings!$M$4="●"),(($F6-$G6)=(IZ6-JA6))*1,0),"")</f>
        <v/>
      </c>
      <c r="JE6" s="449" t="str">
        <f ca="1" t="shared" si="85" ref="JE6:JE11">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ca="1" t="shared" si="86" ref="JK6:JK11">$D6</f>
        <v>13</v>
      </c>
      <c r="JL6" s="448" t="str">
        <f ca="1">GrpA!$D$4</f>
        <v>Scotland</v>
      </c>
      <c r="JM6" s="452"/>
      <c r="JN6" s="452"/>
      <c r="JO6" s="453"/>
      <c r="JP6" s="449" t="str">
        <f ca="1" t="shared" si="87" ref="JP6:JP11">IF(($F6&lt;&gt;"")*($G6&lt;&gt;"")*(JM6&lt;&gt;"")*(JN6&lt;&gt;""),($F6&gt;$G6)*(JM6&gt;JN6)+($F6=$G6)*(JM6=JN6)+($F6&lt;$G6)*(JM6&lt;JN6),"")</f>
        <v/>
      </c>
      <c r="JQ6" s="449" t="str">
        <f ca="1">IF((JP6&lt;&gt;""),IF(OR($F6&lt;&gt;$G6,PrSettings!$M$4="●"),(($F6-$G6)=(JM6-JN6))*1,0),"")</f>
        <v/>
      </c>
      <c r="JR6" s="449" t="str">
        <f ca="1" t="shared" si="88" ref="JR6:JR11">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ca="1" t="shared" si="89" ref="JX6:JX11">$D6</f>
        <v>13</v>
      </c>
      <c r="JY6" s="448" t="str">
        <f ca="1">GrpA!$D$4</f>
        <v>Scotland</v>
      </c>
      <c r="JZ6" s="452"/>
      <c r="KA6" s="452"/>
      <c r="KB6" s="453"/>
      <c r="KC6" s="449" t="str">
        <f ca="1" t="shared" si="90" ref="KC6:KC11">IF(($F6&lt;&gt;"")*($G6&lt;&gt;"")*(JZ6&lt;&gt;"")*(KA6&lt;&gt;""),($F6&gt;$G6)*(JZ6&gt;KA6)+($F6=$G6)*(JZ6=KA6)+($F6&lt;$G6)*(JZ6&lt;KA6),"")</f>
        <v/>
      </c>
      <c r="KD6" s="449" t="str">
        <f ca="1">IF((KC6&lt;&gt;""),IF(OR($F6&lt;&gt;$G6,PrSettings!$M$4="●"),(($F6-$G6)=(JZ6-KA6))*1,0),"")</f>
        <v/>
      </c>
      <c r="KE6" s="449" t="str">
        <f ca="1" t="shared" si="91" ref="KE6:KE1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ca="1" t="shared" si="92" ref="KK6:KK11">$D6</f>
        <v>13</v>
      </c>
      <c r="KL6" s="448" t="str">
        <f ca="1">GrpA!$D$4</f>
        <v>Scotland</v>
      </c>
      <c r="KM6" s="452"/>
      <c r="KN6" s="452"/>
      <c r="KO6" s="453"/>
      <c r="KP6" s="449" t="str">
        <f ca="1" t="shared" si="93" ref="KP6:KP11">IF(($F6&lt;&gt;"")*($G6&lt;&gt;"")*(KM6&lt;&gt;"")*(KN6&lt;&gt;""),($F6&gt;$G6)*(KM6&gt;KN6)+($F6=$G6)*(KM6=KN6)+($F6&lt;$G6)*(KM6&lt;KN6),"")</f>
        <v/>
      </c>
      <c r="KQ6" s="449" t="str">
        <f ca="1">IF((KP6&lt;&gt;""),IF(OR($F6&lt;&gt;$G6,PrSettings!$M$4="●"),(($F6-$G6)=(KM6-KN6))*1,0),"")</f>
        <v/>
      </c>
      <c r="KR6" s="449" t="str">
        <f ca="1" t="shared" si="94" ref="KR6:KR11">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ca="1" t="shared" si="95" ref="KX6:KX11">$D6</f>
        <v>13</v>
      </c>
      <c r="KY6" s="448" t="str">
        <f ca="1">GrpA!$D$4</f>
        <v>Scotland</v>
      </c>
      <c r="KZ6" s="452"/>
      <c r="LA6" s="452"/>
      <c r="LB6" s="453"/>
      <c r="LC6" s="449" t="str">
        <f ca="1" t="shared" si="96" ref="LC6:LC11">IF(($F6&lt;&gt;"")*($G6&lt;&gt;"")*(KZ6&lt;&gt;"")*(LA6&lt;&gt;""),($F6&gt;$G6)*(KZ6&gt;LA6)+($F6=$G6)*(KZ6=LA6)+($F6&lt;$G6)*(KZ6&lt;LA6),"")</f>
        <v/>
      </c>
      <c r="LD6" s="449" t="str">
        <f ca="1">IF((LC6&lt;&gt;""),IF(OR($F6&lt;&gt;$G6,PrSettings!$M$4="●"),(($F6-$G6)=(KZ6-LA6))*1,0),"")</f>
        <v/>
      </c>
      <c r="LE6" s="449" t="str">
        <f ca="1" t="shared" si="97" ref="LE6:LE11">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ca="1" t="shared" si="98" ref="LK6:LK11">$D6</f>
        <v>13</v>
      </c>
      <c r="LL6" s="448" t="str">
        <f ca="1">GrpA!$D$4</f>
        <v>Scotland</v>
      </c>
      <c r="LM6" s="452"/>
      <c r="LN6" s="452"/>
      <c r="LO6" s="453"/>
      <c r="LP6" s="449" t="str">
        <f ca="1" t="shared" si="99" ref="LP6:LP11">IF(($F6&lt;&gt;"")*($G6&lt;&gt;"")*(LM6&lt;&gt;"")*(LN6&lt;&gt;""),($F6&gt;$G6)*(LM6&gt;LN6)+($F6=$G6)*(LM6=LN6)+($F6&lt;$G6)*(LM6&lt;LN6),"")</f>
        <v/>
      </c>
      <c r="LQ6" s="449" t="str">
        <f ca="1">IF((LP6&lt;&gt;""),IF(OR($F6&lt;&gt;$G6,PrSettings!$M$4="●"),(($F6-$G6)=(LM6-LN6))*1,0),"")</f>
        <v/>
      </c>
      <c r="LR6" s="449" t="str">
        <f ca="1" t="shared" si="100" ref="LR6:LR11">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ca="1" t="shared" si="101" ref="LX6:LX11">$D6</f>
        <v>13</v>
      </c>
      <c r="LY6" s="448" t="str">
        <f ca="1">GrpA!$D$4</f>
        <v>Scotland</v>
      </c>
      <c r="LZ6" s="452"/>
      <c r="MA6" s="452"/>
      <c r="MB6" s="453"/>
      <c r="MC6" s="449" t="str">
        <f ca="1" t="shared" si="102" ref="MC6:MC11">IF(($F6&lt;&gt;"")*($G6&lt;&gt;"")*(LZ6&lt;&gt;"")*(MA6&lt;&gt;""),($F6&gt;$G6)*(LZ6&gt;MA6)+($F6=$G6)*(LZ6=MA6)+($F6&lt;$G6)*(LZ6&lt;MA6),"")</f>
        <v/>
      </c>
      <c r="MD6" s="449" t="str">
        <f ca="1">IF((MC6&lt;&gt;""),IF(OR($F6&lt;&gt;$G6,PrSettings!$M$4="●"),(($F6-$G6)=(LZ6-MA6))*1,0),"")</f>
        <v/>
      </c>
      <c r="ME6" s="449" t="str">
        <f ca="1" t="shared" si="103" ref="ME6:ME11">IF((MC6&lt;&gt;""),($F6=LZ6)*($G6=MA6),"")</f>
        <v/>
      </c>
      <c r="MF6" s="449" t="str">
        <f ca="1">IF(MC6&lt;&gt;"",IF(ABS($F6-$G6)&gt;=PrSettings!$M$7,(ABS($F6-$G6-LZ6+MA6)&lt;=1)*1,IF(AND(MC6,$F6=$G6,$F6&gt;=PrSettings!$M$6),(ABS(LZ6-$F6)&lt;=1)*1,IF(AND(ABS($F6-$G6-LZ6+MA6)&lt;=1,$F6+$G6&gt;=PrSettings!$M$8),(ABS(LZ6-$F6)&lt;=1)*(ABS(MA6-$G6)&lt;=1)*1,""))),"")</f>
        <v/>
      </c>
      <c r="MG6" s="454"/>
    </row>
    <row r="7" spans="2:345" ht="15.5">
      <c r="B7" s="447">
        <f ca="1">INDEX(Groups!$C$7:$C$35,MATCH(C7,Groups!$D$7:$D$35,0))</f>
        <v>6</v>
      </c>
      <c r="C7" s="448" t="str">
        <f ca="1">GrpA!$B$5</f>
        <v>Hungary</v>
      </c>
      <c r="D7" s="449">
        <f ca="1">INDEX(Groups!$C$7:$C$35,MATCH(E7,Groups!$D$7:$D$35,0))</f>
        <v>20</v>
      </c>
      <c r="E7" s="448" t="str">
        <f ca="1">GrpA!$D$5</f>
        <v>Switzerland</v>
      </c>
      <c r="F7" s="450">
        <f ca="1">GrpA!$E$5</f>
        <v>3</v>
      </c>
      <c r="G7" s="451">
        <f ca="1">GrpA!$G$5</f>
        <v>0</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2:345" ht="15.5">
      <c r="B8" s="447">
        <f ca="1">INDEX(Groups!$C$7:$C$35,MATCH(C8,Groups!$D$7:$D$35,0))</f>
        <v>54</v>
      </c>
      <c r="C8" s="448" t="str">
        <f ca="1">GrpA!$B$6</f>
        <v>Germany</v>
      </c>
      <c r="D8" s="449">
        <f ca="1">INDEX(Groups!$C$7:$C$35,MATCH(E8,Groups!$D$7:$D$35,0))</f>
        <v>6</v>
      </c>
      <c r="E8" s="448" t="str">
        <f ca="1">GrpA!$D$6</f>
        <v>Hungary</v>
      </c>
      <c r="F8" s="450">
        <f ca="1">GrpA!$E$6</f>
        <v>2</v>
      </c>
      <c r="G8" s="451">
        <f ca="1">GrpA!$G$6</f>
        <v>2</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2:345" ht="15.5">
      <c r="B9" s="447">
        <f ca="1">INDEX(Groups!$C$7:$C$35,MATCH(C9,Groups!$D$7:$D$35,0))</f>
        <v>13</v>
      </c>
      <c r="C9" s="448" t="str">
        <f ca="1">GrpA!$B$7</f>
        <v>Scotland</v>
      </c>
      <c r="D9" s="449">
        <f ca="1">INDEX(Groups!$C$7:$C$35,MATCH(E9,Groups!$D$7:$D$35,0))</f>
        <v>20</v>
      </c>
      <c r="E9" s="448" t="str">
        <f ca="1">GrpA!$D$7</f>
        <v>Switzerland</v>
      </c>
      <c r="F9" s="450">
        <f ca="1">GrpA!$E$7</f>
        <v>1</v>
      </c>
      <c r="G9" s="451">
        <f ca="1">GrpA!$G$7</f>
        <v>0</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2:345" ht="15.5">
      <c r="B10" s="447">
        <f ca="1">INDEX(Groups!$C$7:$C$35,MATCH(C10,Groups!$D$7:$D$35,0))</f>
        <v>20</v>
      </c>
      <c r="C10" s="448" t="str">
        <f ca="1">GrpA!$B$8</f>
        <v>Switzerland</v>
      </c>
      <c r="D10" s="449">
        <f ca="1">INDEX(Groups!$C$7:$C$35,MATCH(E10,Groups!$D$7:$D$35,0))</f>
        <v>54</v>
      </c>
      <c r="E10" s="448" t="str">
        <f ca="1">GrpA!$D$8</f>
        <v>Germany</v>
      </c>
      <c r="F10" s="450">
        <f ca="1">GrpA!$E$8</f>
        <v>0</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2:345" ht="15.5">
      <c r="B11" s="447">
        <f ca="1">INDEX(Groups!$C$7:$C$35,MATCH(C11,Groups!$D$7:$D$35,0))</f>
        <v>13</v>
      </c>
      <c r="C11" s="448" t="str">
        <f ca="1">GrpA!$B$9</f>
        <v>Scotland</v>
      </c>
      <c r="D11" s="449">
        <f ca="1">INDEX(Groups!$C$7:$C$35,MATCH(E11,Groups!$D$7:$D$35,0))</f>
        <v>6</v>
      </c>
      <c r="E11" s="448" t="str">
        <f ca="1">GrpA!$D$9</f>
        <v>Hungary</v>
      </c>
      <c r="F11" s="450">
        <f ca="1">GrpA!$E$9</f>
        <v>1</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2: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2:345" ht="15.5">
      <c r="B13" s="447">
        <f ca="1">INDEX(Groups!$C$7:$C$35,MATCH(C13,Groups!$D$7:$D$35,0))</f>
        <v>3</v>
      </c>
      <c r="C13" s="448" t="str">
        <f ca="1">GrpB!$B$4</f>
        <v>Spain</v>
      </c>
      <c r="D13" s="449">
        <f ca="1">INDEX(Groups!$C$7:$C$35,MATCH(E13,Groups!$D$7:$D$35,0))</f>
        <v>14</v>
      </c>
      <c r="E13" s="448" t="str">
        <f ca="1">GrpB!$D$4</f>
        <v>Croatia</v>
      </c>
      <c r="F13" s="450">
        <f ca="1">GrpB!$E$4</f>
        <v>1</v>
      </c>
      <c r="G13" s="451">
        <f ca="1">GrpB!$G$4</f>
        <v>1</v>
      </c>
      <c r="I13" s="447">
        <f t="shared" ca="1" si="0"/>
        <v>3</v>
      </c>
      <c r="J13" s="448" t="str">
        <f ca="1">GrpB!$B$4</f>
        <v>Spain</v>
      </c>
      <c r="K13" s="449">
        <f ca="1" t="shared" si="104" ref="K13:K18">$D13</f>
        <v>14</v>
      </c>
      <c r="L13" s="448" t="str">
        <f ca="1">GrpB!$D$4</f>
        <v>Croatia</v>
      </c>
      <c r="M13" s="452"/>
      <c r="N13" s="452"/>
      <c r="O13" s="453"/>
      <c r="P13" s="449" t="str">
        <f ca="1" t="shared" si="105" ref="P13:P18">IF(($F13&lt;&gt;"")*($G13&lt;&gt;"")*(M13&lt;&gt;"")*(N13&lt;&gt;""),($F13&gt;$G13)*(M13&gt;N13)+($F13=$G13)*(M13=N13)+($F13&lt;$G13)*(M13&lt;N13),"")</f>
        <v/>
      </c>
      <c r="Q13" s="449" t="str">
        <f ca="1">IF((P13&lt;&gt;""),IF(OR($F13&lt;&gt;$G13,PrSettings!$M$4="●"),(($F13-$G13)=(M13-N13))*1,0),"")</f>
        <v/>
      </c>
      <c r="R13" s="449" t="str">
        <f ca="1" t="shared" si="106" ref="R13:R18">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ca="1" t="shared" si="107" ref="X13:X18">$D13</f>
        <v>14</v>
      </c>
      <c r="Y13" s="448" t="str">
        <f ca="1">GrpB!$D$4</f>
        <v>Croatia</v>
      </c>
      <c r="Z13" s="452"/>
      <c r="AA13" s="452"/>
      <c r="AB13" s="453"/>
      <c r="AC13" s="449" t="str">
        <f ca="1" t="shared" si="108" ref="AC13:AC18">IF(($F13&lt;&gt;"")*($G13&lt;&gt;"")*(Z13&lt;&gt;"")*(AA13&lt;&gt;""),($F13&gt;$G13)*(Z13&gt;AA13)+($F13=$G13)*(Z13=AA13)+($F13&lt;$G13)*(Z13&lt;AA13),"")</f>
        <v/>
      </c>
      <c r="AD13" s="449" t="str">
        <f ca="1">IF((AC13&lt;&gt;""),IF(OR($F13&lt;&gt;$G13,PrSettings!$M$4="●"),(($F13-$G13)=(Z13-AA13))*1,0),"")</f>
        <v/>
      </c>
      <c r="AE13" s="449" t="str">
        <f ca="1" t="shared" si="109" ref="AE13:AE18">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ca="1" t="shared" si="110" ref="AK13:AK18">$D13</f>
        <v>14</v>
      </c>
      <c r="AL13" s="448" t="str">
        <f ca="1">GrpB!$D$4</f>
        <v>Croatia</v>
      </c>
      <c r="AM13" s="452"/>
      <c r="AN13" s="452"/>
      <c r="AO13" s="453"/>
      <c r="AP13" s="449" t="str">
        <f ca="1" t="shared" si="111" ref="AP13:AP18">IF(($F13&lt;&gt;"")*($G13&lt;&gt;"")*(AM13&lt;&gt;"")*(AN13&lt;&gt;""),($F13&gt;$G13)*(AM13&gt;AN13)+($F13=$G13)*(AM13=AN13)+($F13&lt;$G13)*(AM13&lt;AN13),"")</f>
        <v/>
      </c>
      <c r="AQ13" s="449" t="str">
        <f ca="1">IF((AP13&lt;&gt;""),IF(OR($F13&lt;&gt;$G13,PrSettings!$M$4="●"),(($F13-$G13)=(AM13-AN13))*1,0),"")</f>
        <v/>
      </c>
      <c r="AR13" s="449" t="str">
        <f ca="1" t="shared" si="112" ref="AR13:AR18">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ca="1" t="shared" si="113" ref="AX13:AX18">$D13</f>
        <v>14</v>
      </c>
      <c r="AY13" s="448" t="str">
        <f ca="1">GrpB!$D$4</f>
        <v>Croatia</v>
      </c>
      <c r="AZ13" s="452"/>
      <c r="BA13" s="452"/>
      <c r="BB13" s="453"/>
      <c r="BC13" s="449" t="str">
        <f ca="1" t="shared" si="114" ref="BC13:BC18">IF(($F13&lt;&gt;"")*($G13&lt;&gt;"")*(AZ13&lt;&gt;"")*(BA13&lt;&gt;""),($F13&gt;$G13)*(AZ13&gt;BA13)+($F13=$G13)*(AZ13=BA13)+($F13&lt;$G13)*(AZ13&lt;BA13),"")</f>
        <v/>
      </c>
      <c r="BD13" s="449" t="str">
        <f ca="1">IF((BC13&lt;&gt;""),IF(OR($F13&lt;&gt;$G13,PrSettings!$M$4="●"),(($F13-$G13)=(AZ13-BA13))*1,0),"")</f>
        <v/>
      </c>
      <c r="BE13" s="449" t="str">
        <f ca="1" t="shared" si="115" ref="BE13:BE18">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ca="1" t="shared" si="116" ref="BK13:BK18">$D13</f>
        <v>14</v>
      </c>
      <c r="BL13" s="448" t="str">
        <f ca="1">GrpB!$D$4</f>
        <v>Croatia</v>
      </c>
      <c r="BM13" s="452"/>
      <c r="BN13" s="452"/>
      <c r="BO13" s="453"/>
      <c r="BP13" s="449" t="str">
        <f ca="1" t="shared" si="117" ref="BP13:BP18">IF(($F13&lt;&gt;"")*($G13&lt;&gt;"")*(BM13&lt;&gt;"")*(BN13&lt;&gt;""),($F13&gt;$G13)*(BM13&gt;BN13)+($F13=$G13)*(BM13=BN13)+($F13&lt;$G13)*(BM13&lt;BN13),"")</f>
        <v/>
      </c>
      <c r="BQ13" s="449" t="str">
        <f ca="1">IF((BP13&lt;&gt;""),IF(OR($F13&lt;&gt;$G13,PrSettings!$M$4="●"),(($F13-$G13)=(BM13-BN13))*1,0),"")</f>
        <v/>
      </c>
      <c r="BR13" s="449" t="str">
        <f ca="1" t="shared" si="118" ref="BR13:BR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ca="1" t="shared" si="119" ref="BX13:BX18">$D13</f>
        <v>14</v>
      </c>
      <c r="BY13" s="448" t="str">
        <f ca="1">GrpB!$D$4</f>
        <v>Croatia</v>
      </c>
      <c r="BZ13" s="452"/>
      <c r="CA13" s="452"/>
      <c r="CB13" s="453"/>
      <c r="CC13" s="449" t="str">
        <f ca="1" t="shared" si="120" ref="CC13:CC18">IF(($F13&lt;&gt;"")*($G13&lt;&gt;"")*(BZ13&lt;&gt;"")*(CA13&lt;&gt;""),($F13&gt;$G13)*(BZ13&gt;CA13)+($F13=$G13)*(BZ13=CA13)+($F13&lt;$G13)*(BZ13&lt;CA13),"")</f>
        <v/>
      </c>
      <c r="CD13" s="449" t="str">
        <f ca="1">IF((CC13&lt;&gt;""),IF(OR($F13&lt;&gt;$G13,PrSettings!$M$4="●"),(($F13-$G13)=(BZ13-CA13))*1,0),"")</f>
        <v/>
      </c>
      <c r="CE13" s="449" t="str">
        <f ca="1" t="shared" si="121" ref="CE13:CE18">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ca="1" t="shared" si="122" ref="CK13:CK18">$D13</f>
        <v>14</v>
      </c>
      <c r="CL13" s="448" t="str">
        <f ca="1">GrpB!$D$4</f>
        <v>Croatia</v>
      </c>
      <c r="CM13" s="452"/>
      <c r="CN13" s="452"/>
      <c r="CO13" s="453"/>
      <c r="CP13" s="449" t="str">
        <f ca="1" t="shared" si="123" ref="CP13:CP18">IF(($F13&lt;&gt;"")*($G13&lt;&gt;"")*(CM13&lt;&gt;"")*(CN13&lt;&gt;""),($F13&gt;$G13)*(CM13&gt;CN13)+($F13=$G13)*(CM13=CN13)+($F13&lt;$G13)*(CM13&lt;CN13),"")</f>
        <v/>
      </c>
      <c r="CQ13" s="449" t="str">
        <f ca="1">IF((CP13&lt;&gt;""),IF(OR($F13&lt;&gt;$G13,PrSettings!$M$4="●"),(($F13-$G13)=(CM13-CN13))*1,0),"")</f>
        <v/>
      </c>
      <c r="CR13" s="449" t="str">
        <f ca="1" t="shared" si="124" ref="CR13:CR18">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ca="1" t="shared" si="125" ref="CX13:CX18">$D13</f>
        <v>14</v>
      </c>
      <c r="CY13" s="448" t="str">
        <f ca="1">GrpB!$D$4</f>
        <v>Croatia</v>
      </c>
      <c r="CZ13" s="452"/>
      <c r="DA13" s="452"/>
      <c r="DB13" s="453"/>
      <c r="DC13" s="449" t="str">
        <f ca="1" t="shared" si="126" ref="DC13:DC18">IF(($F13&lt;&gt;"")*($G13&lt;&gt;"")*(CZ13&lt;&gt;"")*(DA13&lt;&gt;""),($F13&gt;$G13)*(CZ13&gt;DA13)+($F13=$G13)*(CZ13=DA13)+($F13&lt;$G13)*(CZ13&lt;DA13),"")</f>
        <v/>
      </c>
      <c r="DD13" s="449" t="str">
        <f ca="1">IF((DC13&lt;&gt;""),IF(OR($F13&lt;&gt;$G13,PrSettings!$M$4="●"),(($F13-$G13)=(CZ13-DA13))*1,0),"")</f>
        <v/>
      </c>
      <c r="DE13" s="449" t="str">
        <f ca="1" t="shared" si="127" ref="DE13:DE18">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ca="1" t="shared" si="128" ref="DK13:DK18">$D13</f>
        <v>14</v>
      </c>
      <c r="DL13" s="448" t="str">
        <f ca="1">GrpB!$D$4</f>
        <v>Croatia</v>
      </c>
      <c r="DM13" s="452"/>
      <c r="DN13" s="452"/>
      <c r="DO13" s="453"/>
      <c r="DP13" s="449" t="str">
        <f ca="1" t="shared" si="129" ref="DP13:DP18">IF(($F13&lt;&gt;"")*($G13&lt;&gt;"")*(DM13&lt;&gt;"")*(DN13&lt;&gt;""),($F13&gt;$G13)*(DM13&gt;DN13)+($F13=$G13)*(DM13=DN13)+($F13&lt;$G13)*(DM13&lt;DN13),"")</f>
        <v/>
      </c>
      <c r="DQ13" s="449" t="str">
        <f ca="1">IF((DP13&lt;&gt;""),IF(OR($F13&lt;&gt;$G13,PrSettings!$M$4="●"),(($F13-$G13)=(DM13-DN13))*1,0),"")</f>
        <v/>
      </c>
      <c r="DR13" s="449" t="str">
        <f ca="1" t="shared" si="130" ref="DR13:DR18">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ca="1" t="shared" si="131" ref="DX13:DX18">$D13</f>
        <v>14</v>
      </c>
      <c r="DY13" s="448" t="str">
        <f ca="1">GrpB!$D$4</f>
        <v>Croatia</v>
      </c>
      <c r="DZ13" s="452"/>
      <c r="EA13" s="452"/>
      <c r="EB13" s="453"/>
      <c r="EC13" s="449" t="str">
        <f ca="1" t="shared" si="132" ref="EC13:EC18">IF(($F13&lt;&gt;"")*($G13&lt;&gt;"")*(DZ13&lt;&gt;"")*(EA13&lt;&gt;""),($F13&gt;$G13)*(DZ13&gt;EA13)+($F13=$G13)*(DZ13=EA13)+($F13&lt;$G13)*(DZ13&lt;EA13),"")</f>
        <v/>
      </c>
      <c r="ED13" s="449" t="str">
        <f ca="1">IF((EC13&lt;&gt;""),IF(OR($F13&lt;&gt;$G13,PrSettings!$M$4="●"),(($F13-$G13)=(DZ13-EA13))*1,0),"")</f>
        <v/>
      </c>
      <c r="EE13" s="449" t="str">
        <f ca="1" t="shared" si="133" ref="EE13:EE18">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ca="1" t="shared" si="134" ref="EK13:EK18">$D13</f>
        <v>14</v>
      </c>
      <c r="EL13" s="448" t="str">
        <f ca="1">GrpB!$D$4</f>
        <v>Croatia</v>
      </c>
      <c r="EM13" s="452"/>
      <c r="EN13" s="452"/>
      <c r="EO13" s="453"/>
      <c r="EP13" s="449" t="str">
        <f ca="1" t="shared" si="135" ref="EP13:EP18">IF(($F13&lt;&gt;"")*($G13&lt;&gt;"")*(EM13&lt;&gt;"")*(EN13&lt;&gt;""),($F13&gt;$G13)*(EM13&gt;EN13)+($F13=$G13)*(EM13=EN13)+($F13&lt;$G13)*(EM13&lt;EN13),"")</f>
        <v/>
      </c>
      <c r="EQ13" s="449" t="str">
        <f ca="1">IF((EP13&lt;&gt;""),IF(OR($F13&lt;&gt;$G13,PrSettings!$M$4="●"),(($F13-$G13)=(EM13-EN13))*1,0),"")</f>
        <v/>
      </c>
      <c r="ER13" s="449" t="str">
        <f ca="1" t="shared" si="136" ref="ER13:ER18">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ca="1" t="shared" si="137" ref="EX13:EX18">$D13</f>
        <v>14</v>
      </c>
      <c r="EY13" s="448" t="str">
        <f ca="1">GrpB!$D$4</f>
        <v>Croatia</v>
      </c>
      <c r="EZ13" s="452"/>
      <c r="FA13" s="452"/>
      <c r="FB13" s="453"/>
      <c r="FC13" s="449" t="str">
        <f ca="1" t="shared" si="138" ref="FC13:FC18">IF(($F13&lt;&gt;"")*($G13&lt;&gt;"")*(EZ13&lt;&gt;"")*(FA13&lt;&gt;""),($F13&gt;$G13)*(EZ13&gt;FA13)+($F13=$G13)*(EZ13=FA13)+($F13&lt;$G13)*(EZ13&lt;FA13),"")</f>
        <v/>
      </c>
      <c r="FD13" s="449" t="str">
        <f ca="1">IF((FC13&lt;&gt;""),IF(OR($F13&lt;&gt;$G13,PrSettings!$M$4="●"),(($F13-$G13)=(EZ13-FA13))*1,0),"")</f>
        <v/>
      </c>
      <c r="FE13" s="449" t="str">
        <f ca="1" t="shared" si="139" ref="FE13:FE18">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ca="1" t="shared" si="140" ref="FK13:FK18">$D13</f>
        <v>14</v>
      </c>
      <c r="FL13" s="448" t="str">
        <f ca="1">GrpB!$D$4</f>
        <v>Croatia</v>
      </c>
      <c r="FM13" s="452"/>
      <c r="FN13" s="452"/>
      <c r="FO13" s="453"/>
      <c r="FP13" s="449" t="str">
        <f ca="1" t="shared" si="141" ref="FP13:FP18">IF(($F13&lt;&gt;"")*($G13&lt;&gt;"")*(FM13&lt;&gt;"")*(FN13&lt;&gt;""),($F13&gt;$G13)*(FM13&gt;FN13)+($F13=$G13)*(FM13=FN13)+($F13&lt;$G13)*(FM13&lt;FN13),"")</f>
        <v/>
      </c>
      <c r="FQ13" s="449" t="str">
        <f ca="1">IF((FP13&lt;&gt;""),IF(OR($F13&lt;&gt;$G13,PrSettings!$M$4="●"),(($F13-$G13)=(FM13-FN13))*1,0),"")</f>
        <v/>
      </c>
      <c r="FR13" s="449" t="str">
        <f ca="1" t="shared" si="142" ref="FR13:FR18">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ca="1" t="shared" si="143" ref="FX13:FX18">$D13</f>
        <v>14</v>
      </c>
      <c r="FY13" s="448" t="str">
        <f ca="1">GrpB!$D$4</f>
        <v>Croatia</v>
      </c>
      <c r="FZ13" s="452"/>
      <c r="GA13" s="452"/>
      <c r="GB13" s="453"/>
      <c r="GC13" s="449" t="str">
        <f ca="1" t="shared" si="144" ref="GC13:GC18">IF(($F13&lt;&gt;"")*($G13&lt;&gt;"")*(FZ13&lt;&gt;"")*(GA13&lt;&gt;""),($F13&gt;$G13)*(FZ13&gt;GA13)+($F13=$G13)*(FZ13=GA13)+($F13&lt;$G13)*(FZ13&lt;GA13),"")</f>
        <v/>
      </c>
      <c r="GD13" s="449" t="str">
        <f ca="1">IF((GC13&lt;&gt;""),IF(OR($F13&lt;&gt;$G13,PrSettings!$M$4="●"),(($F13-$G13)=(FZ13-GA13))*1,0),"")</f>
        <v/>
      </c>
      <c r="GE13" s="449" t="str">
        <f ca="1" t="shared" si="145" ref="GE13:GE18">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ca="1" t="shared" si="146" ref="GK13:GK18">$D13</f>
        <v>14</v>
      </c>
      <c r="GL13" s="448" t="str">
        <f ca="1">GrpB!$D$4</f>
        <v>Croatia</v>
      </c>
      <c r="GM13" s="452"/>
      <c r="GN13" s="452"/>
      <c r="GO13" s="453"/>
      <c r="GP13" s="449" t="str">
        <f ca="1" t="shared" si="147" ref="GP13:GP18">IF(($F13&lt;&gt;"")*($G13&lt;&gt;"")*(GM13&lt;&gt;"")*(GN13&lt;&gt;""),($F13&gt;$G13)*(GM13&gt;GN13)+($F13=$G13)*(GM13=GN13)+($F13&lt;$G13)*(GM13&lt;GN13),"")</f>
        <v/>
      </c>
      <c r="GQ13" s="449" t="str">
        <f ca="1">IF((GP13&lt;&gt;""),IF(OR($F13&lt;&gt;$G13,PrSettings!$M$4="●"),(($F13-$G13)=(GM13-GN13))*1,0),"")</f>
        <v/>
      </c>
      <c r="GR13" s="449" t="str">
        <f ca="1" t="shared" si="148" ref="GR13:GR1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ca="1" t="shared" si="149" ref="GX13:GX18">$D13</f>
        <v>14</v>
      </c>
      <c r="GY13" s="448" t="str">
        <f ca="1">GrpB!$D$4</f>
        <v>Croatia</v>
      </c>
      <c r="GZ13" s="452"/>
      <c r="HA13" s="452"/>
      <c r="HB13" s="453"/>
      <c r="HC13" s="449" t="str">
        <f ca="1" t="shared" si="150" ref="HC13:HC18">IF(($F13&lt;&gt;"")*($G13&lt;&gt;"")*(GZ13&lt;&gt;"")*(HA13&lt;&gt;""),($F13&gt;$G13)*(GZ13&gt;HA13)+($F13=$G13)*(GZ13=HA13)+($F13&lt;$G13)*(GZ13&lt;HA13),"")</f>
        <v/>
      </c>
      <c r="HD13" s="449" t="str">
        <f ca="1">IF((HC13&lt;&gt;""),IF(OR($F13&lt;&gt;$G13,PrSettings!$M$4="●"),(($F13-$G13)=(GZ13-HA13))*1,0),"")</f>
        <v/>
      </c>
      <c r="HE13" s="449" t="str">
        <f ca="1" t="shared" si="151" ref="HE13:HE18">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ca="1" t="shared" si="152" ref="HK13:HK18">$D13</f>
        <v>14</v>
      </c>
      <c r="HL13" s="448" t="str">
        <f ca="1">GrpB!$D$4</f>
        <v>Croatia</v>
      </c>
      <c r="HM13" s="452"/>
      <c r="HN13" s="452"/>
      <c r="HO13" s="453"/>
      <c r="HP13" s="449" t="str">
        <f ca="1" t="shared" si="153" ref="HP13:HP18">IF(($F13&lt;&gt;"")*($G13&lt;&gt;"")*(HM13&lt;&gt;"")*(HN13&lt;&gt;""),($F13&gt;$G13)*(HM13&gt;HN13)+($F13=$G13)*(HM13=HN13)+($F13&lt;$G13)*(HM13&lt;HN13),"")</f>
        <v/>
      </c>
      <c r="HQ13" s="449" t="str">
        <f ca="1">IF((HP13&lt;&gt;""),IF(OR($F13&lt;&gt;$G13,PrSettings!$M$4="●"),(($F13-$G13)=(HM13-HN13))*1,0),"")</f>
        <v/>
      </c>
      <c r="HR13" s="449" t="str">
        <f ca="1" t="shared" si="154" ref="HR13:HR18">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ca="1" t="shared" si="155" ref="HX13:HX18">$D13</f>
        <v>14</v>
      </c>
      <c r="HY13" s="448" t="str">
        <f ca="1">GrpB!$D$4</f>
        <v>Croatia</v>
      </c>
      <c r="HZ13" s="452"/>
      <c r="IA13" s="452"/>
      <c r="IB13" s="453"/>
      <c r="IC13" s="449" t="str">
        <f ca="1" t="shared" si="156" ref="IC13:IC18">IF(($F13&lt;&gt;"")*($G13&lt;&gt;"")*(HZ13&lt;&gt;"")*(IA13&lt;&gt;""),($F13&gt;$G13)*(HZ13&gt;IA13)+($F13=$G13)*(HZ13=IA13)+($F13&lt;$G13)*(HZ13&lt;IA13),"")</f>
        <v/>
      </c>
      <c r="ID13" s="449" t="str">
        <f ca="1">IF((IC13&lt;&gt;""),IF(OR($F13&lt;&gt;$G13,PrSettings!$M$4="●"),(($F13-$G13)=(HZ13-IA13))*1,0),"")</f>
        <v/>
      </c>
      <c r="IE13" s="449" t="str">
        <f ca="1" t="shared" si="157" ref="IE13:IE18">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ca="1" t="shared" si="158" ref="IK13:IK18">$D13</f>
        <v>14</v>
      </c>
      <c r="IL13" s="448" t="str">
        <f ca="1">GrpB!$D$4</f>
        <v>Croatia</v>
      </c>
      <c r="IM13" s="452"/>
      <c r="IN13" s="452"/>
      <c r="IO13" s="453"/>
      <c r="IP13" s="449" t="str">
        <f ca="1" t="shared" si="159" ref="IP13:IP18">IF(($F13&lt;&gt;"")*($G13&lt;&gt;"")*(IM13&lt;&gt;"")*(IN13&lt;&gt;""),($F13&gt;$G13)*(IM13&gt;IN13)+($F13=$G13)*(IM13=IN13)+($F13&lt;$G13)*(IM13&lt;IN13),"")</f>
        <v/>
      </c>
      <c r="IQ13" s="449" t="str">
        <f ca="1">IF((IP13&lt;&gt;""),IF(OR($F13&lt;&gt;$G13,PrSettings!$M$4="●"),(($F13-$G13)=(IM13-IN13))*1,0),"")</f>
        <v/>
      </c>
      <c r="IR13" s="449" t="str">
        <f ca="1" t="shared" si="160" ref="IR13:IR18">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ca="1" t="shared" si="161" ref="IX13:IX18">$D13</f>
        <v>14</v>
      </c>
      <c r="IY13" s="448" t="str">
        <f ca="1">GrpB!$D$4</f>
        <v>Croatia</v>
      </c>
      <c r="IZ13" s="452"/>
      <c r="JA13" s="452"/>
      <c r="JB13" s="453"/>
      <c r="JC13" s="449" t="str">
        <f ca="1" t="shared" si="162" ref="JC13:JC18">IF(($F13&lt;&gt;"")*($G13&lt;&gt;"")*(IZ13&lt;&gt;"")*(JA13&lt;&gt;""),($F13&gt;$G13)*(IZ13&gt;JA13)+($F13=$G13)*(IZ13=JA13)+($F13&lt;$G13)*(IZ13&lt;JA13),"")</f>
        <v/>
      </c>
      <c r="JD13" s="449" t="str">
        <f ca="1">IF((JC13&lt;&gt;""),IF(OR($F13&lt;&gt;$G13,PrSettings!$M$4="●"),(($F13-$G13)=(IZ13-JA13))*1,0),"")</f>
        <v/>
      </c>
      <c r="JE13" s="449" t="str">
        <f ca="1" t="shared" si="163" ref="JE13:JE18">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ca="1" t="shared" si="164" ref="JK13:JK18">$D13</f>
        <v>14</v>
      </c>
      <c r="JL13" s="448" t="str">
        <f ca="1">GrpB!$D$4</f>
        <v>Croatia</v>
      </c>
      <c r="JM13" s="452"/>
      <c r="JN13" s="452"/>
      <c r="JO13" s="453"/>
      <c r="JP13" s="449" t="str">
        <f ca="1" t="shared" si="165" ref="JP13:JP18">IF(($F13&lt;&gt;"")*($G13&lt;&gt;"")*(JM13&lt;&gt;"")*(JN13&lt;&gt;""),($F13&gt;$G13)*(JM13&gt;JN13)+($F13=$G13)*(JM13=JN13)+($F13&lt;$G13)*(JM13&lt;JN13),"")</f>
        <v/>
      </c>
      <c r="JQ13" s="449" t="str">
        <f ca="1">IF((JP13&lt;&gt;""),IF(OR($F13&lt;&gt;$G13,PrSettings!$M$4="●"),(($F13-$G13)=(JM13-JN13))*1,0),"")</f>
        <v/>
      </c>
      <c r="JR13" s="449" t="str">
        <f ca="1" t="shared" si="166" ref="JR13:JR18">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ca="1" t="shared" si="167" ref="JX13:JX18">$D13</f>
        <v>14</v>
      </c>
      <c r="JY13" s="448" t="str">
        <f ca="1">GrpB!$D$4</f>
        <v>Croatia</v>
      </c>
      <c r="JZ13" s="452"/>
      <c r="KA13" s="452"/>
      <c r="KB13" s="453"/>
      <c r="KC13" s="449" t="str">
        <f ca="1" t="shared" si="168" ref="KC13:KC18">IF(($F13&lt;&gt;"")*($G13&lt;&gt;"")*(JZ13&lt;&gt;"")*(KA13&lt;&gt;""),($F13&gt;$G13)*(JZ13&gt;KA13)+($F13=$G13)*(JZ13=KA13)+($F13&lt;$G13)*(JZ13&lt;KA13),"")</f>
        <v/>
      </c>
      <c r="KD13" s="449" t="str">
        <f ca="1">IF((KC13&lt;&gt;""),IF(OR($F13&lt;&gt;$G13,PrSettings!$M$4="●"),(($F13-$G13)=(JZ13-KA13))*1,0),"")</f>
        <v/>
      </c>
      <c r="KE13" s="449" t="str">
        <f ca="1" t="shared" si="169" ref="KE13:KE18">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ca="1" t="shared" si="170" ref="KK13:KK18">$D13</f>
        <v>14</v>
      </c>
      <c r="KL13" s="448" t="str">
        <f ca="1">GrpB!$D$4</f>
        <v>Croatia</v>
      </c>
      <c r="KM13" s="452"/>
      <c r="KN13" s="452"/>
      <c r="KO13" s="453"/>
      <c r="KP13" s="449" t="str">
        <f ca="1" t="shared" si="171" ref="KP13:KP18">IF(($F13&lt;&gt;"")*($G13&lt;&gt;"")*(KM13&lt;&gt;"")*(KN13&lt;&gt;""),($F13&gt;$G13)*(KM13&gt;KN13)+($F13=$G13)*(KM13=KN13)+($F13&lt;$G13)*(KM13&lt;KN13),"")</f>
        <v/>
      </c>
      <c r="KQ13" s="449" t="str">
        <f ca="1">IF((KP13&lt;&gt;""),IF(OR($F13&lt;&gt;$G13,PrSettings!$M$4="●"),(($F13-$G13)=(KM13-KN13))*1,0),"")</f>
        <v/>
      </c>
      <c r="KR13" s="449" t="str">
        <f ca="1" t="shared" si="172" ref="KR13:KR18">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ca="1" t="shared" si="173" ref="KX13:KX18">$D13</f>
        <v>14</v>
      </c>
      <c r="KY13" s="448" t="str">
        <f ca="1">GrpB!$D$4</f>
        <v>Croatia</v>
      </c>
      <c r="KZ13" s="452"/>
      <c r="LA13" s="452"/>
      <c r="LB13" s="453"/>
      <c r="LC13" s="449" t="str">
        <f ca="1" t="shared" si="174" ref="LC13:LC18">IF(($F13&lt;&gt;"")*($G13&lt;&gt;"")*(KZ13&lt;&gt;"")*(LA13&lt;&gt;""),($F13&gt;$G13)*(KZ13&gt;LA13)+($F13=$G13)*(KZ13=LA13)+($F13&lt;$G13)*(KZ13&lt;LA13),"")</f>
        <v/>
      </c>
      <c r="LD13" s="449" t="str">
        <f ca="1">IF((LC13&lt;&gt;""),IF(OR($F13&lt;&gt;$G13,PrSettings!$M$4="●"),(($F13-$G13)=(KZ13-LA13))*1,0),"")</f>
        <v/>
      </c>
      <c r="LE13" s="449" t="str">
        <f ca="1" t="shared" si="175" ref="LE13:LE18">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ca="1" t="shared" si="176" ref="LK13:LK18">$D13</f>
        <v>14</v>
      </c>
      <c r="LL13" s="448" t="str">
        <f ca="1">GrpB!$D$4</f>
        <v>Croatia</v>
      </c>
      <c r="LM13" s="452"/>
      <c r="LN13" s="452"/>
      <c r="LO13" s="453"/>
      <c r="LP13" s="449" t="str">
        <f ca="1" t="shared" si="177" ref="LP13:LP18">IF(($F13&lt;&gt;"")*($G13&lt;&gt;"")*(LM13&lt;&gt;"")*(LN13&lt;&gt;""),($F13&gt;$G13)*(LM13&gt;LN13)+($F13=$G13)*(LM13=LN13)+($F13&lt;$G13)*(LM13&lt;LN13),"")</f>
        <v/>
      </c>
      <c r="LQ13" s="449" t="str">
        <f ca="1">IF((LP13&lt;&gt;""),IF(OR($F13&lt;&gt;$G13,PrSettings!$M$4="●"),(($F13-$G13)=(LM13-LN13))*1,0),"")</f>
        <v/>
      </c>
      <c r="LR13" s="449" t="str">
        <f ca="1" t="shared" si="178" ref="LR13:LR1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ca="1" t="shared" si="179" ref="LX13:LX18">$D13</f>
        <v>14</v>
      </c>
      <c r="LY13" s="448" t="str">
        <f ca="1">GrpB!$D$4</f>
        <v>Croatia</v>
      </c>
      <c r="LZ13" s="452"/>
      <c r="MA13" s="452"/>
      <c r="MB13" s="453"/>
      <c r="MC13" s="449" t="str">
        <f ca="1" t="shared" si="180" ref="MC13:MC18">IF(($F13&lt;&gt;"")*($G13&lt;&gt;"")*(LZ13&lt;&gt;"")*(MA13&lt;&gt;""),($F13&gt;$G13)*(LZ13&gt;MA13)+($F13=$G13)*(LZ13=MA13)+($F13&lt;$G13)*(LZ13&lt;MA13),"")</f>
        <v/>
      </c>
      <c r="MD13" s="449" t="str">
        <f ca="1">IF((MC13&lt;&gt;""),IF(OR($F13&lt;&gt;$G13,PrSettings!$M$4="●"),(($F13-$G13)=(LZ13-MA13))*1,0),"")</f>
        <v/>
      </c>
      <c r="ME13" s="449" t="str">
        <f ca="1" t="shared" si="181" ref="ME13:ME18">IF((MC13&lt;&gt;""),($F13=LZ13)*($G13=MA13),"")</f>
        <v/>
      </c>
      <c r="MF13" s="449" t="str">
        <f ca="1">IF(MC13&lt;&gt;"",IF(ABS($F13-$G13)&gt;=PrSettings!$M$7,(ABS($F13-$G13-LZ13+MA13)&lt;=1)*1,IF(AND(MC13,$F13=$G13,$F13&gt;=PrSettings!$M$6),(ABS(LZ13-$F13)&lt;=1)*1,IF(AND(ABS($F13-$G13-LZ13+MA13)&lt;=1,$F13+$G13&gt;=PrSettings!$M$8),(ABS(LZ13-$F13)&lt;=1)*(ABS(MA13-$G13)&lt;=1)*1,""))),"")</f>
        <v/>
      </c>
      <c r="MG13" s="454"/>
    </row>
    <row r="14" spans="2:345" ht="15.5">
      <c r="B14" s="447">
        <f ca="1">INDEX(Groups!$C$7:$C$35,MATCH(C14,Groups!$D$7:$D$35,0))</f>
        <v>18</v>
      </c>
      <c r="C14" s="448" t="str">
        <f ca="1">GrpB!$B$5</f>
        <v>Italy</v>
      </c>
      <c r="D14" s="449">
        <f ca="1">INDEX(Groups!$C$7:$C$35,MATCH(E14,Groups!$D$7:$D$35,0))</f>
        <v>10</v>
      </c>
      <c r="E14" s="448" t="str">
        <f ca="1">GrpB!$D$5</f>
        <v>Albania</v>
      </c>
      <c r="F14" s="450">
        <f ca="1">GrpB!$E$5</f>
        <v>4</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2:345" ht="15.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2:345" ht="15.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ht="15.5">
      <c r="B17" s="447">
        <f ca="1">INDEX(Groups!$C$7:$C$35,MATCH(C17,Groups!$D$7:$D$35,0))</f>
        <v>10</v>
      </c>
      <c r="C17" s="448" t="str">
        <f ca="1">GrpB!$B$8</f>
        <v>Albania</v>
      </c>
      <c r="D17" s="449">
        <f ca="1">INDEX(Groups!$C$7:$C$35,MATCH(E17,Groups!$D$7:$D$35,0))</f>
        <v>3</v>
      </c>
      <c r="E17" s="448" t="str">
        <f ca="1">GrpB!$D$8</f>
        <v>Spain</v>
      </c>
      <c r="F17" s="450">
        <f ca="1">GrpB!$E$8</f>
        <v>1</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ht="15.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ht="15.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ca="1" t="shared" si="182" ref="K20:K25">$D20</f>
        <v>9</v>
      </c>
      <c r="L20" s="448" t="str">
        <f ca="1">GrpC!$D$4</f>
        <v>Denmark</v>
      </c>
      <c r="M20" s="452"/>
      <c r="N20" s="452"/>
      <c r="O20" s="453"/>
      <c r="P20" s="449" t="str">
        <f ca="1" t="shared" si="183" ref="P20:P25">IF(($F20&lt;&gt;"")*($G20&lt;&gt;"")*(M20&lt;&gt;"")*(N20&lt;&gt;""),($F20&gt;$G20)*(M20&gt;N20)+($F20=$G20)*(M20=N20)+($F20&lt;$G20)*(M20&lt;N20),"")</f>
        <v/>
      </c>
      <c r="Q20" s="449" t="str">
        <f ca="1">IF((P20&lt;&gt;""),IF(OR($F20&lt;&gt;$G20,PrSettings!$M$4="●"),(($F20-$G20)=(M20-N20))*1,0),"")</f>
        <v/>
      </c>
      <c r="R20" s="449" t="str">
        <f ca="1" t="shared" si="184" ref="R20:R25">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ca="1" t="shared" si="185" ref="X20:X25">$D20</f>
        <v>9</v>
      </c>
      <c r="Y20" s="448" t="str">
        <f ca="1">GrpC!$D$4</f>
        <v>Denmark</v>
      </c>
      <c r="Z20" s="452"/>
      <c r="AA20" s="452"/>
      <c r="AB20" s="453"/>
      <c r="AC20" s="449" t="str">
        <f ca="1" t="shared" si="186" ref="AC20:AC25">IF(($F20&lt;&gt;"")*($G20&lt;&gt;"")*(Z20&lt;&gt;"")*(AA20&lt;&gt;""),($F20&gt;$G20)*(Z20&gt;AA20)+($F20=$G20)*(Z20=AA20)+($F20&lt;$G20)*(Z20&lt;AA20),"")</f>
        <v/>
      </c>
      <c r="AD20" s="449" t="str">
        <f ca="1">IF((AC20&lt;&gt;""),IF(OR($F20&lt;&gt;$G20,PrSettings!$M$4="●"),(($F20-$G20)=(Z20-AA20))*1,0),"")</f>
        <v/>
      </c>
      <c r="AE20" s="449" t="str">
        <f ca="1" t="shared" si="187" ref="AE20:AE25">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ca="1" t="shared" si="188" ref="AK20:AK25">$D20</f>
        <v>9</v>
      </c>
      <c r="AL20" s="448" t="str">
        <f ca="1">GrpC!$D$4</f>
        <v>Denmark</v>
      </c>
      <c r="AM20" s="452"/>
      <c r="AN20" s="452"/>
      <c r="AO20" s="453"/>
      <c r="AP20" s="449" t="str">
        <f ca="1" t="shared" si="189" ref="AP20:AP25">IF(($F20&lt;&gt;"")*($G20&lt;&gt;"")*(AM20&lt;&gt;"")*(AN20&lt;&gt;""),($F20&gt;$G20)*(AM20&gt;AN20)+($F20=$G20)*(AM20=AN20)+($F20&lt;$G20)*(AM20&lt;AN20),"")</f>
        <v/>
      </c>
      <c r="AQ20" s="449" t="str">
        <f ca="1">IF((AP20&lt;&gt;""),IF(OR($F20&lt;&gt;$G20,PrSettings!$M$4="●"),(($F20-$G20)=(AM20-AN20))*1,0),"")</f>
        <v/>
      </c>
      <c r="AR20" s="449" t="str">
        <f ca="1" t="shared" si="190" ref="AR20:AR25">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ca="1" t="shared" si="191" ref="AX20:AX25">$D20</f>
        <v>9</v>
      </c>
      <c r="AY20" s="448" t="str">
        <f ca="1">GrpC!$D$4</f>
        <v>Denmark</v>
      </c>
      <c r="AZ20" s="452"/>
      <c r="BA20" s="452"/>
      <c r="BB20" s="453"/>
      <c r="BC20" s="449" t="str">
        <f ca="1" t="shared" si="192" ref="BC20:BC25">IF(($F20&lt;&gt;"")*($G20&lt;&gt;"")*(AZ20&lt;&gt;"")*(BA20&lt;&gt;""),($F20&gt;$G20)*(AZ20&gt;BA20)+($F20=$G20)*(AZ20=BA20)+($F20&lt;$G20)*(AZ20&lt;BA20),"")</f>
        <v/>
      </c>
      <c r="BD20" s="449" t="str">
        <f ca="1">IF((BC20&lt;&gt;""),IF(OR($F20&lt;&gt;$G20,PrSettings!$M$4="●"),(($F20-$G20)=(AZ20-BA20))*1,0),"")</f>
        <v/>
      </c>
      <c r="BE20" s="449" t="str">
        <f ca="1" t="shared" si="193" ref="BE20:BE25">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ca="1" t="shared" si="194" ref="BK20:BK25">$D20</f>
        <v>9</v>
      </c>
      <c r="BL20" s="448" t="str">
        <f ca="1">GrpC!$D$4</f>
        <v>Denmark</v>
      </c>
      <c r="BM20" s="452"/>
      <c r="BN20" s="452"/>
      <c r="BO20" s="453"/>
      <c r="BP20" s="449" t="str">
        <f ca="1" t="shared" si="195" ref="BP20:BP25">IF(($F20&lt;&gt;"")*($G20&lt;&gt;"")*(BM20&lt;&gt;"")*(BN20&lt;&gt;""),($F20&gt;$G20)*(BM20&gt;BN20)+($F20=$G20)*(BM20=BN20)+($F20&lt;$G20)*(BM20&lt;BN20),"")</f>
        <v/>
      </c>
      <c r="BQ20" s="449" t="str">
        <f ca="1">IF((BP20&lt;&gt;""),IF(OR($F20&lt;&gt;$G20,PrSettings!$M$4="●"),(($F20-$G20)=(BM20-BN20))*1,0),"")</f>
        <v/>
      </c>
      <c r="BR20" s="449" t="str">
        <f ca="1" t="shared" si="196" ref="BR20:BR25">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ca="1" t="shared" si="197" ref="BX20:BX25">$D20</f>
        <v>9</v>
      </c>
      <c r="BY20" s="448" t="str">
        <f ca="1">GrpC!$D$4</f>
        <v>Denmark</v>
      </c>
      <c r="BZ20" s="452"/>
      <c r="CA20" s="452"/>
      <c r="CB20" s="453"/>
      <c r="CC20" s="449" t="str">
        <f ca="1" t="shared" si="198" ref="CC20:CC25">IF(($F20&lt;&gt;"")*($G20&lt;&gt;"")*(BZ20&lt;&gt;"")*(CA20&lt;&gt;""),($F20&gt;$G20)*(BZ20&gt;CA20)+($F20=$G20)*(BZ20=CA20)+($F20&lt;$G20)*(BZ20&lt;CA20),"")</f>
        <v/>
      </c>
      <c r="CD20" s="449" t="str">
        <f ca="1">IF((CC20&lt;&gt;""),IF(OR($F20&lt;&gt;$G20,PrSettings!$M$4="●"),(($F20-$G20)=(BZ20-CA20))*1,0),"")</f>
        <v/>
      </c>
      <c r="CE20" s="449" t="str">
        <f ca="1" t="shared" si="199" ref="CE20:CE25">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ca="1" t="shared" si="200" ref="CK20:CK25">$D20</f>
        <v>9</v>
      </c>
      <c r="CL20" s="448" t="str">
        <f ca="1">GrpC!$D$4</f>
        <v>Denmark</v>
      </c>
      <c r="CM20" s="452"/>
      <c r="CN20" s="452"/>
      <c r="CO20" s="453"/>
      <c r="CP20" s="449" t="str">
        <f ca="1" t="shared" si="201" ref="CP20:CP25">IF(($F20&lt;&gt;"")*($G20&lt;&gt;"")*(CM20&lt;&gt;"")*(CN20&lt;&gt;""),($F20&gt;$G20)*(CM20&gt;CN20)+($F20=$G20)*(CM20=CN20)+($F20&lt;$G20)*(CM20&lt;CN20),"")</f>
        <v/>
      </c>
      <c r="CQ20" s="449" t="str">
        <f ca="1">IF((CP20&lt;&gt;""),IF(OR($F20&lt;&gt;$G20,PrSettings!$M$4="●"),(($F20-$G20)=(CM20-CN20))*1,0),"")</f>
        <v/>
      </c>
      <c r="CR20" s="449" t="str">
        <f ca="1" t="shared" si="202" ref="CR20:CR25">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ca="1" t="shared" si="203" ref="CX20:CX25">$D20</f>
        <v>9</v>
      </c>
      <c r="CY20" s="448" t="str">
        <f ca="1">GrpC!$D$4</f>
        <v>Denmark</v>
      </c>
      <c r="CZ20" s="452"/>
      <c r="DA20" s="452"/>
      <c r="DB20" s="453"/>
      <c r="DC20" s="449" t="str">
        <f ca="1" t="shared" si="204" ref="DC20:DC25">IF(($F20&lt;&gt;"")*($G20&lt;&gt;"")*(CZ20&lt;&gt;"")*(DA20&lt;&gt;""),($F20&gt;$G20)*(CZ20&gt;DA20)+($F20=$G20)*(CZ20=DA20)+($F20&lt;$G20)*(CZ20&lt;DA20),"")</f>
        <v/>
      </c>
      <c r="DD20" s="449" t="str">
        <f ca="1">IF((DC20&lt;&gt;""),IF(OR($F20&lt;&gt;$G20,PrSettings!$M$4="●"),(($F20-$G20)=(CZ20-DA20))*1,0),"")</f>
        <v/>
      </c>
      <c r="DE20" s="449" t="str">
        <f ca="1" t="shared" si="205" ref="DE20:DE2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ca="1" t="shared" si="206" ref="DK20:DK25">$D20</f>
        <v>9</v>
      </c>
      <c r="DL20" s="448" t="str">
        <f ca="1">GrpC!$D$4</f>
        <v>Denmark</v>
      </c>
      <c r="DM20" s="452"/>
      <c r="DN20" s="452"/>
      <c r="DO20" s="453"/>
      <c r="DP20" s="449" t="str">
        <f ca="1" t="shared" si="207" ref="DP20:DP25">IF(($F20&lt;&gt;"")*($G20&lt;&gt;"")*(DM20&lt;&gt;"")*(DN20&lt;&gt;""),($F20&gt;$G20)*(DM20&gt;DN20)+($F20=$G20)*(DM20=DN20)+($F20&lt;$G20)*(DM20&lt;DN20),"")</f>
        <v/>
      </c>
      <c r="DQ20" s="449" t="str">
        <f ca="1">IF((DP20&lt;&gt;""),IF(OR($F20&lt;&gt;$G20,PrSettings!$M$4="●"),(($F20-$G20)=(DM20-DN20))*1,0),"")</f>
        <v/>
      </c>
      <c r="DR20" s="449" t="str">
        <f ca="1" t="shared" si="208" ref="DR20:DR25">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ca="1" t="shared" si="209" ref="DX20:DX25">$D20</f>
        <v>9</v>
      </c>
      <c r="DY20" s="448" t="str">
        <f ca="1">GrpC!$D$4</f>
        <v>Denmark</v>
      </c>
      <c r="DZ20" s="452"/>
      <c r="EA20" s="452"/>
      <c r="EB20" s="453"/>
      <c r="EC20" s="449" t="str">
        <f ca="1" t="shared" si="210" ref="EC20:EC25">IF(($F20&lt;&gt;"")*($G20&lt;&gt;"")*(DZ20&lt;&gt;"")*(EA20&lt;&gt;""),($F20&gt;$G20)*(DZ20&gt;EA20)+($F20=$G20)*(DZ20=EA20)+($F20&lt;$G20)*(DZ20&lt;EA20),"")</f>
        <v/>
      </c>
      <c r="ED20" s="449" t="str">
        <f ca="1">IF((EC20&lt;&gt;""),IF(OR($F20&lt;&gt;$G20,PrSettings!$M$4="●"),(($F20-$G20)=(DZ20-EA20))*1,0),"")</f>
        <v/>
      </c>
      <c r="EE20" s="449" t="str">
        <f ca="1" t="shared" si="211" ref="EE20:EE25">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ca="1" t="shared" si="212" ref="EK20:EK25">$D20</f>
        <v>9</v>
      </c>
      <c r="EL20" s="448" t="str">
        <f ca="1">GrpC!$D$4</f>
        <v>Denmark</v>
      </c>
      <c r="EM20" s="452"/>
      <c r="EN20" s="452"/>
      <c r="EO20" s="453"/>
      <c r="EP20" s="449" t="str">
        <f ca="1" t="shared" si="213" ref="EP20:EP25">IF(($F20&lt;&gt;"")*($G20&lt;&gt;"")*(EM20&lt;&gt;"")*(EN20&lt;&gt;""),($F20&gt;$G20)*(EM20&gt;EN20)+($F20=$G20)*(EM20=EN20)+($F20&lt;$G20)*(EM20&lt;EN20),"")</f>
        <v/>
      </c>
      <c r="EQ20" s="449" t="str">
        <f ca="1">IF((EP20&lt;&gt;""),IF(OR($F20&lt;&gt;$G20,PrSettings!$M$4="●"),(($F20-$G20)=(EM20-EN20))*1,0),"")</f>
        <v/>
      </c>
      <c r="ER20" s="449" t="str">
        <f ca="1" t="shared" si="214" ref="ER20:ER25">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ca="1" t="shared" si="215" ref="EX20:EX25">$D20</f>
        <v>9</v>
      </c>
      <c r="EY20" s="448" t="str">
        <f ca="1">GrpC!$D$4</f>
        <v>Denmark</v>
      </c>
      <c r="EZ20" s="452"/>
      <c r="FA20" s="452"/>
      <c r="FB20" s="453"/>
      <c r="FC20" s="449" t="str">
        <f ca="1" t="shared" si="216" ref="FC20:FC25">IF(($F20&lt;&gt;"")*($G20&lt;&gt;"")*(EZ20&lt;&gt;"")*(FA20&lt;&gt;""),($F20&gt;$G20)*(EZ20&gt;FA20)+($F20=$G20)*(EZ20=FA20)+($F20&lt;$G20)*(EZ20&lt;FA20),"")</f>
        <v/>
      </c>
      <c r="FD20" s="449" t="str">
        <f ca="1">IF((FC20&lt;&gt;""),IF(OR($F20&lt;&gt;$G20,PrSettings!$M$4="●"),(($F20-$G20)=(EZ20-FA20))*1,0),"")</f>
        <v/>
      </c>
      <c r="FE20" s="449" t="str">
        <f ca="1" t="shared" si="217" ref="FE20:FE25">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ca="1" t="shared" si="218" ref="FK20:FK25">$D20</f>
        <v>9</v>
      </c>
      <c r="FL20" s="448" t="str">
        <f ca="1">GrpC!$D$4</f>
        <v>Denmark</v>
      </c>
      <c r="FM20" s="452"/>
      <c r="FN20" s="452"/>
      <c r="FO20" s="453"/>
      <c r="FP20" s="449" t="str">
        <f ca="1" t="shared" si="219" ref="FP20:FP25">IF(($F20&lt;&gt;"")*($G20&lt;&gt;"")*(FM20&lt;&gt;"")*(FN20&lt;&gt;""),($F20&gt;$G20)*(FM20&gt;FN20)+($F20=$G20)*(FM20=FN20)+($F20&lt;$G20)*(FM20&lt;FN20),"")</f>
        <v/>
      </c>
      <c r="FQ20" s="449" t="str">
        <f ca="1">IF((FP20&lt;&gt;""),IF(OR($F20&lt;&gt;$G20,PrSettings!$M$4="●"),(($F20-$G20)=(FM20-FN20))*1,0),"")</f>
        <v/>
      </c>
      <c r="FR20" s="449" t="str">
        <f ca="1" t="shared" si="220" ref="FR20:FR25">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ca="1" t="shared" si="221" ref="FX20:FX25">$D20</f>
        <v>9</v>
      </c>
      <c r="FY20" s="448" t="str">
        <f ca="1">GrpC!$D$4</f>
        <v>Denmark</v>
      </c>
      <c r="FZ20" s="452"/>
      <c r="GA20" s="452"/>
      <c r="GB20" s="453"/>
      <c r="GC20" s="449" t="str">
        <f ca="1" t="shared" si="222" ref="GC20:GC25">IF(($F20&lt;&gt;"")*($G20&lt;&gt;"")*(FZ20&lt;&gt;"")*(GA20&lt;&gt;""),($F20&gt;$G20)*(FZ20&gt;GA20)+($F20=$G20)*(FZ20=GA20)+($F20&lt;$G20)*(FZ20&lt;GA20),"")</f>
        <v/>
      </c>
      <c r="GD20" s="449" t="str">
        <f ca="1">IF((GC20&lt;&gt;""),IF(OR($F20&lt;&gt;$G20,PrSettings!$M$4="●"),(($F20-$G20)=(FZ20-GA20))*1,0),"")</f>
        <v/>
      </c>
      <c r="GE20" s="449" t="str">
        <f ca="1" t="shared" si="223" ref="GE20:GE25">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ca="1" t="shared" si="224" ref="GK20:GK25">$D20</f>
        <v>9</v>
      </c>
      <c r="GL20" s="448" t="str">
        <f ca="1">GrpC!$D$4</f>
        <v>Denmark</v>
      </c>
      <c r="GM20" s="452"/>
      <c r="GN20" s="452"/>
      <c r="GO20" s="453"/>
      <c r="GP20" s="449" t="str">
        <f ca="1" t="shared" si="225" ref="GP20:GP25">IF(($F20&lt;&gt;"")*($G20&lt;&gt;"")*(GM20&lt;&gt;"")*(GN20&lt;&gt;""),($F20&gt;$G20)*(GM20&gt;GN20)+($F20=$G20)*(GM20=GN20)+($F20&lt;$G20)*(GM20&lt;GN20),"")</f>
        <v/>
      </c>
      <c r="GQ20" s="449" t="str">
        <f ca="1">IF((GP20&lt;&gt;""),IF(OR($F20&lt;&gt;$G20,PrSettings!$M$4="●"),(($F20-$G20)=(GM20-GN20))*1,0),"")</f>
        <v/>
      </c>
      <c r="GR20" s="449" t="str">
        <f ca="1" t="shared" si="226" ref="GR20:GR25">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ca="1" t="shared" si="227" ref="GX20:GX25">$D20</f>
        <v>9</v>
      </c>
      <c r="GY20" s="448" t="str">
        <f ca="1">GrpC!$D$4</f>
        <v>Denmark</v>
      </c>
      <c r="GZ20" s="452"/>
      <c r="HA20" s="452"/>
      <c r="HB20" s="453"/>
      <c r="HC20" s="449" t="str">
        <f ca="1" t="shared" si="228" ref="HC20:HC25">IF(($F20&lt;&gt;"")*($G20&lt;&gt;"")*(GZ20&lt;&gt;"")*(HA20&lt;&gt;""),($F20&gt;$G20)*(GZ20&gt;HA20)+($F20=$G20)*(GZ20=HA20)+($F20&lt;$G20)*(GZ20&lt;HA20),"")</f>
        <v/>
      </c>
      <c r="HD20" s="449" t="str">
        <f ca="1">IF((HC20&lt;&gt;""),IF(OR($F20&lt;&gt;$G20,PrSettings!$M$4="●"),(($F20-$G20)=(GZ20-HA20))*1,0),"")</f>
        <v/>
      </c>
      <c r="HE20" s="449" t="str">
        <f ca="1" t="shared" si="229" ref="HE20:HE25">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ca="1" t="shared" si="230" ref="HK20:HK25">$D20</f>
        <v>9</v>
      </c>
      <c r="HL20" s="448" t="str">
        <f ca="1">GrpC!$D$4</f>
        <v>Denmark</v>
      </c>
      <c r="HM20" s="452"/>
      <c r="HN20" s="452"/>
      <c r="HO20" s="453"/>
      <c r="HP20" s="449" t="str">
        <f ca="1" t="shared" si="231" ref="HP20:HP25">IF(($F20&lt;&gt;"")*($G20&lt;&gt;"")*(HM20&lt;&gt;"")*(HN20&lt;&gt;""),($F20&gt;$G20)*(HM20&gt;HN20)+($F20=$G20)*(HM20=HN20)+($F20&lt;$G20)*(HM20&lt;HN20),"")</f>
        <v/>
      </c>
      <c r="HQ20" s="449" t="str">
        <f ca="1">IF((HP20&lt;&gt;""),IF(OR($F20&lt;&gt;$G20,PrSettings!$M$4="●"),(($F20-$G20)=(HM20-HN20))*1,0),"")</f>
        <v/>
      </c>
      <c r="HR20" s="449" t="str">
        <f ca="1" t="shared" si="232" ref="HR20:HR25">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ca="1" t="shared" si="233" ref="HX20:HX25">$D20</f>
        <v>9</v>
      </c>
      <c r="HY20" s="448" t="str">
        <f ca="1">GrpC!$D$4</f>
        <v>Denmark</v>
      </c>
      <c r="HZ20" s="452"/>
      <c r="IA20" s="452"/>
      <c r="IB20" s="453"/>
      <c r="IC20" s="449" t="str">
        <f ca="1" t="shared" si="234" ref="IC20:IC25">IF(($F20&lt;&gt;"")*($G20&lt;&gt;"")*(HZ20&lt;&gt;"")*(IA20&lt;&gt;""),($F20&gt;$G20)*(HZ20&gt;IA20)+($F20=$G20)*(HZ20=IA20)+($F20&lt;$G20)*(HZ20&lt;IA20),"")</f>
        <v/>
      </c>
      <c r="ID20" s="449" t="str">
        <f ca="1">IF((IC20&lt;&gt;""),IF(OR($F20&lt;&gt;$G20,PrSettings!$M$4="●"),(($F20-$G20)=(HZ20-IA20))*1,0),"")</f>
        <v/>
      </c>
      <c r="IE20" s="449" t="str">
        <f ca="1" t="shared" si="235" ref="IE20:IE2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ca="1" t="shared" si="236" ref="IK20:IK25">$D20</f>
        <v>9</v>
      </c>
      <c r="IL20" s="448" t="str">
        <f ca="1">GrpC!$D$4</f>
        <v>Denmark</v>
      </c>
      <c r="IM20" s="452"/>
      <c r="IN20" s="452"/>
      <c r="IO20" s="453"/>
      <c r="IP20" s="449" t="str">
        <f ca="1" t="shared" si="237" ref="IP20:IP25">IF(($F20&lt;&gt;"")*($G20&lt;&gt;"")*(IM20&lt;&gt;"")*(IN20&lt;&gt;""),($F20&gt;$G20)*(IM20&gt;IN20)+($F20=$G20)*(IM20=IN20)+($F20&lt;$G20)*(IM20&lt;IN20),"")</f>
        <v/>
      </c>
      <c r="IQ20" s="449" t="str">
        <f ca="1">IF((IP20&lt;&gt;""),IF(OR($F20&lt;&gt;$G20,PrSettings!$M$4="●"),(($F20-$G20)=(IM20-IN20))*1,0),"")</f>
        <v/>
      </c>
      <c r="IR20" s="449" t="str">
        <f ca="1" t="shared" si="238" ref="IR20:IR25">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ca="1" t="shared" si="239" ref="IX20:IX25">$D20</f>
        <v>9</v>
      </c>
      <c r="IY20" s="448" t="str">
        <f ca="1">GrpC!$D$4</f>
        <v>Denmark</v>
      </c>
      <c r="IZ20" s="452"/>
      <c r="JA20" s="452"/>
      <c r="JB20" s="453"/>
      <c r="JC20" s="449" t="str">
        <f ca="1" t="shared" si="240" ref="JC20:JC25">IF(($F20&lt;&gt;"")*($G20&lt;&gt;"")*(IZ20&lt;&gt;"")*(JA20&lt;&gt;""),($F20&gt;$G20)*(IZ20&gt;JA20)+($F20=$G20)*(IZ20=JA20)+($F20&lt;$G20)*(IZ20&lt;JA20),"")</f>
        <v/>
      </c>
      <c r="JD20" s="449" t="str">
        <f ca="1">IF((JC20&lt;&gt;""),IF(OR($F20&lt;&gt;$G20,PrSettings!$M$4="●"),(($F20-$G20)=(IZ20-JA20))*1,0),"")</f>
        <v/>
      </c>
      <c r="JE20" s="449" t="str">
        <f ca="1" t="shared" si="241" ref="JE20:JE25">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ca="1" t="shared" si="242" ref="JK20:JK25">$D20</f>
        <v>9</v>
      </c>
      <c r="JL20" s="448" t="str">
        <f ca="1">GrpC!$D$4</f>
        <v>Denmark</v>
      </c>
      <c r="JM20" s="452"/>
      <c r="JN20" s="452"/>
      <c r="JO20" s="453"/>
      <c r="JP20" s="449" t="str">
        <f ca="1" t="shared" si="243" ref="JP20:JP25">IF(($F20&lt;&gt;"")*($G20&lt;&gt;"")*(JM20&lt;&gt;"")*(JN20&lt;&gt;""),($F20&gt;$G20)*(JM20&gt;JN20)+($F20=$G20)*(JM20=JN20)+($F20&lt;$G20)*(JM20&lt;JN20),"")</f>
        <v/>
      </c>
      <c r="JQ20" s="449" t="str">
        <f ca="1">IF((JP20&lt;&gt;""),IF(OR($F20&lt;&gt;$G20,PrSettings!$M$4="●"),(($F20-$G20)=(JM20-JN20))*1,0),"")</f>
        <v/>
      </c>
      <c r="JR20" s="449" t="str">
        <f ca="1" t="shared" si="244" ref="JR20:JR25">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ca="1" t="shared" si="245" ref="JX20:JX25">$D20</f>
        <v>9</v>
      </c>
      <c r="JY20" s="448" t="str">
        <f ca="1">GrpC!$D$4</f>
        <v>Denmark</v>
      </c>
      <c r="JZ20" s="452"/>
      <c r="KA20" s="452"/>
      <c r="KB20" s="453"/>
      <c r="KC20" s="449" t="str">
        <f ca="1" t="shared" si="246" ref="KC20:KC25">IF(($F20&lt;&gt;"")*($G20&lt;&gt;"")*(JZ20&lt;&gt;"")*(KA20&lt;&gt;""),($F20&gt;$G20)*(JZ20&gt;KA20)+($F20=$G20)*(JZ20=KA20)+($F20&lt;$G20)*(JZ20&lt;KA20),"")</f>
        <v/>
      </c>
      <c r="KD20" s="449" t="str">
        <f ca="1">IF((KC20&lt;&gt;""),IF(OR($F20&lt;&gt;$G20,PrSettings!$M$4="●"),(($F20-$G20)=(JZ20-KA20))*1,0),"")</f>
        <v/>
      </c>
      <c r="KE20" s="449" t="str">
        <f ca="1" t="shared" si="247" ref="KE20:KE25">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ca="1" t="shared" si="248" ref="KK20:KK25">$D20</f>
        <v>9</v>
      </c>
      <c r="KL20" s="448" t="str">
        <f ca="1">GrpC!$D$4</f>
        <v>Denmark</v>
      </c>
      <c r="KM20" s="452"/>
      <c r="KN20" s="452"/>
      <c r="KO20" s="453"/>
      <c r="KP20" s="449" t="str">
        <f ca="1" t="shared" si="249" ref="KP20:KP25">IF(($F20&lt;&gt;"")*($G20&lt;&gt;"")*(KM20&lt;&gt;"")*(KN20&lt;&gt;""),($F20&gt;$G20)*(KM20&gt;KN20)+($F20=$G20)*(KM20=KN20)+($F20&lt;$G20)*(KM20&lt;KN20),"")</f>
        <v/>
      </c>
      <c r="KQ20" s="449" t="str">
        <f ca="1">IF((KP20&lt;&gt;""),IF(OR($F20&lt;&gt;$G20,PrSettings!$M$4="●"),(($F20-$G20)=(KM20-KN20))*1,0),"")</f>
        <v/>
      </c>
      <c r="KR20" s="449" t="str">
        <f ca="1" t="shared" si="250" ref="KR20:KR25">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ca="1" t="shared" si="251" ref="KX20:KX25">$D20</f>
        <v>9</v>
      </c>
      <c r="KY20" s="448" t="str">
        <f ca="1">GrpC!$D$4</f>
        <v>Denmark</v>
      </c>
      <c r="KZ20" s="452"/>
      <c r="LA20" s="452"/>
      <c r="LB20" s="453"/>
      <c r="LC20" s="449" t="str">
        <f ca="1" t="shared" si="252" ref="LC20:LC25">IF(($F20&lt;&gt;"")*($G20&lt;&gt;"")*(KZ20&lt;&gt;"")*(LA20&lt;&gt;""),($F20&gt;$G20)*(KZ20&gt;LA20)+($F20=$G20)*(KZ20=LA20)+($F20&lt;$G20)*(KZ20&lt;LA20),"")</f>
        <v/>
      </c>
      <c r="LD20" s="449" t="str">
        <f ca="1">IF((LC20&lt;&gt;""),IF(OR($F20&lt;&gt;$G20,PrSettings!$M$4="●"),(($F20-$G20)=(KZ20-LA20))*1,0),"")</f>
        <v/>
      </c>
      <c r="LE20" s="449" t="str">
        <f ca="1" t="shared" si="253" ref="LE20:LE25">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ca="1" t="shared" si="254" ref="LK20:LK25">$D20</f>
        <v>9</v>
      </c>
      <c r="LL20" s="448" t="str">
        <f ca="1">GrpC!$D$4</f>
        <v>Denmark</v>
      </c>
      <c r="LM20" s="452"/>
      <c r="LN20" s="452"/>
      <c r="LO20" s="453"/>
      <c r="LP20" s="449" t="str">
        <f ca="1" t="shared" si="255" ref="LP20:LP25">IF(($F20&lt;&gt;"")*($G20&lt;&gt;"")*(LM20&lt;&gt;"")*(LN20&lt;&gt;""),($F20&gt;$G20)*(LM20&gt;LN20)+($F20=$G20)*(LM20=LN20)+($F20&lt;$G20)*(LM20&lt;LN20),"")</f>
        <v/>
      </c>
      <c r="LQ20" s="449" t="str">
        <f ca="1">IF((LP20&lt;&gt;""),IF(OR($F20&lt;&gt;$G20,PrSettings!$M$4="●"),(($F20-$G20)=(LM20-LN20))*1,0),"")</f>
        <v/>
      </c>
      <c r="LR20" s="449" t="str">
        <f ca="1" t="shared" si="256" ref="LR20:LR25">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ca="1" t="shared" si="257" ref="LX20:LX25">$D20</f>
        <v>9</v>
      </c>
      <c r="LY20" s="448" t="str">
        <f ca="1">GrpC!$D$4</f>
        <v>Denmark</v>
      </c>
      <c r="LZ20" s="452"/>
      <c r="MA20" s="452"/>
      <c r="MB20" s="453"/>
      <c r="MC20" s="449" t="str">
        <f ca="1" t="shared" si="258" ref="MC20:MC25">IF(($F20&lt;&gt;"")*($G20&lt;&gt;"")*(LZ20&lt;&gt;"")*(MA20&lt;&gt;""),($F20&gt;$G20)*(LZ20&gt;MA20)+($F20=$G20)*(LZ20=MA20)+($F20&lt;$G20)*(LZ20&lt;MA20),"")</f>
        <v/>
      </c>
      <c r="MD20" s="449" t="str">
        <f ca="1">IF((MC20&lt;&gt;""),IF(OR($F20&lt;&gt;$G20,PrSettings!$M$4="●"),(($F20-$G20)=(LZ20-MA20))*1,0),"")</f>
        <v/>
      </c>
      <c r="ME20" s="449" t="str">
        <f ca="1" t="shared" si="259" ref="ME20:ME25">IF((MC20&lt;&gt;""),($F20=LZ20)*($G20=MA20),"")</f>
        <v/>
      </c>
      <c r="MF20" s="449" t="str">
        <f ca="1">IF(MC20&lt;&gt;"",IF(ABS($F20-$G20)&gt;=PrSettings!$M$7,(ABS($F20-$G20-LZ20+MA20)&lt;=1)*1,IF(AND(MC20,$F20=$G20,$F20&gt;=PrSettings!$M$6),(ABS(LZ20-$F20)&lt;=1)*1,IF(AND(ABS($F20-$G20-LZ20+MA20)&lt;=1,$F20+$G20&gt;=PrSettings!$M$8),(ABS(LZ20-$F20)&lt;=1)*(ABS(MA20-$G20)&lt;=1)*1,""))),"")</f>
        <v/>
      </c>
      <c r="MG20" s="454"/>
    </row>
    <row r="21" spans="2:345" ht="15.5">
      <c r="B21" s="447">
        <f ca="1">INDEX(Groups!$C$7:$C$35,MATCH(C21,Groups!$D$7:$D$35,0))</f>
        <v>19</v>
      </c>
      <c r="C21" s="448" t="str">
        <f ca="1">GrpC!$B$5</f>
        <v>Serbia</v>
      </c>
      <c r="D21" s="449">
        <f ca="1">INDEX(Groups!$C$7:$C$35,MATCH(E21,Groups!$D$7:$D$35,0))</f>
        <v>5</v>
      </c>
      <c r="E21" s="448" t="str">
        <f ca="1">GrpC!$D$5</f>
        <v>England</v>
      </c>
      <c r="F21" s="450">
        <f ca="1">GrpC!$E$5</f>
        <v>2</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ht="15.5">
      <c r="B22" s="447">
        <f ca="1">INDEX(Groups!$C$7:$C$35,MATCH(C22,Groups!$D$7:$D$35,0))</f>
        <v>15</v>
      </c>
      <c r="C22" s="448" t="str">
        <f ca="1">GrpC!$B$6</f>
        <v>Slovenia</v>
      </c>
      <c r="D22" s="449">
        <f ca="1">INDEX(Groups!$C$7:$C$35,MATCH(E22,Groups!$D$7:$D$35,0))</f>
        <v>19</v>
      </c>
      <c r="E22" s="448" t="str">
        <f ca="1">GrpC!$D$6</f>
        <v>Serbia</v>
      </c>
      <c r="F22" s="450">
        <f ca="1">GrpC!$E$6</f>
        <v>1</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ht="15.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ht="15.5">
      <c r="B24" s="447">
        <f ca="1">INDEX(Groups!$C$7:$C$35,MATCH(C24,Groups!$D$7:$D$35,0))</f>
        <v>5</v>
      </c>
      <c r="C24" s="448" t="str">
        <f ca="1">GrpC!$B$8</f>
        <v>England</v>
      </c>
      <c r="D24" s="449">
        <f ca="1">INDEX(Groups!$C$7:$C$35,MATCH(E24,Groups!$D$7:$D$35,0))</f>
        <v>15</v>
      </c>
      <c r="E24" s="448" t="str">
        <f ca="1">GrpC!$D$8</f>
        <v>Slovenia</v>
      </c>
      <c r="F24" s="450">
        <f ca="1">GrpC!$E$8</f>
        <v>4</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ht="15.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ht="15.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ca="1" t="shared" si="260" ref="K27:K32">$D27</f>
        <v>12</v>
      </c>
      <c r="L27" s="448" t="str">
        <f ca="1">GrpD!$D$4</f>
        <v>Netherlands</v>
      </c>
      <c r="M27" s="452"/>
      <c r="N27" s="452"/>
      <c r="O27" s="453"/>
      <c r="P27" s="449" t="str">
        <f ca="1" t="shared" si="261" ref="P27:P32">IF(($F27&lt;&gt;"")*($G27&lt;&gt;"")*(M27&lt;&gt;"")*(N27&lt;&gt;""),($F27&gt;$G27)*(M27&gt;N27)+($F27=$G27)*(M27=N27)+($F27&lt;$G27)*(M27&lt;N27),"")</f>
        <v/>
      </c>
      <c r="Q27" s="449" t="str">
        <f ca="1">IF((P27&lt;&gt;""),IF(OR($F27&lt;&gt;$G27,PrSettings!$M$4="●"),(($F27-$G27)=(M27-N27))*1,0),"")</f>
        <v/>
      </c>
      <c r="R27" s="449" t="str">
        <f ca="1" t="shared" si="262" ref="R27:R3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ca="1" t="shared" si="263" ref="X27:X32">$D27</f>
        <v>12</v>
      </c>
      <c r="Y27" s="448" t="str">
        <f ca="1">GrpD!$D$4</f>
        <v>Netherlands</v>
      </c>
      <c r="Z27" s="452"/>
      <c r="AA27" s="452"/>
      <c r="AB27" s="453"/>
      <c r="AC27" s="449" t="str">
        <f ca="1" t="shared" si="264" ref="AC27:AC32">IF(($F27&lt;&gt;"")*($G27&lt;&gt;"")*(Z27&lt;&gt;"")*(AA27&lt;&gt;""),($F27&gt;$G27)*(Z27&gt;AA27)+($F27=$G27)*(Z27=AA27)+($F27&lt;$G27)*(Z27&lt;AA27),"")</f>
        <v/>
      </c>
      <c r="AD27" s="449" t="str">
        <f ca="1">IF((AC27&lt;&gt;""),IF(OR($F27&lt;&gt;$G27,PrSettings!$M$4="●"),(($F27-$G27)=(Z27-AA27))*1,0),"")</f>
        <v/>
      </c>
      <c r="AE27" s="449" t="str">
        <f ca="1" t="shared" si="265" ref="AE27:AE32">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ca="1" t="shared" si="266" ref="AK27:AK32">$D27</f>
        <v>12</v>
      </c>
      <c r="AL27" s="448" t="str">
        <f ca="1">GrpD!$D$4</f>
        <v>Netherlands</v>
      </c>
      <c r="AM27" s="452"/>
      <c r="AN27" s="452"/>
      <c r="AO27" s="453"/>
      <c r="AP27" s="449" t="str">
        <f ca="1" t="shared" si="267" ref="AP27:AP32">IF(($F27&lt;&gt;"")*($G27&lt;&gt;"")*(AM27&lt;&gt;"")*(AN27&lt;&gt;""),($F27&gt;$G27)*(AM27&gt;AN27)+($F27=$G27)*(AM27=AN27)+($F27&lt;$G27)*(AM27&lt;AN27),"")</f>
        <v/>
      </c>
      <c r="AQ27" s="449" t="str">
        <f ca="1">IF((AP27&lt;&gt;""),IF(OR($F27&lt;&gt;$G27,PrSettings!$M$4="●"),(($F27-$G27)=(AM27-AN27))*1,0),"")</f>
        <v/>
      </c>
      <c r="AR27" s="449" t="str">
        <f ca="1" t="shared" si="268" ref="AR27:AR32">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ca="1" t="shared" si="269" ref="AX27:AX32">$D27</f>
        <v>12</v>
      </c>
      <c r="AY27" s="448" t="str">
        <f ca="1">GrpD!$D$4</f>
        <v>Netherlands</v>
      </c>
      <c r="AZ27" s="452"/>
      <c r="BA27" s="452"/>
      <c r="BB27" s="453"/>
      <c r="BC27" s="449" t="str">
        <f ca="1" t="shared" si="270" ref="BC27:BC32">IF(($F27&lt;&gt;"")*($G27&lt;&gt;"")*(AZ27&lt;&gt;"")*(BA27&lt;&gt;""),($F27&gt;$G27)*(AZ27&gt;BA27)+($F27=$G27)*(AZ27=BA27)+($F27&lt;$G27)*(AZ27&lt;BA27),"")</f>
        <v/>
      </c>
      <c r="BD27" s="449" t="str">
        <f ca="1">IF((BC27&lt;&gt;""),IF(OR($F27&lt;&gt;$G27,PrSettings!$M$4="●"),(($F27-$G27)=(AZ27-BA27))*1,0),"")</f>
        <v/>
      </c>
      <c r="BE27" s="449" t="str">
        <f ca="1" t="shared" si="271" ref="BE27:BE32">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ca="1" t="shared" si="272" ref="BK27:BK32">$D27</f>
        <v>12</v>
      </c>
      <c r="BL27" s="448" t="str">
        <f ca="1">GrpD!$D$4</f>
        <v>Netherlands</v>
      </c>
      <c r="BM27" s="452"/>
      <c r="BN27" s="452"/>
      <c r="BO27" s="453"/>
      <c r="BP27" s="449" t="str">
        <f ca="1" t="shared" si="273" ref="BP27:BP32">IF(($F27&lt;&gt;"")*($G27&lt;&gt;"")*(BM27&lt;&gt;"")*(BN27&lt;&gt;""),($F27&gt;$G27)*(BM27&gt;BN27)+($F27=$G27)*(BM27=BN27)+($F27&lt;$G27)*(BM27&lt;BN27),"")</f>
        <v/>
      </c>
      <c r="BQ27" s="449" t="str">
        <f ca="1">IF((BP27&lt;&gt;""),IF(OR($F27&lt;&gt;$G27,PrSettings!$M$4="●"),(($F27-$G27)=(BM27-BN27))*1,0),"")</f>
        <v/>
      </c>
      <c r="BR27" s="449" t="str">
        <f ca="1" t="shared" si="274" ref="BR27:BR32">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ca="1" t="shared" si="275" ref="BX27:BX32">$D27</f>
        <v>12</v>
      </c>
      <c r="BY27" s="448" t="str">
        <f ca="1">GrpD!$D$4</f>
        <v>Netherlands</v>
      </c>
      <c r="BZ27" s="452"/>
      <c r="CA27" s="452"/>
      <c r="CB27" s="453"/>
      <c r="CC27" s="449" t="str">
        <f ca="1" t="shared" si="276" ref="CC27:CC32">IF(($F27&lt;&gt;"")*($G27&lt;&gt;"")*(BZ27&lt;&gt;"")*(CA27&lt;&gt;""),($F27&gt;$G27)*(BZ27&gt;CA27)+($F27=$G27)*(BZ27=CA27)+($F27&lt;$G27)*(BZ27&lt;CA27),"")</f>
        <v/>
      </c>
      <c r="CD27" s="449" t="str">
        <f ca="1">IF((CC27&lt;&gt;""),IF(OR($F27&lt;&gt;$G27,PrSettings!$M$4="●"),(($F27-$G27)=(BZ27-CA27))*1,0),"")</f>
        <v/>
      </c>
      <c r="CE27" s="449" t="str">
        <f ca="1" t="shared" si="277" ref="CE27:CE32">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ca="1" t="shared" si="278" ref="CK27:CK32">$D27</f>
        <v>12</v>
      </c>
      <c r="CL27" s="448" t="str">
        <f ca="1">GrpD!$D$4</f>
        <v>Netherlands</v>
      </c>
      <c r="CM27" s="452"/>
      <c r="CN27" s="452"/>
      <c r="CO27" s="453"/>
      <c r="CP27" s="449" t="str">
        <f ca="1" t="shared" si="279" ref="CP27:CP32">IF(($F27&lt;&gt;"")*($G27&lt;&gt;"")*(CM27&lt;&gt;"")*(CN27&lt;&gt;""),($F27&gt;$G27)*(CM27&gt;CN27)+($F27=$G27)*(CM27=CN27)+($F27&lt;$G27)*(CM27&lt;CN27),"")</f>
        <v/>
      </c>
      <c r="CQ27" s="449" t="str">
        <f ca="1">IF((CP27&lt;&gt;""),IF(OR($F27&lt;&gt;$G27,PrSettings!$M$4="●"),(($F27-$G27)=(CM27-CN27))*1,0),"")</f>
        <v/>
      </c>
      <c r="CR27" s="449" t="str">
        <f ca="1" t="shared" si="280" ref="CR27:CR32">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ca="1" t="shared" si="281" ref="CX27:CX32">$D27</f>
        <v>12</v>
      </c>
      <c r="CY27" s="448" t="str">
        <f ca="1">GrpD!$D$4</f>
        <v>Netherlands</v>
      </c>
      <c r="CZ27" s="452"/>
      <c r="DA27" s="452"/>
      <c r="DB27" s="453"/>
      <c r="DC27" s="449" t="str">
        <f ca="1" t="shared" si="282" ref="DC27:DC32">IF(($F27&lt;&gt;"")*($G27&lt;&gt;"")*(CZ27&lt;&gt;"")*(DA27&lt;&gt;""),($F27&gt;$G27)*(CZ27&gt;DA27)+($F27=$G27)*(CZ27=DA27)+($F27&lt;$G27)*(CZ27&lt;DA27),"")</f>
        <v/>
      </c>
      <c r="DD27" s="449" t="str">
        <f ca="1">IF((DC27&lt;&gt;""),IF(OR($F27&lt;&gt;$G27,PrSettings!$M$4="●"),(($F27-$G27)=(CZ27-DA27))*1,0),"")</f>
        <v/>
      </c>
      <c r="DE27" s="449" t="str">
        <f ca="1" t="shared" si="283" ref="DE27:DE32">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ca="1" t="shared" si="284" ref="DK27:DK32">$D27</f>
        <v>12</v>
      </c>
      <c r="DL27" s="448" t="str">
        <f ca="1">GrpD!$D$4</f>
        <v>Netherlands</v>
      </c>
      <c r="DM27" s="452"/>
      <c r="DN27" s="452"/>
      <c r="DO27" s="453"/>
      <c r="DP27" s="449" t="str">
        <f ca="1" t="shared" si="285" ref="DP27:DP32">IF(($F27&lt;&gt;"")*($G27&lt;&gt;"")*(DM27&lt;&gt;"")*(DN27&lt;&gt;""),($F27&gt;$G27)*(DM27&gt;DN27)+($F27=$G27)*(DM27=DN27)+($F27&lt;$G27)*(DM27&lt;DN27),"")</f>
        <v/>
      </c>
      <c r="DQ27" s="449" t="str">
        <f ca="1">IF((DP27&lt;&gt;""),IF(OR($F27&lt;&gt;$G27,PrSettings!$M$4="●"),(($F27-$G27)=(DM27-DN27))*1,0),"")</f>
        <v/>
      </c>
      <c r="DR27" s="449" t="str">
        <f ca="1" t="shared" si="286" ref="DR27:DR32">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ca="1" t="shared" si="287" ref="DX27:DX32">$D27</f>
        <v>12</v>
      </c>
      <c r="DY27" s="448" t="str">
        <f ca="1">GrpD!$D$4</f>
        <v>Netherlands</v>
      </c>
      <c r="DZ27" s="452"/>
      <c r="EA27" s="452"/>
      <c r="EB27" s="453"/>
      <c r="EC27" s="449" t="str">
        <f ca="1" t="shared" si="288" ref="EC27:EC32">IF(($F27&lt;&gt;"")*($G27&lt;&gt;"")*(DZ27&lt;&gt;"")*(EA27&lt;&gt;""),($F27&gt;$G27)*(DZ27&gt;EA27)+($F27=$G27)*(DZ27=EA27)+($F27&lt;$G27)*(DZ27&lt;EA27),"")</f>
        <v/>
      </c>
      <c r="ED27" s="449" t="str">
        <f ca="1">IF((EC27&lt;&gt;""),IF(OR($F27&lt;&gt;$G27,PrSettings!$M$4="●"),(($F27-$G27)=(DZ27-EA27))*1,0),"")</f>
        <v/>
      </c>
      <c r="EE27" s="449" t="str">
        <f ca="1" t="shared" si="289" ref="EE27:EE32">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ca="1" t="shared" si="290" ref="EK27:EK32">$D27</f>
        <v>12</v>
      </c>
      <c r="EL27" s="448" t="str">
        <f ca="1">GrpD!$D$4</f>
        <v>Netherlands</v>
      </c>
      <c r="EM27" s="452"/>
      <c r="EN27" s="452"/>
      <c r="EO27" s="453"/>
      <c r="EP27" s="449" t="str">
        <f ca="1" t="shared" si="291" ref="EP27:EP32">IF(($F27&lt;&gt;"")*($G27&lt;&gt;"")*(EM27&lt;&gt;"")*(EN27&lt;&gt;""),($F27&gt;$G27)*(EM27&gt;EN27)+($F27=$G27)*(EM27=EN27)+($F27&lt;$G27)*(EM27&lt;EN27),"")</f>
        <v/>
      </c>
      <c r="EQ27" s="449" t="str">
        <f ca="1">IF((EP27&lt;&gt;""),IF(OR($F27&lt;&gt;$G27,PrSettings!$M$4="●"),(($F27-$G27)=(EM27-EN27))*1,0),"")</f>
        <v/>
      </c>
      <c r="ER27" s="449" t="str">
        <f ca="1" t="shared" si="292" ref="ER27:ER3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ca="1" t="shared" si="293" ref="EX27:EX32">$D27</f>
        <v>12</v>
      </c>
      <c r="EY27" s="448" t="str">
        <f ca="1">GrpD!$D$4</f>
        <v>Netherlands</v>
      </c>
      <c r="EZ27" s="452"/>
      <c r="FA27" s="452"/>
      <c r="FB27" s="453"/>
      <c r="FC27" s="449" t="str">
        <f ca="1" t="shared" si="294" ref="FC27:FC32">IF(($F27&lt;&gt;"")*($G27&lt;&gt;"")*(EZ27&lt;&gt;"")*(FA27&lt;&gt;""),($F27&gt;$G27)*(EZ27&gt;FA27)+($F27=$G27)*(EZ27=FA27)+($F27&lt;$G27)*(EZ27&lt;FA27),"")</f>
        <v/>
      </c>
      <c r="FD27" s="449" t="str">
        <f ca="1">IF((FC27&lt;&gt;""),IF(OR($F27&lt;&gt;$G27,PrSettings!$M$4="●"),(($F27-$G27)=(EZ27-FA27))*1,0),"")</f>
        <v/>
      </c>
      <c r="FE27" s="449" t="str">
        <f ca="1" t="shared" si="295" ref="FE27:FE32">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ca="1" t="shared" si="296" ref="FK27:FK32">$D27</f>
        <v>12</v>
      </c>
      <c r="FL27" s="448" t="str">
        <f ca="1">GrpD!$D$4</f>
        <v>Netherlands</v>
      </c>
      <c r="FM27" s="452"/>
      <c r="FN27" s="452"/>
      <c r="FO27" s="453"/>
      <c r="FP27" s="449" t="str">
        <f ca="1" t="shared" si="297" ref="FP27:FP32">IF(($F27&lt;&gt;"")*($G27&lt;&gt;"")*(FM27&lt;&gt;"")*(FN27&lt;&gt;""),($F27&gt;$G27)*(FM27&gt;FN27)+($F27=$G27)*(FM27=FN27)+($F27&lt;$G27)*(FM27&lt;FN27),"")</f>
        <v/>
      </c>
      <c r="FQ27" s="449" t="str">
        <f ca="1">IF((FP27&lt;&gt;""),IF(OR($F27&lt;&gt;$G27,PrSettings!$M$4="●"),(($F27-$G27)=(FM27-FN27))*1,0),"")</f>
        <v/>
      </c>
      <c r="FR27" s="449" t="str">
        <f ca="1" t="shared" si="298" ref="FR27:FR32">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ca="1" t="shared" si="299" ref="FX27:FX32">$D27</f>
        <v>12</v>
      </c>
      <c r="FY27" s="448" t="str">
        <f ca="1">GrpD!$D$4</f>
        <v>Netherlands</v>
      </c>
      <c r="FZ27" s="452"/>
      <c r="GA27" s="452"/>
      <c r="GB27" s="453"/>
      <c r="GC27" s="449" t="str">
        <f ca="1" t="shared" si="300" ref="GC27:GC32">IF(($F27&lt;&gt;"")*($G27&lt;&gt;"")*(FZ27&lt;&gt;"")*(GA27&lt;&gt;""),($F27&gt;$G27)*(FZ27&gt;GA27)+($F27=$G27)*(FZ27=GA27)+($F27&lt;$G27)*(FZ27&lt;GA27),"")</f>
        <v/>
      </c>
      <c r="GD27" s="449" t="str">
        <f ca="1">IF((GC27&lt;&gt;""),IF(OR($F27&lt;&gt;$G27,PrSettings!$M$4="●"),(($F27-$G27)=(FZ27-GA27))*1,0),"")</f>
        <v/>
      </c>
      <c r="GE27" s="449" t="str">
        <f ca="1" t="shared" si="301" ref="GE27:GE32">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ca="1" t="shared" si="302" ref="GK27:GK32">$D27</f>
        <v>12</v>
      </c>
      <c r="GL27" s="448" t="str">
        <f ca="1">GrpD!$D$4</f>
        <v>Netherlands</v>
      </c>
      <c r="GM27" s="452"/>
      <c r="GN27" s="452"/>
      <c r="GO27" s="453"/>
      <c r="GP27" s="449" t="str">
        <f ca="1" t="shared" si="303" ref="GP27:GP32">IF(($F27&lt;&gt;"")*($G27&lt;&gt;"")*(GM27&lt;&gt;"")*(GN27&lt;&gt;""),($F27&gt;$G27)*(GM27&gt;GN27)+($F27=$G27)*(GM27=GN27)+($F27&lt;$G27)*(GM27&lt;GN27),"")</f>
        <v/>
      </c>
      <c r="GQ27" s="449" t="str">
        <f ca="1">IF((GP27&lt;&gt;""),IF(OR($F27&lt;&gt;$G27,PrSettings!$M$4="●"),(($F27-$G27)=(GM27-GN27))*1,0),"")</f>
        <v/>
      </c>
      <c r="GR27" s="449" t="str">
        <f ca="1" t="shared" si="304" ref="GR27:GR32">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ca="1" t="shared" si="305" ref="GX27:GX32">$D27</f>
        <v>12</v>
      </c>
      <c r="GY27" s="448" t="str">
        <f ca="1">GrpD!$D$4</f>
        <v>Netherlands</v>
      </c>
      <c r="GZ27" s="452"/>
      <c r="HA27" s="452"/>
      <c r="HB27" s="453"/>
      <c r="HC27" s="449" t="str">
        <f ca="1" t="shared" si="306" ref="HC27:HC32">IF(($F27&lt;&gt;"")*($G27&lt;&gt;"")*(GZ27&lt;&gt;"")*(HA27&lt;&gt;""),($F27&gt;$G27)*(GZ27&gt;HA27)+($F27=$G27)*(GZ27=HA27)+($F27&lt;$G27)*(GZ27&lt;HA27),"")</f>
        <v/>
      </c>
      <c r="HD27" s="449" t="str">
        <f ca="1">IF((HC27&lt;&gt;""),IF(OR($F27&lt;&gt;$G27,PrSettings!$M$4="●"),(($F27-$G27)=(GZ27-HA27))*1,0),"")</f>
        <v/>
      </c>
      <c r="HE27" s="449" t="str">
        <f ca="1" t="shared" si="307" ref="HE27:HE32">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ca="1" t="shared" si="308" ref="HK27:HK32">$D27</f>
        <v>12</v>
      </c>
      <c r="HL27" s="448" t="str">
        <f ca="1">GrpD!$D$4</f>
        <v>Netherlands</v>
      </c>
      <c r="HM27" s="452"/>
      <c r="HN27" s="452"/>
      <c r="HO27" s="453"/>
      <c r="HP27" s="449" t="str">
        <f ca="1" t="shared" si="309" ref="HP27:HP32">IF(($F27&lt;&gt;"")*($G27&lt;&gt;"")*(HM27&lt;&gt;"")*(HN27&lt;&gt;""),($F27&gt;$G27)*(HM27&gt;HN27)+($F27=$G27)*(HM27=HN27)+($F27&lt;$G27)*(HM27&lt;HN27),"")</f>
        <v/>
      </c>
      <c r="HQ27" s="449" t="str">
        <f ca="1">IF((HP27&lt;&gt;""),IF(OR($F27&lt;&gt;$G27,PrSettings!$M$4="●"),(($F27-$G27)=(HM27-HN27))*1,0),"")</f>
        <v/>
      </c>
      <c r="HR27" s="449" t="str">
        <f ca="1" t="shared" si="310" ref="HR27:HR32">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ca="1" t="shared" si="311" ref="HX27:HX32">$D27</f>
        <v>12</v>
      </c>
      <c r="HY27" s="448" t="str">
        <f ca="1">GrpD!$D$4</f>
        <v>Netherlands</v>
      </c>
      <c r="HZ27" s="452"/>
      <c r="IA27" s="452"/>
      <c r="IB27" s="453"/>
      <c r="IC27" s="449" t="str">
        <f ca="1" t="shared" si="312" ref="IC27:IC32">IF(($F27&lt;&gt;"")*($G27&lt;&gt;"")*(HZ27&lt;&gt;"")*(IA27&lt;&gt;""),($F27&gt;$G27)*(HZ27&gt;IA27)+($F27=$G27)*(HZ27=IA27)+($F27&lt;$G27)*(HZ27&lt;IA27),"")</f>
        <v/>
      </c>
      <c r="ID27" s="449" t="str">
        <f ca="1">IF((IC27&lt;&gt;""),IF(OR($F27&lt;&gt;$G27,PrSettings!$M$4="●"),(($F27-$G27)=(HZ27-IA27))*1,0),"")</f>
        <v/>
      </c>
      <c r="IE27" s="449" t="str">
        <f ca="1" t="shared" si="313" ref="IE27:IE32">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ca="1" t="shared" si="314" ref="IK27:IK32">$D27</f>
        <v>12</v>
      </c>
      <c r="IL27" s="448" t="str">
        <f ca="1">GrpD!$D$4</f>
        <v>Netherlands</v>
      </c>
      <c r="IM27" s="452"/>
      <c r="IN27" s="452"/>
      <c r="IO27" s="453"/>
      <c r="IP27" s="449" t="str">
        <f ca="1" t="shared" si="315" ref="IP27:IP32">IF(($F27&lt;&gt;"")*($G27&lt;&gt;"")*(IM27&lt;&gt;"")*(IN27&lt;&gt;""),($F27&gt;$G27)*(IM27&gt;IN27)+($F27=$G27)*(IM27=IN27)+($F27&lt;$G27)*(IM27&lt;IN27),"")</f>
        <v/>
      </c>
      <c r="IQ27" s="449" t="str">
        <f ca="1">IF((IP27&lt;&gt;""),IF(OR($F27&lt;&gt;$G27,PrSettings!$M$4="●"),(($F27-$G27)=(IM27-IN27))*1,0),"")</f>
        <v/>
      </c>
      <c r="IR27" s="449" t="str">
        <f ca="1" t="shared" si="316" ref="IR27:IR32">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ca="1" t="shared" si="317" ref="IX27:IX32">$D27</f>
        <v>12</v>
      </c>
      <c r="IY27" s="448" t="str">
        <f ca="1">GrpD!$D$4</f>
        <v>Netherlands</v>
      </c>
      <c r="IZ27" s="452"/>
      <c r="JA27" s="452"/>
      <c r="JB27" s="453"/>
      <c r="JC27" s="449" t="str">
        <f ca="1" t="shared" si="318" ref="JC27:JC32">IF(($F27&lt;&gt;"")*($G27&lt;&gt;"")*(IZ27&lt;&gt;"")*(JA27&lt;&gt;""),($F27&gt;$G27)*(IZ27&gt;JA27)+($F27=$G27)*(IZ27=JA27)+($F27&lt;$G27)*(IZ27&lt;JA27),"")</f>
        <v/>
      </c>
      <c r="JD27" s="449" t="str">
        <f ca="1">IF((JC27&lt;&gt;""),IF(OR($F27&lt;&gt;$G27,PrSettings!$M$4="●"),(($F27-$G27)=(IZ27-JA27))*1,0),"")</f>
        <v/>
      </c>
      <c r="JE27" s="449" t="str">
        <f ca="1" t="shared" si="319" ref="JE27:JE32">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ca="1" t="shared" si="320" ref="JK27:JK32">$D27</f>
        <v>12</v>
      </c>
      <c r="JL27" s="448" t="str">
        <f ca="1">GrpD!$D$4</f>
        <v>Netherlands</v>
      </c>
      <c r="JM27" s="452"/>
      <c r="JN27" s="452"/>
      <c r="JO27" s="453"/>
      <c r="JP27" s="449" t="str">
        <f ca="1" t="shared" si="321" ref="JP27:JP32">IF(($F27&lt;&gt;"")*($G27&lt;&gt;"")*(JM27&lt;&gt;"")*(JN27&lt;&gt;""),($F27&gt;$G27)*(JM27&gt;JN27)+($F27=$G27)*(JM27=JN27)+($F27&lt;$G27)*(JM27&lt;JN27),"")</f>
        <v/>
      </c>
      <c r="JQ27" s="449" t="str">
        <f ca="1">IF((JP27&lt;&gt;""),IF(OR($F27&lt;&gt;$G27,PrSettings!$M$4="●"),(($F27-$G27)=(JM27-JN27))*1,0),"")</f>
        <v/>
      </c>
      <c r="JR27" s="449" t="str">
        <f ca="1" t="shared" si="322" ref="JR27:JR3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ca="1" t="shared" si="323" ref="JX27:JX32">$D27</f>
        <v>12</v>
      </c>
      <c r="JY27" s="448" t="str">
        <f ca="1">GrpD!$D$4</f>
        <v>Netherlands</v>
      </c>
      <c r="JZ27" s="452"/>
      <c r="KA27" s="452"/>
      <c r="KB27" s="453"/>
      <c r="KC27" s="449" t="str">
        <f ca="1" t="shared" si="324" ref="KC27:KC32">IF(($F27&lt;&gt;"")*($G27&lt;&gt;"")*(JZ27&lt;&gt;"")*(KA27&lt;&gt;""),($F27&gt;$G27)*(JZ27&gt;KA27)+($F27=$G27)*(JZ27=KA27)+($F27&lt;$G27)*(JZ27&lt;KA27),"")</f>
        <v/>
      </c>
      <c r="KD27" s="449" t="str">
        <f ca="1">IF((KC27&lt;&gt;""),IF(OR($F27&lt;&gt;$G27,PrSettings!$M$4="●"),(($F27-$G27)=(JZ27-KA27))*1,0),"")</f>
        <v/>
      </c>
      <c r="KE27" s="449" t="str">
        <f ca="1" t="shared" si="325" ref="KE27:KE32">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ca="1" t="shared" si="326" ref="KK27:KK32">$D27</f>
        <v>12</v>
      </c>
      <c r="KL27" s="448" t="str">
        <f ca="1">GrpD!$D$4</f>
        <v>Netherlands</v>
      </c>
      <c r="KM27" s="452"/>
      <c r="KN27" s="452"/>
      <c r="KO27" s="453"/>
      <c r="KP27" s="449" t="str">
        <f ca="1" t="shared" si="327" ref="KP27:KP32">IF(($F27&lt;&gt;"")*($G27&lt;&gt;"")*(KM27&lt;&gt;"")*(KN27&lt;&gt;""),($F27&gt;$G27)*(KM27&gt;KN27)+($F27=$G27)*(KM27=KN27)+($F27&lt;$G27)*(KM27&lt;KN27),"")</f>
        <v/>
      </c>
      <c r="KQ27" s="449" t="str">
        <f ca="1">IF((KP27&lt;&gt;""),IF(OR($F27&lt;&gt;$G27,PrSettings!$M$4="●"),(($F27-$G27)=(KM27-KN27))*1,0),"")</f>
        <v/>
      </c>
      <c r="KR27" s="449" t="str">
        <f ca="1" t="shared" si="328" ref="KR27:KR32">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ca="1" t="shared" si="329" ref="KX27:KX32">$D27</f>
        <v>12</v>
      </c>
      <c r="KY27" s="448" t="str">
        <f ca="1">GrpD!$D$4</f>
        <v>Netherlands</v>
      </c>
      <c r="KZ27" s="452"/>
      <c r="LA27" s="452"/>
      <c r="LB27" s="453"/>
      <c r="LC27" s="449" t="str">
        <f ca="1" t="shared" si="330" ref="LC27:LC32">IF(($F27&lt;&gt;"")*($G27&lt;&gt;"")*(KZ27&lt;&gt;"")*(LA27&lt;&gt;""),($F27&gt;$G27)*(KZ27&gt;LA27)+($F27=$G27)*(KZ27=LA27)+($F27&lt;$G27)*(KZ27&lt;LA27),"")</f>
        <v/>
      </c>
      <c r="LD27" s="449" t="str">
        <f ca="1">IF((LC27&lt;&gt;""),IF(OR($F27&lt;&gt;$G27,PrSettings!$M$4="●"),(($F27-$G27)=(KZ27-LA27))*1,0),"")</f>
        <v/>
      </c>
      <c r="LE27" s="449" t="str">
        <f ca="1" t="shared" si="331" ref="LE27:LE32">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ca="1" t="shared" si="332" ref="LK27:LK32">$D27</f>
        <v>12</v>
      </c>
      <c r="LL27" s="448" t="str">
        <f ca="1">GrpD!$D$4</f>
        <v>Netherlands</v>
      </c>
      <c r="LM27" s="452"/>
      <c r="LN27" s="452"/>
      <c r="LO27" s="453"/>
      <c r="LP27" s="449" t="str">
        <f ca="1" t="shared" si="333" ref="LP27:LP32">IF(($F27&lt;&gt;"")*($G27&lt;&gt;"")*(LM27&lt;&gt;"")*(LN27&lt;&gt;""),($F27&gt;$G27)*(LM27&gt;LN27)+($F27=$G27)*(LM27=LN27)+($F27&lt;$G27)*(LM27&lt;LN27),"")</f>
        <v/>
      </c>
      <c r="LQ27" s="449" t="str">
        <f ca="1">IF((LP27&lt;&gt;""),IF(OR($F27&lt;&gt;$G27,PrSettings!$M$4="●"),(($F27-$G27)=(LM27-LN27))*1,0),"")</f>
        <v/>
      </c>
      <c r="LR27" s="449" t="str">
        <f ca="1" t="shared" si="334" ref="LR27:LR32">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ca="1" t="shared" si="335" ref="LX27:LX32">$D27</f>
        <v>12</v>
      </c>
      <c r="LY27" s="448" t="str">
        <f ca="1">GrpD!$D$4</f>
        <v>Netherlands</v>
      </c>
      <c r="LZ27" s="452"/>
      <c r="MA27" s="452"/>
      <c r="MB27" s="453"/>
      <c r="MC27" s="449" t="str">
        <f ca="1" t="shared" si="336" ref="MC27:MC32">IF(($F27&lt;&gt;"")*($G27&lt;&gt;"")*(LZ27&lt;&gt;"")*(MA27&lt;&gt;""),($F27&gt;$G27)*(LZ27&gt;MA27)+($F27=$G27)*(LZ27=MA27)+($F27&lt;$G27)*(LZ27&lt;MA27),"")</f>
        <v/>
      </c>
      <c r="MD27" s="449" t="str">
        <f ca="1">IF((MC27&lt;&gt;""),IF(OR($F27&lt;&gt;$G27,PrSettings!$M$4="●"),(($F27-$G27)=(LZ27-MA27))*1,0),"")</f>
        <v/>
      </c>
      <c r="ME27" s="449" t="str">
        <f ca="1" t="shared" si="337" ref="ME27:ME32">IF((MC27&lt;&gt;""),($F27=LZ27)*($G27=MA27),"")</f>
        <v/>
      </c>
      <c r="MF27" s="449" t="str">
        <f ca="1">IF(MC27&lt;&gt;"",IF(ABS($F27-$G27)&gt;=PrSettings!$M$7,(ABS($F27-$G27-LZ27+MA27)&lt;=1)*1,IF(AND(MC27,$F27=$G27,$F27&gt;=PrSettings!$M$6),(ABS(LZ27-$F27)&lt;=1)*1,IF(AND(ABS($F27-$G27-LZ27+MA27)&lt;=1,$F27+$G27&gt;=PrSettings!$M$8),(ABS(LZ27-$F27)&lt;=1)*(ABS(MA27-$G27)&lt;=1)*1,""))),"")</f>
        <v/>
      </c>
      <c r="MG27" s="454"/>
    </row>
    <row r="28" spans="2:345" ht="15.5">
      <c r="B28" s="447">
        <f ca="1">INDEX(Groups!$C$7:$C$35,MATCH(C28,Groups!$D$7:$D$35,0))</f>
        <v>11</v>
      </c>
      <c r="C28" s="448" t="str">
        <f ca="1">GrpD!$B$5</f>
        <v>Austria</v>
      </c>
      <c r="D28" s="449">
        <f ca="1">INDEX(Groups!$C$7:$C$35,MATCH(E28,Groups!$D$7:$D$35,0))</f>
        <v>2</v>
      </c>
      <c r="E28" s="448" t="str">
        <f ca="1">GrpD!$D$5</f>
        <v>France</v>
      </c>
      <c r="F28" s="450">
        <f ca="1">GrpD!$E$5</f>
        <v>0</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ht="15.5">
      <c r="B29" s="447">
        <f ca="1">INDEX(Groups!$C$7:$C$35,MATCH(C29,Groups!$D$7:$D$35,0))</f>
        <v>26</v>
      </c>
      <c r="C29" s="448" t="str">
        <f ca="1">GrpD!$B$6</f>
        <v>Poland</v>
      </c>
      <c r="D29" s="449">
        <f ca="1">INDEX(Groups!$C$7:$C$35,MATCH(E29,Groups!$D$7:$D$35,0))</f>
        <v>11</v>
      </c>
      <c r="E29" s="448" t="str">
        <f ca="1">GrpD!$D$6</f>
        <v>Austria</v>
      </c>
      <c r="F29" s="450">
        <f ca="1">GrpD!$E$6</f>
        <v>2</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ht="15.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ht="15.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ht="15.5">
      <c r="B32" s="447">
        <f ca="1">INDEX(Groups!$C$7:$C$35,MATCH(C32,Groups!$D$7:$D$35,0))</f>
        <v>2</v>
      </c>
      <c r="C32" s="448" t="str">
        <f ca="1">GrpD!$B$9</f>
        <v>France</v>
      </c>
      <c r="D32" s="449">
        <f ca="1">INDEX(Groups!$C$7:$C$35,MATCH(E32,Groups!$D$7:$D$35,0))</f>
        <v>26</v>
      </c>
      <c r="E32" s="448" t="str">
        <f ca="1">GrpD!$D$9</f>
        <v>Poland</v>
      </c>
      <c r="F32" s="450">
        <f ca="1">GrpD!$E$9</f>
        <v>4</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2: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2:345" ht="15.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ca="1" t="shared" si="338" ref="I34:I47">$B34</f>
        <v>8</v>
      </c>
      <c r="J34" s="448" t="str">
        <f ca="1">GrpE!$B$4</f>
        <v>Romania</v>
      </c>
      <c r="K34" s="449">
        <f ca="1" t="shared" si="339" ref="K34:K39">$D34</f>
        <v>21</v>
      </c>
      <c r="L34" s="448" t="str">
        <f ca="1">GrpE!$D$4</f>
        <v>Ukraine</v>
      </c>
      <c r="M34" s="452"/>
      <c r="N34" s="452"/>
      <c r="O34" s="453"/>
      <c r="P34" s="449" t="str">
        <f ca="1" t="shared" si="340" ref="P34:P39">IF(($F34&lt;&gt;"")*($G34&lt;&gt;"")*(M34&lt;&gt;"")*(N34&lt;&gt;""),($F34&gt;$G34)*(M34&gt;N34)+($F34=$G34)*(M34=N34)+($F34&lt;$G34)*(M34&lt;N34),"")</f>
        <v/>
      </c>
      <c r="Q34" s="449" t="str">
        <f ca="1">IF((P34&lt;&gt;""),IF(OR($F34&lt;&gt;$G34,PrSettings!$M$4="●"),(($F34-$G34)=(M34-N34))*1,0),"")</f>
        <v/>
      </c>
      <c r="R34" s="449" t="str">
        <f ca="1" t="shared" si="341" ref="R34:R39">IF((P34&lt;&gt;""),($F34=M34)*($G34=N34),"")</f>
        <v/>
      </c>
      <c r="S34" s="449" t="str">
        <f ca="1">IF(P34&lt;&gt;"",IF(ABS($F34-$G34)&gt;=PrSettings!$M$7,(ABS($F34-$G34-M34+N34)&lt;=1)*1,IF(AND(P34,$F34=$G34,$F34&gt;=PrSettings!$M$6),(ABS(M34-$F34)&lt;=1)*1,IF(AND(ABS($F34-$G34-M34+N34)&lt;=1,$F34+$G34&gt;=PrSettings!$M$8),(ABS(M34-$F34)&lt;=1)*(ABS(N34-$G34)&lt;=1)*1,""))),"")</f>
        <v/>
      </c>
      <c r="T34" s="454"/>
      <c r="V34" s="447">
        <f ca="1" t="shared" si="342" ref="V34:V47">$B34</f>
        <v>8</v>
      </c>
      <c r="W34" s="448" t="str">
        <f ca="1">GrpE!$B$4</f>
        <v>Romania</v>
      </c>
      <c r="X34" s="449">
        <f ca="1" t="shared" si="343" ref="X34:X39">$D34</f>
        <v>21</v>
      </c>
      <c r="Y34" s="448" t="str">
        <f ca="1">GrpE!$D$4</f>
        <v>Ukraine</v>
      </c>
      <c r="Z34" s="452"/>
      <c r="AA34" s="452"/>
      <c r="AB34" s="453"/>
      <c r="AC34" s="449" t="str">
        <f ca="1" t="shared" si="344" ref="AC34:AC39">IF(($F34&lt;&gt;"")*($G34&lt;&gt;"")*(Z34&lt;&gt;"")*(AA34&lt;&gt;""),($F34&gt;$G34)*(Z34&gt;AA34)+($F34=$G34)*(Z34=AA34)+($F34&lt;$G34)*(Z34&lt;AA34),"")</f>
        <v/>
      </c>
      <c r="AD34" s="449" t="str">
        <f ca="1">IF((AC34&lt;&gt;""),IF(OR($F34&lt;&gt;$G34,PrSettings!$M$4="●"),(($F34-$G34)=(Z34-AA34))*1,0),"")</f>
        <v/>
      </c>
      <c r="AE34" s="449" t="str">
        <f ca="1" t="shared" si="345" ref="AE34:AE39">IF((AC34&lt;&gt;""),($F34=Z34)*($G34=AA34),"")</f>
        <v/>
      </c>
      <c r="AF34" s="449" t="str">
        <f ca="1">IF(AC34&lt;&gt;"",IF(ABS($F34-$G34)&gt;=PrSettings!$M$7,(ABS($F34-$G34-Z34+AA34)&lt;=1)*1,IF(AND(AC34,$F34=$G34,$F34&gt;=PrSettings!$M$6),(ABS(Z34-$F34)&lt;=1)*1,IF(AND(ABS($F34-$G34-Z34+AA34)&lt;=1,$F34+$G34&gt;=PrSettings!$M$8),(ABS(Z34-$F34)&lt;=1)*(ABS(AA34-$G34)&lt;=1)*1,""))),"")</f>
        <v/>
      </c>
      <c r="AG34" s="454"/>
      <c r="AI34" s="447">
        <f ca="1" t="shared" si="346" ref="AI34:AI47">$B34</f>
        <v>8</v>
      </c>
      <c r="AJ34" s="448" t="str">
        <f ca="1">GrpE!$B$4</f>
        <v>Romania</v>
      </c>
      <c r="AK34" s="449">
        <f ca="1" t="shared" si="347" ref="AK34:AK39">$D34</f>
        <v>21</v>
      </c>
      <c r="AL34" s="448" t="str">
        <f ca="1">GrpE!$D$4</f>
        <v>Ukraine</v>
      </c>
      <c r="AM34" s="452"/>
      <c r="AN34" s="452"/>
      <c r="AO34" s="453"/>
      <c r="AP34" s="449" t="str">
        <f ca="1" t="shared" si="348" ref="AP34:AP39">IF(($F34&lt;&gt;"")*($G34&lt;&gt;"")*(AM34&lt;&gt;"")*(AN34&lt;&gt;""),($F34&gt;$G34)*(AM34&gt;AN34)+($F34=$G34)*(AM34=AN34)+($F34&lt;$G34)*(AM34&lt;AN34),"")</f>
        <v/>
      </c>
      <c r="AQ34" s="449" t="str">
        <f ca="1">IF((AP34&lt;&gt;""),IF(OR($F34&lt;&gt;$G34,PrSettings!$M$4="●"),(($F34-$G34)=(AM34-AN34))*1,0),"")</f>
        <v/>
      </c>
      <c r="AR34" s="449" t="str">
        <f ca="1" t="shared" si="349" ref="AR34:AR39">IF((AP34&lt;&gt;""),($F34=AM34)*($G34=AN34),"")</f>
        <v/>
      </c>
      <c r="AS34" s="449" t="str">
        <f ca="1">IF(AP34&lt;&gt;"",IF(ABS($F34-$G34)&gt;=PrSettings!$M$7,(ABS($F34-$G34-AM34+AN34)&lt;=1)*1,IF(AND(AP34,$F34=$G34,$F34&gt;=PrSettings!$M$6),(ABS(AM34-$F34)&lt;=1)*1,IF(AND(ABS($F34-$G34-AM34+AN34)&lt;=1,$F34+$G34&gt;=PrSettings!$M$8),(ABS(AM34-$F34)&lt;=1)*(ABS(AN34-$G34)&lt;=1)*1,""))),"")</f>
        <v/>
      </c>
      <c r="AT34" s="454"/>
      <c r="AV34" s="447">
        <f ca="1" t="shared" si="350" ref="AV34:AV47">$B34</f>
        <v>8</v>
      </c>
      <c r="AW34" s="448" t="str">
        <f ca="1">GrpE!$B$4</f>
        <v>Romania</v>
      </c>
      <c r="AX34" s="449">
        <f ca="1" t="shared" si="351" ref="AX34:AX39">$D34</f>
        <v>21</v>
      </c>
      <c r="AY34" s="448" t="str">
        <f ca="1">GrpE!$D$4</f>
        <v>Ukraine</v>
      </c>
      <c r="AZ34" s="452"/>
      <c r="BA34" s="452"/>
      <c r="BB34" s="453"/>
      <c r="BC34" s="449" t="str">
        <f ca="1" t="shared" si="352" ref="BC34:BC39">IF(($F34&lt;&gt;"")*($G34&lt;&gt;"")*(AZ34&lt;&gt;"")*(BA34&lt;&gt;""),($F34&gt;$G34)*(AZ34&gt;BA34)+($F34=$G34)*(AZ34=BA34)+($F34&lt;$G34)*(AZ34&lt;BA34),"")</f>
        <v/>
      </c>
      <c r="BD34" s="449" t="str">
        <f ca="1">IF((BC34&lt;&gt;""),IF(OR($F34&lt;&gt;$G34,PrSettings!$M$4="●"),(($F34-$G34)=(AZ34-BA34))*1,0),"")</f>
        <v/>
      </c>
      <c r="BE34" s="449" t="str">
        <f ca="1" t="shared" si="353" ref="BE34:BE39">IF((BC34&lt;&gt;""),($F34=AZ34)*($G34=BA34),"")</f>
        <v/>
      </c>
      <c r="BF34" s="449" t="str">
        <f ca="1">IF(BC34&lt;&gt;"",IF(ABS($F34-$G34)&gt;=PrSettings!$M$7,(ABS($F34-$G34-AZ34+BA34)&lt;=1)*1,IF(AND(BC34,$F34=$G34,$F34&gt;=PrSettings!$M$6),(ABS(AZ34-$F34)&lt;=1)*1,IF(AND(ABS($F34-$G34-AZ34+BA34)&lt;=1,$F34+$G34&gt;=PrSettings!$M$8),(ABS(AZ34-$F34)&lt;=1)*(ABS(BA34-$G34)&lt;=1)*1,""))),"")</f>
        <v/>
      </c>
      <c r="BG34" s="454"/>
      <c r="BI34" s="447">
        <f ca="1" t="shared" si="354" ref="BI34:BI47">$B34</f>
        <v>8</v>
      </c>
      <c r="BJ34" s="448" t="str">
        <f ca="1">GrpE!$B$4</f>
        <v>Romania</v>
      </c>
      <c r="BK34" s="449">
        <f ca="1" t="shared" si="355" ref="BK34:BK39">$D34</f>
        <v>21</v>
      </c>
      <c r="BL34" s="448" t="str">
        <f ca="1">GrpE!$D$4</f>
        <v>Ukraine</v>
      </c>
      <c r="BM34" s="452"/>
      <c r="BN34" s="452"/>
      <c r="BO34" s="453"/>
      <c r="BP34" s="449" t="str">
        <f ca="1" t="shared" si="356" ref="BP34:BP39">IF(($F34&lt;&gt;"")*($G34&lt;&gt;"")*(BM34&lt;&gt;"")*(BN34&lt;&gt;""),($F34&gt;$G34)*(BM34&gt;BN34)+($F34=$G34)*(BM34=BN34)+($F34&lt;$G34)*(BM34&lt;BN34),"")</f>
        <v/>
      </c>
      <c r="BQ34" s="449" t="str">
        <f ca="1">IF((BP34&lt;&gt;""),IF(OR($F34&lt;&gt;$G34,PrSettings!$M$4="●"),(($F34-$G34)=(BM34-BN34))*1,0),"")</f>
        <v/>
      </c>
      <c r="BR34" s="449" t="str">
        <f ca="1" t="shared" si="357" ref="BR34:BR39">IF((BP34&lt;&gt;""),($F34=BM34)*($G34=BN34),"")</f>
        <v/>
      </c>
      <c r="BS34" s="449" t="str">
        <f ca="1">IF(BP34&lt;&gt;"",IF(ABS($F34-$G34)&gt;=PrSettings!$M$7,(ABS($F34-$G34-BM34+BN34)&lt;=1)*1,IF(AND(BP34,$F34=$G34,$F34&gt;=PrSettings!$M$6),(ABS(BM34-$F34)&lt;=1)*1,IF(AND(ABS($F34-$G34-BM34+BN34)&lt;=1,$F34+$G34&gt;=PrSettings!$M$8),(ABS(BM34-$F34)&lt;=1)*(ABS(BN34-$G34)&lt;=1)*1,""))),"")</f>
        <v/>
      </c>
      <c r="BT34" s="454"/>
      <c r="BV34" s="447">
        <f ca="1" t="shared" si="358" ref="BV34:BV47">$B34</f>
        <v>8</v>
      </c>
      <c r="BW34" s="448" t="str">
        <f ca="1">GrpE!$B$4</f>
        <v>Romania</v>
      </c>
      <c r="BX34" s="449">
        <f ca="1" t="shared" si="359" ref="BX34:BX39">$D34</f>
        <v>21</v>
      </c>
      <c r="BY34" s="448" t="str">
        <f ca="1">GrpE!$D$4</f>
        <v>Ukraine</v>
      </c>
      <c r="BZ34" s="452"/>
      <c r="CA34" s="452"/>
      <c r="CB34" s="453"/>
      <c r="CC34" s="449" t="str">
        <f ca="1" t="shared" si="360" ref="CC34:CC39">IF(($F34&lt;&gt;"")*($G34&lt;&gt;"")*(BZ34&lt;&gt;"")*(CA34&lt;&gt;""),($F34&gt;$G34)*(BZ34&gt;CA34)+($F34=$G34)*(BZ34=CA34)+($F34&lt;$G34)*(BZ34&lt;CA34),"")</f>
        <v/>
      </c>
      <c r="CD34" s="449" t="str">
        <f ca="1">IF((CC34&lt;&gt;""),IF(OR($F34&lt;&gt;$G34,PrSettings!$M$4="●"),(($F34-$G34)=(BZ34-CA34))*1,0),"")</f>
        <v/>
      </c>
      <c r="CE34" s="449" t="str">
        <f ca="1" t="shared" si="361" ref="CE34:CE39">IF((CC34&lt;&gt;""),($F34=BZ34)*($G34=CA34),"")</f>
        <v/>
      </c>
      <c r="CF34" s="449" t="str">
        <f ca="1">IF(CC34&lt;&gt;"",IF(ABS($F34-$G34)&gt;=PrSettings!$M$7,(ABS($F34-$G34-BZ34+CA34)&lt;=1)*1,IF(AND(CC34,$F34=$G34,$F34&gt;=PrSettings!$M$6),(ABS(BZ34-$F34)&lt;=1)*1,IF(AND(ABS($F34-$G34-BZ34+CA34)&lt;=1,$F34+$G34&gt;=PrSettings!$M$8),(ABS(BZ34-$F34)&lt;=1)*(ABS(CA34-$G34)&lt;=1)*1,""))),"")</f>
        <v/>
      </c>
      <c r="CG34" s="454"/>
      <c r="CI34" s="447">
        <f ca="1" t="shared" si="362" ref="CI34:CI47">$B34</f>
        <v>8</v>
      </c>
      <c r="CJ34" s="448" t="str">
        <f ca="1">GrpE!$B$4</f>
        <v>Romania</v>
      </c>
      <c r="CK34" s="449">
        <f ca="1" t="shared" si="363" ref="CK34:CK39">$D34</f>
        <v>21</v>
      </c>
      <c r="CL34" s="448" t="str">
        <f ca="1">GrpE!$D$4</f>
        <v>Ukraine</v>
      </c>
      <c r="CM34" s="452"/>
      <c r="CN34" s="452"/>
      <c r="CO34" s="453"/>
      <c r="CP34" s="449" t="str">
        <f ca="1" t="shared" si="364" ref="CP34:CP39">IF(($F34&lt;&gt;"")*($G34&lt;&gt;"")*(CM34&lt;&gt;"")*(CN34&lt;&gt;""),($F34&gt;$G34)*(CM34&gt;CN34)+($F34=$G34)*(CM34=CN34)+($F34&lt;$G34)*(CM34&lt;CN34),"")</f>
        <v/>
      </c>
      <c r="CQ34" s="449" t="str">
        <f ca="1">IF((CP34&lt;&gt;""),IF(OR($F34&lt;&gt;$G34,PrSettings!$M$4="●"),(($F34-$G34)=(CM34-CN34))*1,0),"")</f>
        <v/>
      </c>
      <c r="CR34" s="449" t="str">
        <f ca="1" t="shared" si="365" ref="CR34:CR39">IF((CP34&lt;&gt;""),($F34=CM34)*($G34=CN34),"")</f>
        <v/>
      </c>
      <c r="CS34" s="449" t="str">
        <f ca="1">IF(CP34&lt;&gt;"",IF(ABS($F34-$G34)&gt;=PrSettings!$M$7,(ABS($F34-$G34-CM34+CN34)&lt;=1)*1,IF(AND(CP34,$F34=$G34,$F34&gt;=PrSettings!$M$6),(ABS(CM34-$F34)&lt;=1)*1,IF(AND(ABS($F34-$G34-CM34+CN34)&lt;=1,$F34+$G34&gt;=PrSettings!$M$8),(ABS(CM34-$F34)&lt;=1)*(ABS(CN34-$G34)&lt;=1)*1,""))),"")</f>
        <v/>
      </c>
      <c r="CT34" s="454"/>
      <c r="CV34" s="447">
        <f ca="1" t="shared" si="366" ref="CV34:CV47">$B34</f>
        <v>8</v>
      </c>
      <c r="CW34" s="448" t="str">
        <f ca="1">GrpE!$B$4</f>
        <v>Romania</v>
      </c>
      <c r="CX34" s="449">
        <f ca="1" t="shared" si="367" ref="CX34:CX39">$D34</f>
        <v>21</v>
      </c>
      <c r="CY34" s="448" t="str">
        <f ca="1">GrpE!$D$4</f>
        <v>Ukraine</v>
      </c>
      <c r="CZ34" s="452"/>
      <c r="DA34" s="452"/>
      <c r="DB34" s="453"/>
      <c r="DC34" s="449" t="str">
        <f ca="1" t="shared" si="368" ref="DC34:DC39">IF(($F34&lt;&gt;"")*($G34&lt;&gt;"")*(CZ34&lt;&gt;"")*(DA34&lt;&gt;""),($F34&gt;$G34)*(CZ34&gt;DA34)+($F34=$G34)*(CZ34=DA34)+($F34&lt;$G34)*(CZ34&lt;DA34),"")</f>
        <v/>
      </c>
      <c r="DD34" s="449" t="str">
        <f ca="1">IF((DC34&lt;&gt;""),IF(OR($F34&lt;&gt;$G34,PrSettings!$M$4="●"),(($F34-$G34)=(CZ34-DA34))*1,0),"")</f>
        <v/>
      </c>
      <c r="DE34" s="449" t="str">
        <f ca="1" t="shared" si="369" ref="DE34:DE39">IF((DC34&lt;&gt;""),($F34=CZ34)*($G34=DA34),"")</f>
        <v/>
      </c>
      <c r="DF34" s="449" t="str">
        <f ca="1">IF(DC34&lt;&gt;"",IF(ABS($F34-$G34)&gt;=PrSettings!$M$7,(ABS($F34-$G34-CZ34+DA34)&lt;=1)*1,IF(AND(DC34,$F34=$G34,$F34&gt;=PrSettings!$M$6),(ABS(CZ34-$F34)&lt;=1)*1,IF(AND(ABS($F34-$G34-CZ34+DA34)&lt;=1,$F34+$G34&gt;=PrSettings!$M$8),(ABS(CZ34-$F34)&lt;=1)*(ABS(DA34-$G34)&lt;=1)*1,""))),"")</f>
        <v/>
      </c>
      <c r="DG34" s="454"/>
      <c r="DI34" s="447">
        <f ca="1" t="shared" si="370" ref="DI34:DI47">$B34</f>
        <v>8</v>
      </c>
      <c r="DJ34" s="448" t="str">
        <f ca="1">GrpE!$B$4</f>
        <v>Romania</v>
      </c>
      <c r="DK34" s="449">
        <f ca="1" t="shared" si="371" ref="DK34:DK39">$D34</f>
        <v>21</v>
      </c>
      <c r="DL34" s="448" t="str">
        <f ca="1">GrpE!$D$4</f>
        <v>Ukraine</v>
      </c>
      <c r="DM34" s="452"/>
      <c r="DN34" s="452"/>
      <c r="DO34" s="453"/>
      <c r="DP34" s="449" t="str">
        <f ca="1" t="shared" si="372" ref="DP34:DP39">IF(($F34&lt;&gt;"")*($G34&lt;&gt;"")*(DM34&lt;&gt;"")*(DN34&lt;&gt;""),($F34&gt;$G34)*(DM34&gt;DN34)+($F34=$G34)*(DM34=DN34)+($F34&lt;$G34)*(DM34&lt;DN34),"")</f>
        <v/>
      </c>
      <c r="DQ34" s="449" t="str">
        <f ca="1">IF((DP34&lt;&gt;""),IF(OR($F34&lt;&gt;$G34,PrSettings!$M$4="●"),(($F34-$G34)=(DM34-DN34))*1,0),"")</f>
        <v/>
      </c>
      <c r="DR34" s="449" t="str">
        <f ca="1" t="shared" si="373" ref="DR34:DR39">IF((DP34&lt;&gt;""),($F34=DM34)*($G34=DN34),"")</f>
        <v/>
      </c>
      <c r="DS34" s="449" t="str">
        <f ca="1">IF(DP34&lt;&gt;"",IF(ABS($F34-$G34)&gt;=PrSettings!$M$7,(ABS($F34-$G34-DM34+DN34)&lt;=1)*1,IF(AND(DP34,$F34=$G34,$F34&gt;=PrSettings!$M$6),(ABS(DM34-$F34)&lt;=1)*1,IF(AND(ABS($F34-$G34-DM34+DN34)&lt;=1,$F34+$G34&gt;=PrSettings!$M$8),(ABS(DM34-$F34)&lt;=1)*(ABS(DN34-$G34)&lt;=1)*1,""))),"")</f>
        <v/>
      </c>
      <c r="DT34" s="454"/>
      <c r="DV34" s="447">
        <f ca="1" t="shared" si="374" ref="DV34:DV47">$B34</f>
        <v>8</v>
      </c>
      <c r="DW34" s="448" t="str">
        <f ca="1">GrpE!$B$4</f>
        <v>Romania</v>
      </c>
      <c r="DX34" s="449">
        <f ca="1" t="shared" si="375" ref="DX34:DX39">$D34</f>
        <v>21</v>
      </c>
      <c r="DY34" s="448" t="str">
        <f ca="1">GrpE!$D$4</f>
        <v>Ukraine</v>
      </c>
      <c r="DZ34" s="452"/>
      <c r="EA34" s="452"/>
      <c r="EB34" s="453"/>
      <c r="EC34" s="449" t="str">
        <f ca="1" t="shared" si="376" ref="EC34:EC39">IF(($F34&lt;&gt;"")*($G34&lt;&gt;"")*(DZ34&lt;&gt;"")*(EA34&lt;&gt;""),($F34&gt;$G34)*(DZ34&gt;EA34)+($F34=$G34)*(DZ34=EA34)+($F34&lt;$G34)*(DZ34&lt;EA34),"")</f>
        <v/>
      </c>
      <c r="ED34" s="449" t="str">
        <f ca="1">IF((EC34&lt;&gt;""),IF(OR($F34&lt;&gt;$G34,PrSettings!$M$4="●"),(($F34-$G34)=(DZ34-EA34))*1,0),"")</f>
        <v/>
      </c>
      <c r="EE34" s="449" t="str">
        <f ca="1" t="shared" si="377" ref="EE34:EE39">IF((EC34&lt;&gt;""),($F34=DZ34)*($G34=EA34),"")</f>
        <v/>
      </c>
      <c r="EF34" s="449" t="str">
        <f ca="1">IF(EC34&lt;&gt;"",IF(ABS($F34-$G34)&gt;=PrSettings!$M$7,(ABS($F34-$G34-DZ34+EA34)&lt;=1)*1,IF(AND(EC34,$F34=$G34,$F34&gt;=PrSettings!$M$6),(ABS(DZ34-$F34)&lt;=1)*1,IF(AND(ABS($F34-$G34-DZ34+EA34)&lt;=1,$F34+$G34&gt;=PrSettings!$M$8),(ABS(DZ34-$F34)&lt;=1)*(ABS(EA34-$G34)&lt;=1)*1,""))),"")</f>
        <v/>
      </c>
      <c r="EG34" s="454"/>
      <c r="EI34" s="447">
        <f ca="1" t="shared" si="378" ref="EI34:EI47">$B34</f>
        <v>8</v>
      </c>
      <c r="EJ34" s="448" t="str">
        <f ca="1">GrpE!$B$4</f>
        <v>Romania</v>
      </c>
      <c r="EK34" s="449">
        <f ca="1" t="shared" si="379" ref="EK34:EK39">$D34</f>
        <v>21</v>
      </c>
      <c r="EL34" s="448" t="str">
        <f ca="1">GrpE!$D$4</f>
        <v>Ukraine</v>
      </c>
      <c r="EM34" s="452"/>
      <c r="EN34" s="452"/>
      <c r="EO34" s="453"/>
      <c r="EP34" s="449" t="str">
        <f ca="1" t="shared" si="380" ref="EP34:EP39">IF(($F34&lt;&gt;"")*($G34&lt;&gt;"")*(EM34&lt;&gt;"")*(EN34&lt;&gt;""),($F34&gt;$G34)*(EM34&gt;EN34)+($F34=$G34)*(EM34=EN34)+($F34&lt;$G34)*(EM34&lt;EN34),"")</f>
        <v/>
      </c>
      <c r="EQ34" s="449" t="str">
        <f ca="1">IF((EP34&lt;&gt;""),IF(OR($F34&lt;&gt;$G34,PrSettings!$M$4="●"),(($F34-$G34)=(EM34-EN34))*1,0),"")</f>
        <v/>
      </c>
      <c r="ER34" s="449" t="str">
        <f ca="1" t="shared" si="381" ref="ER34:ER39">IF((EP34&lt;&gt;""),($F34=EM34)*($G34=EN34),"")</f>
        <v/>
      </c>
      <c r="ES34" s="449" t="str">
        <f ca="1">IF(EP34&lt;&gt;"",IF(ABS($F34-$G34)&gt;=PrSettings!$M$7,(ABS($F34-$G34-EM34+EN34)&lt;=1)*1,IF(AND(EP34,$F34=$G34,$F34&gt;=PrSettings!$M$6),(ABS(EM34-$F34)&lt;=1)*1,IF(AND(ABS($F34-$G34-EM34+EN34)&lt;=1,$F34+$G34&gt;=PrSettings!$M$8),(ABS(EM34-$F34)&lt;=1)*(ABS(EN34-$G34)&lt;=1)*1,""))),"")</f>
        <v/>
      </c>
      <c r="ET34" s="454"/>
      <c r="EV34" s="447">
        <f ca="1" t="shared" si="382" ref="EV34:EV47">$B34</f>
        <v>8</v>
      </c>
      <c r="EW34" s="448" t="str">
        <f ca="1">GrpE!$B$4</f>
        <v>Romania</v>
      </c>
      <c r="EX34" s="449">
        <f ca="1" t="shared" si="383" ref="EX34:EX39">$D34</f>
        <v>21</v>
      </c>
      <c r="EY34" s="448" t="str">
        <f ca="1">GrpE!$D$4</f>
        <v>Ukraine</v>
      </c>
      <c r="EZ34" s="452"/>
      <c r="FA34" s="452"/>
      <c r="FB34" s="453"/>
      <c r="FC34" s="449" t="str">
        <f ca="1" t="shared" si="384" ref="FC34:FC39">IF(($F34&lt;&gt;"")*($G34&lt;&gt;"")*(EZ34&lt;&gt;"")*(FA34&lt;&gt;""),($F34&gt;$G34)*(EZ34&gt;FA34)+($F34=$G34)*(EZ34=FA34)+($F34&lt;$G34)*(EZ34&lt;FA34),"")</f>
        <v/>
      </c>
      <c r="FD34" s="449" t="str">
        <f ca="1">IF((FC34&lt;&gt;""),IF(OR($F34&lt;&gt;$G34,PrSettings!$M$4="●"),(($F34-$G34)=(EZ34-FA34))*1,0),"")</f>
        <v/>
      </c>
      <c r="FE34" s="449" t="str">
        <f ca="1" t="shared" si="385" ref="FE34:FE39">IF((FC34&lt;&gt;""),($F34=EZ34)*($G34=FA34),"")</f>
        <v/>
      </c>
      <c r="FF34" s="449" t="str">
        <f ca="1">IF(FC34&lt;&gt;"",IF(ABS($F34-$G34)&gt;=PrSettings!$M$7,(ABS($F34-$G34-EZ34+FA34)&lt;=1)*1,IF(AND(FC34,$F34=$G34,$F34&gt;=PrSettings!$M$6),(ABS(EZ34-$F34)&lt;=1)*1,IF(AND(ABS($F34-$G34-EZ34+FA34)&lt;=1,$F34+$G34&gt;=PrSettings!$M$8),(ABS(EZ34-$F34)&lt;=1)*(ABS(FA34-$G34)&lt;=1)*1,""))),"")</f>
        <v/>
      </c>
      <c r="FG34" s="454"/>
      <c r="FI34" s="447">
        <f ca="1" t="shared" si="386" ref="FI34:FI47">$B34</f>
        <v>8</v>
      </c>
      <c r="FJ34" s="448" t="str">
        <f ca="1">GrpE!$B$4</f>
        <v>Romania</v>
      </c>
      <c r="FK34" s="449">
        <f ca="1" t="shared" si="387" ref="FK34:FK39">$D34</f>
        <v>21</v>
      </c>
      <c r="FL34" s="448" t="str">
        <f ca="1">GrpE!$D$4</f>
        <v>Ukraine</v>
      </c>
      <c r="FM34" s="452"/>
      <c r="FN34" s="452"/>
      <c r="FO34" s="453"/>
      <c r="FP34" s="449" t="str">
        <f ca="1" t="shared" si="388" ref="FP34:FP39">IF(($F34&lt;&gt;"")*($G34&lt;&gt;"")*(FM34&lt;&gt;"")*(FN34&lt;&gt;""),($F34&gt;$G34)*(FM34&gt;FN34)+($F34=$G34)*(FM34=FN34)+($F34&lt;$G34)*(FM34&lt;FN34),"")</f>
        <v/>
      </c>
      <c r="FQ34" s="449" t="str">
        <f ca="1">IF((FP34&lt;&gt;""),IF(OR($F34&lt;&gt;$G34,PrSettings!$M$4="●"),(($F34-$G34)=(FM34-FN34))*1,0),"")</f>
        <v/>
      </c>
      <c r="FR34" s="449" t="str">
        <f ca="1" t="shared" si="389" ref="FR34:FR39">IF((FP34&lt;&gt;""),($F34=FM34)*($G34=FN34),"")</f>
        <v/>
      </c>
      <c r="FS34" s="449" t="str">
        <f ca="1">IF(FP34&lt;&gt;"",IF(ABS($F34-$G34)&gt;=PrSettings!$M$7,(ABS($F34-$G34-FM34+FN34)&lt;=1)*1,IF(AND(FP34,$F34=$G34,$F34&gt;=PrSettings!$M$6),(ABS(FM34-$F34)&lt;=1)*1,IF(AND(ABS($F34-$G34-FM34+FN34)&lt;=1,$F34+$G34&gt;=PrSettings!$M$8),(ABS(FM34-$F34)&lt;=1)*(ABS(FN34-$G34)&lt;=1)*1,""))),"")</f>
        <v/>
      </c>
      <c r="FT34" s="454"/>
      <c r="FV34" s="447">
        <f ca="1" t="shared" si="390" ref="FV34:FV47">$B34</f>
        <v>8</v>
      </c>
      <c r="FW34" s="448" t="str">
        <f ca="1">GrpE!$B$4</f>
        <v>Romania</v>
      </c>
      <c r="FX34" s="449">
        <f ca="1" t="shared" si="391" ref="FX34:FX39">$D34</f>
        <v>21</v>
      </c>
      <c r="FY34" s="448" t="str">
        <f ca="1">GrpE!$D$4</f>
        <v>Ukraine</v>
      </c>
      <c r="FZ34" s="452"/>
      <c r="GA34" s="452"/>
      <c r="GB34" s="453"/>
      <c r="GC34" s="449" t="str">
        <f ca="1" t="shared" si="392" ref="GC34:GC39">IF(($F34&lt;&gt;"")*($G34&lt;&gt;"")*(FZ34&lt;&gt;"")*(GA34&lt;&gt;""),($F34&gt;$G34)*(FZ34&gt;GA34)+($F34=$G34)*(FZ34=GA34)+($F34&lt;$G34)*(FZ34&lt;GA34),"")</f>
        <v/>
      </c>
      <c r="GD34" s="449" t="str">
        <f ca="1">IF((GC34&lt;&gt;""),IF(OR($F34&lt;&gt;$G34,PrSettings!$M$4="●"),(($F34-$G34)=(FZ34-GA34))*1,0),"")</f>
        <v/>
      </c>
      <c r="GE34" s="449" t="str">
        <f ca="1" t="shared" si="393" ref="GE34:GE39">IF((GC34&lt;&gt;""),($F34=FZ34)*($G34=GA34),"")</f>
        <v/>
      </c>
      <c r="GF34" s="449" t="str">
        <f ca="1">IF(GC34&lt;&gt;"",IF(ABS($F34-$G34)&gt;=PrSettings!$M$7,(ABS($F34-$G34-FZ34+GA34)&lt;=1)*1,IF(AND(GC34,$F34=$G34,$F34&gt;=PrSettings!$M$6),(ABS(FZ34-$F34)&lt;=1)*1,IF(AND(ABS($F34-$G34-FZ34+GA34)&lt;=1,$F34+$G34&gt;=PrSettings!$M$8),(ABS(FZ34-$F34)&lt;=1)*(ABS(GA34-$G34)&lt;=1)*1,""))),"")</f>
        <v/>
      </c>
      <c r="GG34" s="454"/>
      <c r="GI34" s="447">
        <f ca="1" t="shared" si="394" ref="GI34:GI47">$B34</f>
        <v>8</v>
      </c>
      <c r="GJ34" s="448" t="str">
        <f ca="1">GrpE!$B$4</f>
        <v>Romania</v>
      </c>
      <c r="GK34" s="449">
        <f ca="1" t="shared" si="395" ref="GK34:GK39">$D34</f>
        <v>21</v>
      </c>
      <c r="GL34" s="448" t="str">
        <f ca="1">GrpE!$D$4</f>
        <v>Ukraine</v>
      </c>
      <c r="GM34" s="452"/>
      <c r="GN34" s="452"/>
      <c r="GO34" s="453"/>
      <c r="GP34" s="449" t="str">
        <f ca="1" t="shared" si="396" ref="GP34:GP39">IF(($F34&lt;&gt;"")*($G34&lt;&gt;"")*(GM34&lt;&gt;"")*(GN34&lt;&gt;""),($F34&gt;$G34)*(GM34&gt;GN34)+($F34=$G34)*(GM34=GN34)+($F34&lt;$G34)*(GM34&lt;GN34),"")</f>
        <v/>
      </c>
      <c r="GQ34" s="449" t="str">
        <f ca="1">IF((GP34&lt;&gt;""),IF(OR($F34&lt;&gt;$G34,PrSettings!$M$4="●"),(($F34-$G34)=(GM34-GN34))*1,0),"")</f>
        <v/>
      </c>
      <c r="GR34" s="449" t="str">
        <f ca="1" t="shared" si="397" ref="GR34:GR39">IF((GP34&lt;&gt;""),($F34=GM34)*($G34=GN34),"")</f>
        <v/>
      </c>
      <c r="GS34" s="449" t="str">
        <f ca="1">IF(GP34&lt;&gt;"",IF(ABS($F34-$G34)&gt;=PrSettings!$M$7,(ABS($F34-$G34-GM34+GN34)&lt;=1)*1,IF(AND(GP34,$F34=$G34,$F34&gt;=PrSettings!$M$6),(ABS(GM34-$F34)&lt;=1)*1,IF(AND(ABS($F34-$G34-GM34+GN34)&lt;=1,$F34+$G34&gt;=PrSettings!$M$8),(ABS(GM34-$F34)&lt;=1)*(ABS(GN34-$G34)&lt;=1)*1,""))),"")</f>
        <v/>
      </c>
      <c r="GT34" s="454"/>
      <c r="GV34" s="447">
        <f ca="1" t="shared" si="398" ref="GV34:GV47">$B34</f>
        <v>8</v>
      </c>
      <c r="GW34" s="448" t="str">
        <f ca="1">GrpE!$B$4</f>
        <v>Romania</v>
      </c>
      <c r="GX34" s="449">
        <f ca="1" t="shared" si="399" ref="GX34:GX39">$D34</f>
        <v>21</v>
      </c>
      <c r="GY34" s="448" t="str">
        <f ca="1">GrpE!$D$4</f>
        <v>Ukraine</v>
      </c>
      <c r="GZ34" s="452"/>
      <c r="HA34" s="452"/>
      <c r="HB34" s="453"/>
      <c r="HC34" s="449" t="str">
        <f ca="1" t="shared" si="400" ref="HC34:HC39">IF(($F34&lt;&gt;"")*($G34&lt;&gt;"")*(GZ34&lt;&gt;"")*(HA34&lt;&gt;""),($F34&gt;$G34)*(GZ34&gt;HA34)+($F34=$G34)*(GZ34=HA34)+($F34&lt;$G34)*(GZ34&lt;HA34),"")</f>
        <v/>
      </c>
      <c r="HD34" s="449" t="str">
        <f ca="1">IF((HC34&lt;&gt;""),IF(OR($F34&lt;&gt;$G34,PrSettings!$M$4="●"),(($F34-$G34)=(GZ34-HA34))*1,0),"")</f>
        <v/>
      </c>
      <c r="HE34" s="449" t="str">
        <f ca="1" t="shared" si="401" ref="HE34:HE39">IF((HC34&lt;&gt;""),($F34=GZ34)*($G34=HA34),"")</f>
        <v/>
      </c>
      <c r="HF34" s="449" t="str">
        <f ca="1">IF(HC34&lt;&gt;"",IF(ABS($F34-$G34)&gt;=PrSettings!$M$7,(ABS($F34-$G34-GZ34+HA34)&lt;=1)*1,IF(AND(HC34,$F34=$G34,$F34&gt;=PrSettings!$M$6),(ABS(GZ34-$F34)&lt;=1)*1,IF(AND(ABS($F34-$G34-GZ34+HA34)&lt;=1,$F34+$G34&gt;=PrSettings!$M$8),(ABS(GZ34-$F34)&lt;=1)*(ABS(HA34-$G34)&lt;=1)*1,""))),"")</f>
        <v/>
      </c>
      <c r="HG34" s="454"/>
      <c r="HI34" s="447">
        <f ca="1" t="shared" si="402" ref="HI34:HI47">$B34</f>
        <v>8</v>
      </c>
      <c r="HJ34" s="448" t="str">
        <f ca="1">GrpE!$B$4</f>
        <v>Romania</v>
      </c>
      <c r="HK34" s="449">
        <f ca="1" t="shared" si="403" ref="HK34:HK39">$D34</f>
        <v>21</v>
      </c>
      <c r="HL34" s="448" t="str">
        <f ca="1">GrpE!$D$4</f>
        <v>Ukraine</v>
      </c>
      <c r="HM34" s="452"/>
      <c r="HN34" s="452"/>
      <c r="HO34" s="453"/>
      <c r="HP34" s="449" t="str">
        <f ca="1" t="shared" si="404" ref="HP34:HP39">IF(($F34&lt;&gt;"")*($G34&lt;&gt;"")*(HM34&lt;&gt;"")*(HN34&lt;&gt;""),($F34&gt;$G34)*(HM34&gt;HN34)+($F34=$G34)*(HM34=HN34)+($F34&lt;$G34)*(HM34&lt;HN34),"")</f>
        <v/>
      </c>
      <c r="HQ34" s="449" t="str">
        <f ca="1">IF((HP34&lt;&gt;""),IF(OR($F34&lt;&gt;$G34,PrSettings!$M$4="●"),(($F34-$G34)=(HM34-HN34))*1,0),"")</f>
        <v/>
      </c>
      <c r="HR34" s="449" t="str">
        <f ca="1" t="shared" si="405" ref="HR34:HR39">IF((HP34&lt;&gt;""),($F34=HM34)*($G34=HN34),"")</f>
        <v/>
      </c>
      <c r="HS34" s="449" t="str">
        <f ca="1">IF(HP34&lt;&gt;"",IF(ABS($F34-$G34)&gt;=PrSettings!$M$7,(ABS($F34-$G34-HM34+HN34)&lt;=1)*1,IF(AND(HP34,$F34=$G34,$F34&gt;=PrSettings!$M$6),(ABS(HM34-$F34)&lt;=1)*1,IF(AND(ABS($F34-$G34-HM34+HN34)&lt;=1,$F34+$G34&gt;=PrSettings!$M$8),(ABS(HM34-$F34)&lt;=1)*(ABS(HN34-$G34)&lt;=1)*1,""))),"")</f>
        <v/>
      </c>
      <c r="HT34" s="454"/>
      <c r="HV34" s="447">
        <f ca="1" t="shared" si="406" ref="HV34:HV47">$B34</f>
        <v>8</v>
      </c>
      <c r="HW34" s="448" t="str">
        <f ca="1">GrpE!$B$4</f>
        <v>Romania</v>
      </c>
      <c r="HX34" s="449">
        <f ca="1" t="shared" si="407" ref="HX34:HX39">$D34</f>
        <v>21</v>
      </c>
      <c r="HY34" s="448" t="str">
        <f ca="1">GrpE!$D$4</f>
        <v>Ukraine</v>
      </c>
      <c r="HZ34" s="452"/>
      <c r="IA34" s="452"/>
      <c r="IB34" s="453"/>
      <c r="IC34" s="449" t="str">
        <f ca="1" t="shared" si="408" ref="IC34:IC39">IF(($F34&lt;&gt;"")*($G34&lt;&gt;"")*(HZ34&lt;&gt;"")*(IA34&lt;&gt;""),($F34&gt;$G34)*(HZ34&gt;IA34)+($F34=$G34)*(HZ34=IA34)+($F34&lt;$G34)*(HZ34&lt;IA34),"")</f>
        <v/>
      </c>
      <c r="ID34" s="449" t="str">
        <f ca="1">IF((IC34&lt;&gt;""),IF(OR($F34&lt;&gt;$G34,PrSettings!$M$4="●"),(($F34-$G34)=(HZ34-IA34))*1,0),"")</f>
        <v/>
      </c>
      <c r="IE34" s="449" t="str">
        <f ca="1" t="shared" si="409" ref="IE34:IE39">IF((IC34&lt;&gt;""),($F34=HZ34)*($G34=IA34),"")</f>
        <v/>
      </c>
      <c r="IF34" s="449" t="str">
        <f ca="1">IF(IC34&lt;&gt;"",IF(ABS($F34-$G34)&gt;=PrSettings!$M$7,(ABS($F34-$G34-HZ34+IA34)&lt;=1)*1,IF(AND(IC34,$F34=$G34,$F34&gt;=PrSettings!$M$6),(ABS(HZ34-$F34)&lt;=1)*1,IF(AND(ABS($F34-$G34-HZ34+IA34)&lt;=1,$F34+$G34&gt;=PrSettings!$M$8),(ABS(HZ34-$F34)&lt;=1)*(ABS(IA34-$G34)&lt;=1)*1,""))),"")</f>
        <v/>
      </c>
      <c r="IG34" s="454"/>
      <c r="II34" s="447">
        <f ca="1" t="shared" si="410" ref="II34:II47">$B34</f>
        <v>8</v>
      </c>
      <c r="IJ34" s="448" t="str">
        <f ca="1">GrpE!$B$4</f>
        <v>Romania</v>
      </c>
      <c r="IK34" s="449">
        <f ca="1" t="shared" si="411" ref="IK34:IK39">$D34</f>
        <v>21</v>
      </c>
      <c r="IL34" s="448" t="str">
        <f ca="1">GrpE!$D$4</f>
        <v>Ukraine</v>
      </c>
      <c r="IM34" s="452"/>
      <c r="IN34" s="452"/>
      <c r="IO34" s="453"/>
      <c r="IP34" s="449" t="str">
        <f ca="1" t="shared" si="412" ref="IP34:IP39">IF(($F34&lt;&gt;"")*($G34&lt;&gt;"")*(IM34&lt;&gt;"")*(IN34&lt;&gt;""),($F34&gt;$G34)*(IM34&gt;IN34)+($F34=$G34)*(IM34=IN34)+($F34&lt;$G34)*(IM34&lt;IN34),"")</f>
        <v/>
      </c>
      <c r="IQ34" s="449" t="str">
        <f ca="1">IF((IP34&lt;&gt;""),IF(OR($F34&lt;&gt;$G34,PrSettings!$M$4="●"),(($F34-$G34)=(IM34-IN34))*1,0),"")</f>
        <v/>
      </c>
      <c r="IR34" s="449" t="str">
        <f ca="1" t="shared" si="413" ref="IR34:IR39">IF((IP34&lt;&gt;""),($F34=IM34)*($G34=IN34),"")</f>
        <v/>
      </c>
      <c r="IS34" s="449" t="str">
        <f ca="1">IF(IP34&lt;&gt;"",IF(ABS($F34-$G34)&gt;=PrSettings!$M$7,(ABS($F34-$G34-IM34+IN34)&lt;=1)*1,IF(AND(IP34,$F34=$G34,$F34&gt;=PrSettings!$M$6),(ABS(IM34-$F34)&lt;=1)*1,IF(AND(ABS($F34-$G34-IM34+IN34)&lt;=1,$F34+$G34&gt;=PrSettings!$M$8),(ABS(IM34-$F34)&lt;=1)*(ABS(IN34-$G34)&lt;=1)*1,""))),"")</f>
        <v/>
      </c>
      <c r="IT34" s="454"/>
      <c r="IV34" s="447">
        <f ca="1" t="shared" si="414" ref="IV34:IV47">$B34</f>
        <v>8</v>
      </c>
      <c r="IW34" s="448" t="str">
        <f ca="1">GrpE!$B$4</f>
        <v>Romania</v>
      </c>
      <c r="IX34" s="449">
        <f ca="1" t="shared" si="415" ref="IX34:IX39">$D34</f>
        <v>21</v>
      </c>
      <c r="IY34" s="448" t="str">
        <f ca="1">GrpE!$D$4</f>
        <v>Ukraine</v>
      </c>
      <c r="IZ34" s="452"/>
      <c r="JA34" s="452"/>
      <c r="JB34" s="453"/>
      <c r="JC34" s="449" t="str">
        <f ca="1" t="shared" si="416" ref="JC34:JC39">IF(($F34&lt;&gt;"")*($G34&lt;&gt;"")*(IZ34&lt;&gt;"")*(JA34&lt;&gt;""),($F34&gt;$G34)*(IZ34&gt;JA34)+($F34=$G34)*(IZ34=JA34)+($F34&lt;$G34)*(IZ34&lt;JA34),"")</f>
        <v/>
      </c>
      <c r="JD34" s="449" t="str">
        <f ca="1">IF((JC34&lt;&gt;""),IF(OR($F34&lt;&gt;$G34,PrSettings!$M$4="●"),(($F34-$G34)=(IZ34-JA34))*1,0),"")</f>
        <v/>
      </c>
      <c r="JE34" s="449" t="str">
        <f ca="1" t="shared" si="417" ref="JE34:JE39">IF((JC34&lt;&gt;""),($F34=IZ34)*($G34=JA34),"")</f>
        <v/>
      </c>
      <c r="JF34" s="449" t="str">
        <f ca="1">IF(JC34&lt;&gt;"",IF(ABS($F34-$G34)&gt;=PrSettings!$M$7,(ABS($F34-$G34-IZ34+JA34)&lt;=1)*1,IF(AND(JC34,$F34=$G34,$F34&gt;=PrSettings!$M$6),(ABS(IZ34-$F34)&lt;=1)*1,IF(AND(ABS($F34-$G34-IZ34+JA34)&lt;=1,$F34+$G34&gt;=PrSettings!$M$8),(ABS(IZ34-$F34)&lt;=1)*(ABS(JA34-$G34)&lt;=1)*1,""))),"")</f>
        <v/>
      </c>
      <c r="JG34" s="454"/>
      <c r="JI34" s="447">
        <f ca="1" t="shared" si="418" ref="JI34:JI47">$B34</f>
        <v>8</v>
      </c>
      <c r="JJ34" s="448" t="str">
        <f ca="1">GrpE!$B$4</f>
        <v>Romania</v>
      </c>
      <c r="JK34" s="449">
        <f ca="1" t="shared" si="419" ref="JK34:JK39">$D34</f>
        <v>21</v>
      </c>
      <c r="JL34" s="448" t="str">
        <f ca="1">GrpE!$D$4</f>
        <v>Ukraine</v>
      </c>
      <c r="JM34" s="452"/>
      <c r="JN34" s="452"/>
      <c r="JO34" s="453"/>
      <c r="JP34" s="449" t="str">
        <f ca="1" t="shared" si="420" ref="JP34:JP39">IF(($F34&lt;&gt;"")*($G34&lt;&gt;"")*(JM34&lt;&gt;"")*(JN34&lt;&gt;""),($F34&gt;$G34)*(JM34&gt;JN34)+($F34=$G34)*(JM34=JN34)+($F34&lt;$G34)*(JM34&lt;JN34),"")</f>
        <v/>
      </c>
      <c r="JQ34" s="449" t="str">
        <f ca="1">IF((JP34&lt;&gt;""),IF(OR($F34&lt;&gt;$G34,PrSettings!$M$4="●"),(($F34-$G34)=(JM34-JN34))*1,0),"")</f>
        <v/>
      </c>
      <c r="JR34" s="449" t="str">
        <f ca="1" t="shared" si="421" ref="JR34:JR39">IF((JP34&lt;&gt;""),($F34=JM34)*($G34=JN34),"")</f>
        <v/>
      </c>
      <c r="JS34" s="449" t="str">
        <f ca="1">IF(JP34&lt;&gt;"",IF(ABS($F34-$G34)&gt;=PrSettings!$M$7,(ABS($F34-$G34-JM34+JN34)&lt;=1)*1,IF(AND(JP34,$F34=$G34,$F34&gt;=PrSettings!$M$6),(ABS(JM34-$F34)&lt;=1)*1,IF(AND(ABS($F34-$G34-JM34+JN34)&lt;=1,$F34+$G34&gt;=PrSettings!$M$8),(ABS(JM34-$F34)&lt;=1)*(ABS(JN34-$G34)&lt;=1)*1,""))),"")</f>
        <v/>
      </c>
      <c r="JT34" s="454"/>
      <c r="JV34" s="447">
        <f ca="1" t="shared" si="422" ref="JV34:JV47">$B34</f>
        <v>8</v>
      </c>
      <c r="JW34" s="448" t="str">
        <f ca="1">GrpE!$B$4</f>
        <v>Romania</v>
      </c>
      <c r="JX34" s="449">
        <f ca="1" t="shared" si="423" ref="JX34:JX39">$D34</f>
        <v>21</v>
      </c>
      <c r="JY34" s="448" t="str">
        <f ca="1">GrpE!$D$4</f>
        <v>Ukraine</v>
      </c>
      <c r="JZ34" s="452"/>
      <c r="KA34" s="452"/>
      <c r="KB34" s="453"/>
      <c r="KC34" s="449" t="str">
        <f ca="1" t="shared" si="424" ref="KC34:KC39">IF(($F34&lt;&gt;"")*($G34&lt;&gt;"")*(JZ34&lt;&gt;"")*(KA34&lt;&gt;""),($F34&gt;$G34)*(JZ34&gt;KA34)+($F34=$G34)*(JZ34=KA34)+($F34&lt;$G34)*(JZ34&lt;KA34),"")</f>
        <v/>
      </c>
      <c r="KD34" s="449" t="str">
        <f ca="1">IF((KC34&lt;&gt;""),IF(OR($F34&lt;&gt;$G34,PrSettings!$M$4="●"),(($F34-$G34)=(JZ34-KA34))*1,0),"")</f>
        <v/>
      </c>
      <c r="KE34" s="449" t="str">
        <f ca="1" t="shared" si="425" ref="KE34:KE39">IF((KC34&lt;&gt;""),($F34=JZ34)*($G34=KA34),"")</f>
        <v/>
      </c>
      <c r="KF34" s="449" t="str">
        <f ca="1">IF(KC34&lt;&gt;"",IF(ABS($F34-$G34)&gt;=PrSettings!$M$7,(ABS($F34-$G34-JZ34+KA34)&lt;=1)*1,IF(AND(KC34,$F34=$G34,$F34&gt;=PrSettings!$M$6),(ABS(JZ34-$F34)&lt;=1)*1,IF(AND(ABS($F34-$G34-JZ34+KA34)&lt;=1,$F34+$G34&gt;=PrSettings!$M$8),(ABS(JZ34-$F34)&lt;=1)*(ABS(KA34-$G34)&lt;=1)*1,""))),"")</f>
        <v/>
      </c>
      <c r="KG34" s="454"/>
      <c r="KI34" s="447">
        <f ca="1" t="shared" si="426" ref="KI34:KI47">$B34</f>
        <v>8</v>
      </c>
      <c r="KJ34" s="448" t="str">
        <f ca="1">GrpE!$B$4</f>
        <v>Romania</v>
      </c>
      <c r="KK34" s="449">
        <f ca="1" t="shared" si="427" ref="KK34:KK39">$D34</f>
        <v>21</v>
      </c>
      <c r="KL34" s="448" t="str">
        <f ca="1">GrpE!$D$4</f>
        <v>Ukraine</v>
      </c>
      <c r="KM34" s="452"/>
      <c r="KN34" s="452"/>
      <c r="KO34" s="453"/>
      <c r="KP34" s="449" t="str">
        <f ca="1" t="shared" si="428" ref="KP34:KP39">IF(($F34&lt;&gt;"")*($G34&lt;&gt;"")*(KM34&lt;&gt;"")*(KN34&lt;&gt;""),($F34&gt;$G34)*(KM34&gt;KN34)+($F34=$G34)*(KM34=KN34)+($F34&lt;$G34)*(KM34&lt;KN34),"")</f>
        <v/>
      </c>
      <c r="KQ34" s="449" t="str">
        <f ca="1">IF((KP34&lt;&gt;""),IF(OR($F34&lt;&gt;$G34,PrSettings!$M$4="●"),(($F34-$G34)=(KM34-KN34))*1,0),"")</f>
        <v/>
      </c>
      <c r="KR34" s="449" t="str">
        <f ca="1" t="shared" si="429" ref="KR34:KR39">IF((KP34&lt;&gt;""),($F34=KM34)*($G34=KN34),"")</f>
        <v/>
      </c>
      <c r="KS34" s="449" t="str">
        <f ca="1">IF(KP34&lt;&gt;"",IF(ABS($F34-$G34)&gt;=PrSettings!$M$7,(ABS($F34-$G34-KM34+KN34)&lt;=1)*1,IF(AND(KP34,$F34=$G34,$F34&gt;=PrSettings!$M$6),(ABS(KM34-$F34)&lt;=1)*1,IF(AND(ABS($F34-$G34-KM34+KN34)&lt;=1,$F34+$G34&gt;=PrSettings!$M$8),(ABS(KM34-$F34)&lt;=1)*(ABS(KN34-$G34)&lt;=1)*1,""))),"")</f>
        <v/>
      </c>
      <c r="KT34" s="454"/>
      <c r="KV34" s="447">
        <f ca="1" t="shared" si="430" ref="KV34:KV47">$B34</f>
        <v>8</v>
      </c>
      <c r="KW34" s="448" t="str">
        <f ca="1">GrpE!$B$4</f>
        <v>Romania</v>
      </c>
      <c r="KX34" s="449">
        <f ca="1" t="shared" si="431" ref="KX34:KX39">$D34</f>
        <v>21</v>
      </c>
      <c r="KY34" s="448" t="str">
        <f ca="1">GrpE!$D$4</f>
        <v>Ukraine</v>
      </c>
      <c r="KZ34" s="452"/>
      <c r="LA34" s="452"/>
      <c r="LB34" s="453"/>
      <c r="LC34" s="449" t="str">
        <f ca="1" t="shared" si="432" ref="LC34:LC39">IF(($F34&lt;&gt;"")*($G34&lt;&gt;"")*(KZ34&lt;&gt;"")*(LA34&lt;&gt;""),($F34&gt;$G34)*(KZ34&gt;LA34)+($F34=$G34)*(KZ34=LA34)+($F34&lt;$G34)*(KZ34&lt;LA34),"")</f>
        <v/>
      </c>
      <c r="LD34" s="449" t="str">
        <f ca="1">IF((LC34&lt;&gt;""),IF(OR($F34&lt;&gt;$G34,PrSettings!$M$4="●"),(($F34-$G34)=(KZ34-LA34))*1,0),"")</f>
        <v/>
      </c>
      <c r="LE34" s="449" t="str">
        <f ca="1" t="shared" si="433" ref="LE34:LE39">IF((LC34&lt;&gt;""),($F34=KZ34)*($G34=LA34),"")</f>
        <v/>
      </c>
      <c r="LF34" s="449" t="str">
        <f ca="1">IF(LC34&lt;&gt;"",IF(ABS($F34-$G34)&gt;=PrSettings!$M$7,(ABS($F34-$G34-KZ34+LA34)&lt;=1)*1,IF(AND(LC34,$F34=$G34,$F34&gt;=PrSettings!$M$6),(ABS(KZ34-$F34)&lt;=1)*1,IF(AND(ABS($F34-$G34-KZ34+LA34)&lt;=1,$F34+$G34&gt;=PrSettings!$M$8),(ABS(KZ34-$F34)&lt;=1)*(ABS(LA34-$G34)&lt;=1)*1,""))),"")</f>
        <v/>
      </c>
      <c r="LG34" s="454"/>
      <c r="LI34" s="447">
        <f ca="1" t="shared" si="434" ref="LI34:LI47">$B34</f>
        <v>8</v>
      </c>
      <c r="LJ34" s="448" t="str">
        <f ca="1">GrpE!$B$4</f>
        <v>Romania</v>
      </c>
      <c r="LK34" s="449">
        <f ca="1" t="shared" si="435" ref="LK34:LK39">$D34</f>
        <v>21</v>
      </c>
      <c r="LL34" s="448" t="str">
        <f ca="1">GrpE!$D$4</f>
        <v>Ukraine</v>
      </c>
      <c r="LM34" s="452"/>
      <c r="LN34" s="452"/>
      <c r="LO34" s="453"/>
      <c r="LP34" s="449" t="str">
        <f ca="1" t="shared" si="436" ref="LP34:LP39">IF(($F34&lt;&gt;"")*($G34&lt;&gt;"")*(LM34&lt;&gt;"")*(LN34&lt;&gt;""),($F34&gt;$G34)*(LM34&gt;LN34)+($F34=$G34)*(LM34=LN34)+($F34&lt;$G34)*(LM34&lt;LN34),"")</f>
        <v/>
      </c>
      <c r="LQ34" s="449" t="str">
        <f ca="1">IF((LP34&lt;&gt;""),IF(OR($F34&lt;&gt;$G34,PrSettings!$M$4="●"),(($F34-$G34)=(LM34-LN34))*1,0),"")</f>
        <v/>
      </c>
      <c r="LR34" s="449" t="str">
        <f ca="1" t="shared" si="437" ref="LR34:LR39">IF((LP34&lt;&gt;""),($F34=LM34)*($G34=LN34),"")</f>
        <v/>
      </c>
      <c r="LS34" s="449" t="str">
        <f ca="1">IF(LP34&lt;&gt;"",IF(ABS($F34-$G34)&gt;=PrSettings!$M$7,(ABS($F34-$G34-LM34+LN34)&lt;=1)*1,IF(AND(LP34,$F34=$G34,$F34&gt;=PrSettings!$M$6),(ABS(LM34-$F34)&lt;=1)*1,IF(AND(ABS($F34-$G34-LM34+LN34)&lt;=1,$F34+$G34&gt;=PrSettings!$M$8),(ABS(LM34-$F34)&lt;=1)*(ABS(LN34-$G34)&lt;=1)*1,""))),"")</f>
        <v/>
      </c>
      <c r="LT34" s="454"/>
      <c r="LV34" s="447">
        <f ca="1" t="shared" si="438" ref="LV34:LV47">$B34</f>
        <v>8</v>
      </c>
      <c r="LW34" s="448" t="str">
        <f ca="1">GrpE!$B$4</f>
        <v>Romania</v>
      </c>
      <c r="LX34" s="449">
        <f ca="1" t="shared" si="439" ref="LX34:LX39">$D34</f>
        <v>21</v>
      </c>
      <c r="LY34" s="448" t="str">
        <f ca="1">GrpE!$D$4</f>
        <v>Ukraine</v>
      </c>
      <c r="LZ34" s="452"/>
      <c r="MA34" s="452"/>
      <c r="MB34" s="453"/>
      <c r="MC34" s="449" t="str">
        <f ca="1" t="shared" si="440" ref="MC34:MC39">IF(($F34&lt;&gt;"")*($G34&lt;&gt;"")*(LZ34&lt;&gt;"")*(MA34&lt;&gt;""),($F34&gt;$G34)*(LZ34&gt;MA34)+($F34=$G34)*(LZ34=MA34)+($F34&lt;$G34)*(LZ34&lt;MA34),"")</f>
        <v/>
      </c>
      <c r="MD34" s="449" t="str">
        <f ca="1">IF((MC34&lt;&gt;""),IF(OR($F34&lt;&gt;$G34,PrSettings!$M$4="●"),(($F34-$G34)=(LZ34-MA34))*1,0),"")</f>
        <v/>
      </c>
      <c r="ME34" s="449" t="str">
        <f ca="1" t="shared" si="441" ref="ME34:ME39">IF((MC34&lt;&gt;""),($F34=LZ34)*($G34=MA34),"")</f>
        <v/>
      </c>
      <c r="MF34" s="449" t="str">
        <f ca="1">IF(MC34&lt;&gt;"",IF(ABS($F34-$G34)&gt;=PrSettings!$M$7,(ABS($F34-$G34-LZ34+MA34)&lt;=1)*1,IF(AND(MC34,$F34=$G34,$F34&gt;=PrSettings!$M$6),(ABS(LZ34-$F34)&lt;=1)*1,IF(AND(ABS($F34-$G34-LZ34+MA34)&lt;=1,$F34+$G34&gt;=PrSettings!$M$8),(ABS(LZ34-$F34)&lt;=1)*(ABS(MA34-$G34)&lt;=1)*1,""))),"")</f>
        <v/>
      </c>
      <c r="MG34" s="454"/>
    </row>
    <row r="35" spans="2:345" ht="15.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2:345" ht="15.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2:345" ht="15.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2:345" ht="15.5">
      <c r="B38" s="447">
        <f ca="1">INDEX(Groups!$C$7:$C$35,MATCH(C38,Groups!$D$7:$D$35,0))</f>
        <v>16</v>
      </c>
      <c r="C38" s="448" t="str">
        <f ca="1">GrpE!$B$8</f>
        <v>Slovakia</v>
      </c>
      <c r="D38" s="449">
        <f ca="1">INDEX(Groups!$C$7:$C$35,MATCH(E38,Groups!$D$7:$D$35,0))</f>
        <v>8</v>
      </c>
      <c r="E38" s="448" t="str">
        <f ca="1">GrpE!$D$8</f>
        <v>Romania</v>
      </c>
      <c r="F38" s="450">
        <f ca="1">GrpE!$E$8</f>
        <v>2</v>
      </c>
      <c r="G38" s="451">
        <f ca="1">GrpE!$G$8</f>
        <v>2</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2:345" ht="15.5">
      <c r="B39" s="447">
        <f ca="1">INDEX(Groups!$C$7:$C$35,MATCH(C39,Groups!$D$7:$D$35,0))</f>
        <v>21</v>
      </c>
      <c r="C39" s="448" t="str">
        <f ca="1">GrpE!$B$9</f>
        <v>Ukraine</v>
      </c>
      <c r="D39" s="449">
        <f ca="1">INDEX(Groups!$C$7:$C$35,MATCH(E39,Groups!$D$7:$D$35,0))</f>
        <v>4</v>
      </c>
      <c r="E39" s="448" t="str">
        <f ca="1">GrpE!$D$9</f>
        <v>Belgium</v>
      </c>
      <c r="F39" s="450">
        <f ca="1">GrpE!$E$9</f>
        <v>2</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2: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2:345" ht="15.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ca="1" t="shared" si="442" ref="K41:K46">$D41</f>
        <v>34</v>
      </c>
      <c r="L41" s="448" t="str">
        <f ca="1">GrpF!$D$4</f>
        <v>Georgia</v>
      </c>
      <c r="M41" s="452"/>
      <c r="N41" s="452"/>
      <c r="O41" s="453"/>
      <c r="P41" s="449" t="str">
        <f ca="1" t="shared" si="443" ref="P41:P46">IF(($F41&lt;&gt;"")*($G41&lt;&gt;"")*(M41&lt;&gt;"")*(N41&lt;&gt;""),($F41&gt;$G41)*(M41&gt;N41)+($F41=$G41)*(M41=N41)+($F41&lt;$G41)*(M41&lt;N41),"")</f>
        <v/>
      </c>
      <c r="Q41" s="449" t="str">
        <f ca="1">IF((P41&lt;&gt;""),IF(OR($F41&lt;&gt;$G41,PrSettings!$M$4="●"),(($F41-$G41)=(M41-N41))*1,0),"")</f>
        <v/>
      </c>
      <c r="R41" s="449" t="str">
        <f ca="1" t="shared" si="444" ref="R41:R46">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ca="1" t="shared" si="445" ref="X41:X46">$D41</f>
        <v>34</v>
      </c>
      <c r="Y41" s="448" t="str">
        <f ca="1">GrpF!$D$4</f>
        <v>Georgia</v>
      </c>
      <c r="Z41" s="452"/>
      <c r="AA41" s="452"/>
      <c r="AB41" s="453"/>
      <c r="AC41" s="449" t="str">
        <f ca="1" t="shared" si="446" ref="AC41:AC46">IF(($F41&lt;&gt;"")*($G41&lt;&gt;"")*(Z41&lt;&gt;"")*(AA41&lt;&gt;""),($F41&gt;$G41)*(Z41&gt;AA41)+($F41=$G41)*(Z41=AA41)+($F41&lt;$G41)*(Z41&lt;AA41),"")</f>
        <v/>
      </c>
      <c r="AD41" s="449" t="str">
        <f ca="1">IF((AC41&lt;&gt;""),IF(OR($F41&lt;&gt;$G41,PrSettings!$M$4="●"),(($F41-$G41)=(Z41-AA41))*1,0),"")</f>
        <v/>
      </c>
      <c r="AE41" s="449" t="str">
        <f ca="1" t="shared" si="447" ref="AE41:AE46">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ca="1" t="shared" si="448" ref="AK41:AK46">$D41</f>
        <v>34</v>
      </c>
      <c r="AL41" s="448" t="str">
        <f ca="1">GrpF!$D$4</f>
        <v>Georgia</v>
      </c>
      <c r="AM41" s="452"/>
      <c r="AN41" s="452"/>
      <c r="AO41" s="453"/>
      <c r="AP41" s="449" t="str">
        <f ca="1" t="shared" si="449" ref="AP41:AP46">IF(($F41&lt;&gt;"")*($G41&lt;&gt;"")*(AM41&lt;&gt;"")*(AN41&lt;&gt;""),($F41&gt;$G41)*(AM41&gt;AN41)+($F41=$G41)*(AM41=AN41)+($F41&lt;$G41)*(AM41&lt;AN41),"")</f>
        <v/>
      </c>
      <c r="AQ41" s="449" t="str">
        <f ca="1">IF((AP41&lt;&gt;""),IF(OR($F41&lt;&gt;$G41,PrSettings!$M$4="●"),(($F41-$G41)=(AM41-AN41))*1,0),"")</f>
        <v/>
      </c>
      <c r="AR41" s="449" t="str">
        <f ca="1" t="shared" si="450" ref="AR41:AR46">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ca="1" t="shared" si="451" ref="AX41:AX46">$D41</f>
        <v>34</v>
      </c>
      <c r="AY41" s="448" t="str">
        <f ca="1">GrpF!$D$4</f>
        <v>Georgia</v>
      </c>
      <c r="AZ41" s="452"/>
      <c r="BA41" s="452"/>
      <c r="BB41" s="453"/>
      <c r="BC41" s="449" t="str">
        <f ca="1" t="shared" si="452" ref="BC41:BC46">IF(($F41&lt;&gt;"")*($G41&lt;&gt;"")*(AZ41&lt;&gt;"")*(BA41&lt;&gt;""),($F41&gt;$G41)*(AZ41&gt;BA41)+($F41=$G41)*(AZ41=BA41)+($F41&lt;$G41)*(AZ41&lt;BA41),"")</f>
        <v/>
      </c>
      <c r="BD41" s="449" t="str">
        <f ca="1">IF((BC41&lt;&gt;""),IF(OR($F41&lt;&gt;$G41,PrSettings!$M$4="●"),(($F41-$G41)=(AZ41-BA41))*1,0),"")</f>
        <v/>
      </c>
      <c r="BE41" s="449" t="str">
        <f ca="1" t="shared" si="453" ref="BE41:BE46">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ca="1" t="shared" si="454" ref="BK41:BK46">$D41</f>
        <v>34</v>
      </c>
      <c r="BL41" s="448" t="str">
        <f ca="1">GrpF!$D$4</f>
        <v>Georgia</v>
      </c>
      <c r="BM41" s="452"/>
      <c r="BN41" s="452"/>
      <c r="BO41" s="453"/>
      <c r="BP41" s="449" t="str">
        <f ca="1" t="shared" si="455" ref="BP41:BP46">IF(($F41&lt;&gt;"")*($G41&lt;&gt;"")*(BM41&lt;&gt;"")*(BN41&lt;&gt;""),($F41&gt;$G41)*(BM41&gt;BN41)+($F41=$G41)*(BM41=BN41)+($F41&lt;$G41)*(BM41&lt;BN41),"")</f>
        <v/>
      </c>
      <c r="BQ41" s="449" t="str">
        <f ca="1">IF((BP41&lt;&gt;""),IF(OR($F41&lt;&gt;$G41,PrSettings!$M$4="●"),(($F41-$G41)=(BM41-BN41))*1,0),"")</f>
        <v/>
      </c>
      <c r="BR41" s="449" t="str">
        <f ca="1" t="shared" si="456" ref="BR41:BR4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ca="1" t="shared" si="457" ref="BX41:BX46">$D41</f>
        <v>34</v>
      </c>
      <c r="BY41" s="448" t="str">
        <f ca="1">GrpF!$D$4</f>
        <v>Georgia</v>
      </c>
      <c r="BZ41" s="452"/>
      <c r="CA41" s="452"/>
      <c r="CB41" s="453"/>
      <c r="CC41" s="449" t="str">
        <f ca="1" t="shared" si="458" ref="CC41:CC46">IF(($F41&lt;&gt;"")*($G41&lt;&gt;"")*(BZ41&lt;&gt;"")*(CA41&lt;&gt;""),($F41&gt;$G41)*(BZ41&gt;CA41)+($F41=$G41)*(BZ41=CA41)+($F41&lt;$G41)*(BZ41&lt;CA41),"")</f>
        <v/>
      </c>
      <c r="CD41" s="449" t="str">
        <f ca="1">IF((CC41&lt;&gt;""),IF(OR($F41&lt;&gt;$G41,PrSettings!$M$4="●"),(($F41-$G41)=(BZ41-CA41))*1,0),"")</f>
        <v/>
      </c>
      <c r="CE41" s="449" t="str">
        <f ca="1" t="shared" si="459" ref="CE41:CE46">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ca="1" t="shared" si="460" ref="CK41:CK46">$D41</f>
        <v>34</v>
      </c>
      <c r="CL41" s="448" t="str">
        <f ca="1">GrpF!$D$4</f>
        <v>Georgia</v>
      </c>
      <c r="CM41" s="452"/>
      <c r="CN41" s="452"/>
      <c r="CO41" s="453"/>
      <c r="CP41" s="449" t="str">
        <f ca="1" t="shared" si="461" ref="CP41:CP46">IF(($F41&lt;&gt;"")*($G41&lt;&gt;"")*(CM41&lt;&gt;"")*(CN41&lt;&gt;""),($F41&gt;$G41)*(CM41&gt;CN41)+($F41=$G41)*(CM41=CN41)+($F41&lt;$G41)*(CM41&lt;CN41),"")</f>
        <v/>
      </c>
      <c r="CQ41" s="449" t="str">
        <f ca="1">IF((CP41&lt;&gt;""),IF(OR($F41&lt;&gt;$G41,PrSettings!$M$4="●"),(($F41-$G41)=(CM41-CN41))*1,0),"")</f>
        <v/>
      </c>
      <c r="CR41" s="449" t="str">
        <f ca="1" t="shared" si="462" ref="CR41:CR46">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ca="1" t="shared" si="463" ref="CX41:CX46">$D41</f>
        <v>34</v>
      </c>
      <c r="CY41" s="448" t="str">
        <f ca="1">GrpF!$D$4</f>
        <v>Georgia</v>
      </c>
      <c r="CZ41" s="452"/>
      <c r="DA41" s="452"/>
      <c r="DB41" s="453"/>
      <c r="DC41" s="449" t="str">
        <f ca="1" t="shared" si="464" ref="DC41:DC46">IF(($F41&lt;&gt;"")*($G41&lt;&gt;"")*(CZ41&lt;&gt;"")*(DA41&lt;&gt;""),($F41&gt;$G41)*(CZ41&gt;DA41)+($F41=$G41)*(CZ41=DA41)+($F41&lt;$G41)*(CZ41&lt;DA41),"")</f>
        <v/>
      </c>
      <c r="DD41" s="449" t="str">
        <f ca="1">IF((DC41&lt;&gt;""),IF(OR($F41&lt;&gt;$G41,PrSettings!$M$4="●"),(($F41-$G41)=(CZ41-DA41))*1,0),"")</f>
        <v/>
      </c>
      <c r="DE41" s="449" t="str">
        <f ca="1" t="shared" si="465" ref="DE41:DE46">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ca="1" t="shared" si="466" ref="DK41:DK46">$D41</f>
        <v>34</v>
      </c>
      <c r="DL41" s="448" t="str">
        <f ca="1">GrpF!$D$4</f>
        <v>Georgia</v>
      </c>
      <c r="DM41" s="452"/>
      <c r="DN41" s="452"/>
      <c r="DO41" s="453"/>
      <c r="DP41" s="449" t="str">
        <f ca="1" t="shared" si="467" ref="DP41:DP46">IF(($F41&lt;&gt;"")*($G41&lt;&gt;"")*(DM41&lt;&gt;"")*(DN41&lt;&gt;""),($F41&gt;$G41)*(DM41&gt;DN41)+($F41=$G41)*(DM41=DN41)+($F41&lt;$G41)*(DM41&lt;DN41),"")</f>
        <v/>
      </c>
      <c r="DQ41" s="449" t="str">
        <f ca="1">IF((DP41&lt;&gt;""),IF(OR($F41&lt;&gt;$G41,PrSettings!$M$4="●"),(($F41-$G41)=(DM41-DN41))*1,0),"")</f>
        <v/>
      </c>
      <c r="DR41" s="449" t="str">
        <f ca="1" t="shared" si="468" ref="DR41:DR46">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ca="1" t="shared" si="469" ref="DX41:DX46">$D41</f>
        <v>34</v>
      </c>
      <c r="DY41" s="448" t="str">
        <f ca="1">GrpF!$D$4</f>
        <v>Georgia</v>
      </c>
      <c r="DZ41" s="452"/>
      <c r="EA41" s="452"/>
      <c r="EB41" s="453"/>
      <c r="EC41" s="449" t="str">
        <f ca="1" t="shared" si="470" ref="EC41:EC46">IF(($F41&lt;&gt;"")*($G41&lt;&gt;"")*(DZ41&lt;&gt;"")*(EA41&lt;&gt;""),($F41&gt;$G41)*(DZ41&gt;EA41)+($F41=$G41)*(DZ41=EA41)+($F41&lt;$G41)*(DZ41&lt;EA41),"")</f>
        <v/>
      </c>
      <c r="ED41" s="449" t="str">
        <f ca="1">IF((EC41&lt;&gt;""),IF(OR($F41&lt;&gt;$G41,PrSettings!$M$4="●"),(($F41-$G41)=(DZ41-EA41))*1,0),"")</f>
        <v/>
      </c>
      <c r="EE41" s="449" t="str">
        <f ca="1" t="shared" si="471" ref="EE41:EE46">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ca="1" t="shared" si="472" ref="EK41:EK46">$D41</f>
        <v>34</v>
      </c>
      <c r="EL41" s="448" t="str">
        <f ca="1">GrpF!$D$4</f>
        <v>Georgia</v>
      </c>
      <c r="EM41" s="452"/>
      <c r="EN41" s="452"/>
      <c r="EO41" s="453"/>
      <c r="EP41" s="449" t="str">
        <f ca="1" t="shared" si="473" ref="EP41:EP46">IF(($F41&lt;&gt;"")*($G41&lt;&gt;"")*(EM41&lt;&gt;"")*(EN41&lt;&gt;""),($F41&gt;$G41)*(EM41&gt;EN41)+($F41=$G41)*(EM41=EN41)+($F41&lt;$G41)*(EM41&lt;EN41),"")</f>
        <v/>
      </c>
      <c r="EQ41" s="449" t="str">
        <f ca="1">IF((EP41&lt;&gt;""),IF(OR($F41&lt;&gt;$G41,PrSettings!$M$4="●"),(($F41-$G41)=(EM41-EN41))*1,0),"")</f>
        <v/>
      </c>
      <c r="ER41" s="449" t="str">
        <f ca="1" t="shared" si="474" ref="ER41:ER46">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ca="1" t="shared" si="475" ref="EX41:EX46">$D41</f>
        <v>34</v>
      </c>
      <c r="EY41" s="448" t="str">
        <f ca="1">GrpF!$D$4</f>
        <v>Georgia</v>
      </c>
      <c r="EZ41" s="452"/>
      <c r="FA41" s="452"/>
      <c r="FB41" s="453"/>
      <c r="FC41" s="449" t="str">
        <f ca="1" t="shared" si="476" ref="FC41:FC46">IF(($F41&lt;&gt;"")*($G41&lt;&gt;"")*(EZ41&lt;&gt;"")*(FA41&lt;&gt;""),($F41&gt;$G41)*(EZ41&gt;FA41)+($F41=$G41)*(EZ41=FA41)+($F41&lt;$G41)*(EZ41&lt;FA41),"")</f>
        <v/>
      </c>
      <c r="FD41" s="449" t="str">
        <f ca="1">IF((FC41&lt;&gt;""),IF(OR($F41&lt;&gt;$G41,PrSettings!$M$4="●"),(($F41-$G41)=(EZ41-FA41))*1,0),"")</f>
        <v/>
      </c>
      <c r="FE41" s="449" t="str">
        <f ca="1" t="shared" si="477" ref="FE41:FE46">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ca="1" t="shared" si="478" ref="FK41:FK46">$D41</f>
        <v>34</v>
      </c>
      <c r="FL41" s="448" t="str">
        <f ca="1">GrpF!$D$4</f>
        <v>Georgia</v>
      </c>
      <c r="FM41" s="452"/>
      <c r="FN41" s="452"/>
      <c r="FO41" s="453"/>
      <c r="FP41" s="449" t="str">
        <f ca="1" t="shared" si="479" ref="FP41:FP46">IF(($F41&lt;&gt;"")*($G41&lt;&gt;"")*(FM41&lt;&gt;"")*(FN41&lt;&gt;""),($F41&gt;$G41)*(FM41&gt;FN41)+($F41=$G41)*(FM41=FN41)+($F41&lt;$G41)*(FM41&lt;FN41),"")</f>
        <v/>
      </c>
      <c r="FQ41" s="449" t="str">
        <f ca="1">IF((FP41&lt;&gt;""),IF(OR($F41&lt;&gt;$G41,PrSettings!$M$4="●"),(($F41-$G41)=(FM41-FN41))*1,0),"")</f>
        <v/>
      </c>
      <c r="FR41" s="449" t="str">
        <f ca="1" t="shared" si="480" ref="FR41:FR46">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ca="1" t="shared" si="481" ref="FX41:FX46">$D41</f>
        <v>34</v>
      </c>
      <c r="FY41" s="448" t="str">
        <f ca="1">GrpF!$D$4</f>
        <v>Georgia</v>
      </c>
      <c r="FZ41" s="452"/>
      <c r="GA41" s="452"/>
      <c r="GB41" s="453"/>
      <c r="GC41" s="449" t="str">
        <f ca="1" t="shared" si="482" ref="GC41:GC46">IF(($F41&lt;&gt;"")*($G41&lt;&gt;"")*(FZ41&lt;&gt;"")*(GA41&lt;&gt;""),($F41&gt;$G41)*(FZ41&gt;GA41)+($F41=$G41)*(FZ41=GA41)+($F41&lt;$G41)*(FZ41&lt;GA41),"")</f>
        <v/>
      </c>
      <c r="GD41" s="449" t="str">
        <f ca="1">IF((GC41&lt;&gt;""),IF(OR($F41&lt;&gt;$G41,PrSettings!$M$4="●"),(($F41-$G41)=(FZ41-GA41))*1,0),"")</f>
        <v/>
      </c>
      <c r="GE41" s="449" t="str">
        <f ca="1" t="shared" si="483" ref="GE41:GE46">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ca="1" t="shared" si="484" ref="GK41:GK46">$D41</f>
        <v>34</v>
      </c>
      <c r="GL41" s="448" t="str">
        <f ca="1">GrpF!$D$4</f>
        <v>Georgia</v>
      </c>
      <c r="GM41" s="452"/>
      <c r="GN41" s="452"/>
      <c r="GO41" s="453"/>
      <c r="GP41" s="449" t="str">
        <f ca="1" t="shared" si="485" ref="GP41:GP46">IF(($F41&lt;&gt;"")*($G41&lt;&gt;"")*(GM41&lt;&gt;"")*(GN41&lt;&gt;""),($F41&gt;$G41)*(GM41&gt;GN41)+($F41=$G41)*(GM41=GN41)+($F41&lt;$G41)*(GM41&lt;GN41),"")</f>
        <v/>
      </c>
      <c r="GQ41" s="449" t="str">
        <f ca="1">IF((GP41&lt;&gt;""),IF(OR($F41&lt;&gt;$G41,PrSettings!$M$4="●"),(($F41-$G41)=(GM41-GN41))*1,0),"")</f>
        <v/>
      </c>
      <c r="GR41" s="449" t="str">
        <f ca="1" t="shared" si="486" ref="GR41:GR4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ca="1" t="shared" si="487" ref="GX41:GX46">$D41</f>
        <v>34</v>
      </c>
      <c r="GY41" s="448" t="str">
        <f ca="1">GrpF!$D$4</f>
        <v>Georgia</v>
      </c>
      <c r="GZ41" s="452"/>
      <c r="HA41" s="452"/>
      <c r="HB41" s="453"/>
      <c r="HC41" s="449" t="str">
        <f ca="1" t="shared" si="488" ref="HC41:HC46">IF(($F41&lt;&gt;"")*($G41&lt;&gt;"")*(GZ41&lt;&gt;"")*(HA41&lt;&gt;""),($F41&gt;$G41)*(GZ41&gt;HA41)+($F41=$G41)*(GZ41=HA41)+($F41&lt;$G41)*(GZ41&lt;HA41),"")</f>
        <v/>
      </c>
      <c r="HD41" s="449" t="str">
        <f ca="1">IF((HC41&lt;&gt;""),IF(OR($F41&lt;&gt;$G41,PrSettings!$M$4="●"),(($F41-$G41)=(GZ41-HA41))*1,0),"")</f>
        <v/>
      </c>
      <c r="HE41" s="449" t="str">
        <f ca="1" t="shared" si="489" ref="HE41:HE46">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ca="1" t="shared" si="490" ref="HK41:HK46">$D41</f>
        <v>34</v>
      </c>
      <c r="HL41" s="448" t="str">
        <f ca="1">GrpF!$D$4</f>
        <v>Georgia</v>
      </c>
      <c r="HM41" s="452"/>
      <c r="HN41" s="452"/>
      <c r="HO41" s="453"/>
      <c r="HP41" s="449" t="str">
        <f ca="1" t="shared" si="491" ref="HP41:HP46">IF(($F41&lt;&gt;"")*($G41&lt;&gt;"")*(HM41&lt;&gt;"")*(HN41&lt;&gt;""),($F41&gt;$G41)*(HM41&gt;HN41)+($F41=$G41)*(HM41=HN41)+($F41&lt;$G41)*(HM41&lt;HN41),"")</f>
        <v/>
      </c>
      <c r="HQ41" s="449" t="str">
        <f ca="1">IF((HP41&lt;&gt;""),IF(OR($F41&lt;&gt;$G41,PrSettings!$M$4="●"),(($F41-$G41)=(HM41-HN41))*1,0),"")</f>
        <v/>
      </c>
      <c r="HR41" s="449" t="str">
        <f ca="1" t="shared" si="492" ref="HR41:HR46">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ca="1" t="shared" si="493" ref="HX41:HX46">$D41</f>
        <v>34</v>
      </c>
      <c r="HY41" s="448" t="str">
        <f ca="1">GrpF!$D$4</f>
        <v>Georgia</v>
      </c>
      <c r="HZ41" s="452"/>
      <c r="IA41" s="452"/>
      <c r="IB41" s="453"/>
      <c r="IC41" s="449" t="str">
        <f ca="1" t="shared" si="494" ref="IC41:IC46">IF(($F41&lt;&gt;"")*($G41&lt;&gt;"")*(HZ41&lt;&gt;"")*(IA41&lt;&gt;""),($F41&gt;$G41)*(HZ41&gt;IA41)+($F41=$G41)*(HZ41=IA41)+($F41&lt;$G41)*(HZ41&lt;IA41),"")</f>
        <v/>
      </c>
      <c r="ID41" s="449" t="str">
        <f ca="1">IF((IC41&lt;&gt;""),IF(OR($F41&lt;&gt;$G41,PrSettings!$M$4="●"),(($F41-$G41)=(HZ41-IA41))*1,0),"")</f>
        <v/>
      </c>
      <c r="IE41" s="449" t="str">
        <f ca="1" t="shared" si="495" ref="IE41:IE46">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ca="1" t="shared" si="496" ref="IK41:IK46">$D41</f>
        <v>34</v>
      </c>
      <c r="IL41" s="448" t="str">
        <f ca="1">GrpF!$D$4</f>
        <v>Georgia</v>
      </c>
      <c r="IM41" s="452"/>
      <c r="IN41" s="452"/>
      <c r="IO41" s="453"/>
      <c r="IP41" s="449" t="str">
        <f ca="1" t="shared" si="497" ref="IP41:IP46">IF(($F41&lt;&gt;"")*($G41&lt;&gt;"")*(IM41&lt;&gt;"")*(IN41&lt;&gt;""),($F41&gt;$G41)*(IM41&gt;IN41)+($F41=$G41)*(IM41=IN41)+($F41&lt;$G41)*(IM41&lt;IN41),"")</f>
        <v/>
      </c>
      <c r="IQ41" s="449" t="str">
        <f ca="1">IF((IP41&lt;&gt;""),IF(OR($F41&lt;&gt;$G41,PrSettings!$M$4="●"),(($F41-$G41)=(IM41-IN41))*1,0),"")</f>
        <v/>
      </c>
      <c r="IR41" s="449" t="str">
        <f ca="1" t="shared" si="498" ref="IR41:IR46">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ca="1" t="shared" si="499" ref="IX41:IX46">$D41</f>
        <v>34</v>
      </c>
      <c r="IY41" s="448" t="str">
        <f ca="1">GrpF!$D$4</f>
        <v>Georgia</v>
      </c>
      <c r="IZ41" s="452"/>
      <c r="JA41" s="452"/>
      <c r="JB41" s="453"/>
      <c r="JC41" s="449" t="str">
        <f ca="1" t="shared" si="500" ref="JC41:JC46">IF(($F41&lt;&gt;"")*($G41&lt;&gt;"")*(IZ41&lt;&gt;"")*(JA41&lt;&gt;""),($F41&gt;$G41)*(IZ41&gt;JA41)+($F41=$G41)*(IZ41=JA41)+($F41&lt;$G41)*(IZ41&lt;JA41),"")</f>
        <v/>
      </c>
      <c r="JD41" s="449" t="str">
        <f ca="1">IF((JC41&lt;&gt;""),IF(OR($F41&lt;&gt;$G41,PrSettings!$M$4="●"),(($F41-$G41)=(IZ41-JA41))*1,0),"")</f>
        <v/>
      </c>
      <c r="JE41" s="449" t="str">
        <f ca="1" t="shared" si="501" ref="JE41:JE46">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ca="1" t="shared" si="502" ref="JK41:JK46">$D41</f>
        <v>34</v>
      </c>
      <c r="JL41" s="448" t="str">
        <f ca="1">GrpF!$D$4</f>
        <v>Georgia</v>
      </c>
      <c r="JM41" s="452"/>
      <c r="JN41" s="452"/>
      <c r="JO41" s="453"/>
      <c r="JP41" s="449" t="str">
        <f ca="1" t="shared" si="503" ref="JP41:JP46">IF(($F41&lt;&gt;"")*($G41&lt;&gt;"")*(JM41&lt;&gt;"")*(JN41&lt;&gt;""),($F41&gt;$G41)*(JM41&gt;JN41)+($F41=$G41)*(JM41=JN41)+($F41&lt;$G41)*(JM41&lt;JN41),"")</f>
        <v/>
      </c>
      <c r="JQ41" s="449" t="str">
        <f ca="1">IF((JP41&lt;&gt;""),IF(OR($F41&lt;&gt;$G41,PrSettings!$M$4="●"),(($F41-$G41)=(JM41-JN41))*1,0),"")</f>
        <v/>
      </c>
      <c r="JR41" s="449" t="str">
        <f ca="1" t="shared" si="504" ref="JR41:JR46">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ca="1" t="shared" si="505" ref="JX41:JX46">$D41</f>
        <v>34</v>
      </c>
      <c r="JY41" s="448" t="str">
        <f ca="1">GrpF!$D$4</f>
        <v>Georgia</v>
      </c>
      <c r="JZ41" s="452"/>
      <c r="KA41" s="452"/>
      <c r="KB41" s="453"/>
      <c r="KC41" s="449" t="str">
        <f ca="1" t="shared" si="506" ref="KC41:KC46">IF(($F41&lt;&gt;"")*($G41&lt;&gt;"")*(JZ41&lt;&gt;"")*(KA41&lt;&gt;""),($F41&gt;$G41)*(JZ41&gt;KA41)+($F41=$G41)*(JZ41=KA41)+($F41&lt;$G41)*(JZ41&lt;KA41),"")</f>
        <v/>
      </c>
      <c r="KD41" s="449" t="str">
        <f ca="1">IF((KC41&lt;&gt;""),IF(OR($F41&lt;&gt;$G41,PrSettings!$M$4="●"),(($F41-$G41)=(JZ41-KA41))*1,0),"")</f>
        <v/>
      </c>
      <c r="KE41" s="449" t="str">
        <f ca="1" t="shared" si="507" ref="KE41:KE46">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ca="1" t="shared" si="508" ref="KK41:KK46">$D41</f>
        <v>34</v>
      </c>
      <c r="KL41" s="448" t="str">
        <f ca="1">GrpF!$D$4</f>
        <v>Georgia</v>
      </c>
      <c r="KM41" s="452"/>
      <c r="KN41" s="452"/>
      <c r="KO41" s="453"/>
      <c r="KP41" s="449" t="str">
        <f ca="1" t="shared" si="509" ref="KP41:KP46">IF(($F41&lt;&gt;"")*($G41&lt;&gt;"")*(KM41&lt;&gt;"")*(KN41&lt;&gt;""),($F41&gt;$G41)*(KM41&gt;KN41)+($F41=$G41)*(KM41=KN41)+($F41&lt;$G41)*(KM41&lt;KN41),"")</f>
        <v/>
      </c>
      <c r="KQ41" s="449" t="str">
        <f ca="1">IF((KP41&lt;&gt;""),IF(OR($F41&lt;&gt;$G41,PrSettings!$M$4="●"),(($F41-$G41)=(KM41-KN41))*1,0),"")</f>
        <v/>
      </c>
      <c r="KR41" s="449" t="str">
        <f ca="1" t="shared" si="510" ref="KR41:KR46">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ca="1" t="shared" si="511" ref="KX41:KX46">$D41</f>
        <v>34</v>
      </c>
      <c r="KY41" s="448" t="str">
        <f ca="1">GrpF!$D$4</f>
        <v>Georgia</v>
      </c>
      <c r="KZ41" s="452"/>
      <c r="LA41" s="452"/>
      <c r="LB41" s="453"/>
      <c r="LC41" s="449" t="str">
        <f ca="1" t="shared" si="512" ref="LC41:LC46">IF(($F41&lt;&gt;"")*($G41&lt;&gt;"")*(KZ41&lt;&gt;"")*(LA41&lt;&gt;""),($F41&gt;$G41)*(KZ41&gt;LA41)+($F41=$G41)*(KZ41=LA41)+($F41&lt;$G41)*(KZ41&lt;LA41),"")</f>
        <v/>
      </c>
      <c r="LD41" s="449" t="str">
        <f ca="1">IF((LC41&lt;&gt;""),IF(OR($F41&lt;&gt;$G41,PrSettings!$M$4="●"),(($F41-$G41)=(KZ41-LA41))*1,0),"")</f>
        <v/>
      </c>
      <c r="LE41" s="449" t="str">
        <f ca="1" t="shared" si="513" ref="LE41:LE46">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ca="1" t="shared" si="514" ref="LK41:LK46">$D41</f>
        <v>34</v>
      </c>
      <c r="LL41" s="448" t="str">
        <f ca="1">GrpF!$D$4</f>
        <v>Georgia</v>
      </c>
      <c r="LM41" s="452"/>
      <c r="LN41" s="452"/>
      <c r="LO41" s="453"/>
      <c r="LP41" s="449" t="str">
        <f ca="1" t="shared" si="515" ref="LP41:LP46">IF(($F41&lt;&gt;"")*($G41&lt;&gt;"")*(LM41&lt;&gt;"")*(LN41&lt;&gt;""),($F41&gt;$G41)*(LM41&gt;LN41)+($F41=$G41)*(LM41=LN41)+($F41&lt;$G41)*(LM41&lt;LN41),"")</f>
        <v/>
      </c>
      <c r="LQ41" s="449" t="str">
        <f ca="1">IF((LP41&lt;&gt;""),IF(OR($F41&lt;&gt;$G41,PrSettings!$M$4="●"),(($F41-$G41)=(LM41-LN41))*1,0),"")</f>
        <v/>
      </c>
      <c r="LR41" s="449" t="str">
        <f ca="1" t="shared" si="516" ref="LR41:LR4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ca="1" t="shared" si="517" ref="LX41:LX46">$D41</f>
        <v>34</v>
      </c>
      <c r="LY41" s="448" t="str">
        <f ca="1">GrpF!$D$4</f>
        <v>Georgia</v>
      </c>
      <c r="LZ41" s="452"/>
      <c r="MA41" s="452"/>
      <c r="MB41" s="453"/>
      <c r="MC41" s="449" t="str">
        <f ca="1" t="shared" si="518" ref="MC41:MC46">IF(($F41&lt;&gt;"")*($G41&lt;&gt;"")*(LZ41&lt;&gt;"")*(MA41&lt;&gt;""),($F41&gt;$G41)*(LZ41&gt;MA41)+($F41=$G41)*(LZ41=MA41)+($F41&lt;$G41)*(LZ41&lt;MA41),"")</f>
        <v/>
      </c>
      <c r="MD41" s="449" t="str">
        <f ca="1">IF((MC41&lt;&gt;""),IF(OR($F41&lt;&gt;$G41,PrSettings!$M$4="●"),(($F41-$G41)=(LZ41-MA41))*1,0),"")</f>
        <v/>
      </c>
      <c r="ME41" s="449" t="str">
        <f ca="1" t="shared" si="519" ref="ME41:ME46">IF((MC41&lt;&gt;""),($F41=LZ41)*($G41=MA41),"")</f>
        <v/>
      </c>
      <c r="MF41" s="449" t="str">
        <f ca="1">IF(MC41&lt;&gt;"",IF(ABS($F41-$G41)&gt;=PrSettings!$M$7,(ABS($F41-$G41-LZ41+MA41)&lt;=1)*1,IF(AND(MC41,$F41=$G41,$F41&gt;=PrSettings!$M$6),(ABS(LZ41-$F41)&lt;=1)*1,IF(AND(ABS($F41-$G41-LZ41+MA41)&lt;=1,$F41+$G41&gt;=PrSettings!$M$8),(ABS(LZ41-$F41)&lt;=1)*(ABS(MA41-$G41)&lt;=1)*1,""))),"")</f>
        <v/>
      </c>
      <c r="MG41" s="454"/>
    </row>
    <row r="42" spans="2:345" ht="15.5">
      <c r="B42" s="447">
        <f ca="1">INDEX(Groups!$C$7:$C$35,MATCH(C42,Groups!$D$7:$D$35,0))</f>
        <v>1</v>
      </c>
      <c r="C42" s="448" t="str">
        <f ca="1">GrpF!$B$5</f>
        <v>Portugal</v>
      </c>
      <c r="D42" s="449">
        <f ca="1">INDEX(Groups!$C$7:$C$35,MATCH(E42,Groups!$D$7:$D$35,0))</f>
        <v>17</v>
      </c>
      <c r="E42" s="448" t="str">
        <f ca="1">GrpF!$D$5</f>
        <v>Czechia</v>
      </c>
      <c r="F42" s="450">
        <f ca="1">GrpF!$E$5</f>
        <v>1</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2:345" ht="15.5">
      <c r="B43" s="447">
        <f ca="1">INDEX(Groups!$C$7:$C$35,MATCH(C43,Groups!$D$7:$D$35,0))</f>
        <v>34</v>
      </c>
      <c r="C43" s="448" t="str">
        <f ca="1">GrpF!$B$6</f>
        <v>Georgia</v>
      </c>
      <c r="D43" s="449">
        <f ca="1">INDEX(Groups!$C$7:$C$35,MATCH(E43,Groups!$D$7:$D$35,0))</f>
        <v>17</v>
      </c>
      <c r="E43" s="448" t="str">
        <f ca="1">GrpF!$D$6</f>
        <v>Czechia</v>
      </c>
      <c r="F43" s="450">
        <f ca="1">GrpF!$E$6</f>
        <v>1</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2:345" ht="15.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2:345" ht="15.5">
      <c r="B45" s="447">
        <f ca="1">INDEX(Groups!$C$7:$C$35,MATCH(C45,Groups!$D$7:$D$35,0))</f>
        <v>34</v>
      </c>
      <c r="C45" s="448" t="str">
        <f ca="1">GrpF!$B$8</f>
        <v>Georgia</v>
      </c>
      <c r="D45" s="449">
        <f ca="1">INDEX(Groups!$C$7:$C$35,MATCH(E45,Groups!$D$7:$D$35,0))</f>
        <v>1</v>
      </c>
      <c r="E45" s="448" t="str">
        <f ca="1">GrpF!$D$8</f>
        <v>Portugal</v>
      </c>
      <c r="F45" s="450">
        <f ca="1">GrpF!$E$8</f>
        <v>1</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2:345" ht="15.5">
      <c r="B46" s="447">
        <f ca="1">INDEX(Groups!$C$7:$C$35,MATCH(C46,Groups!$D$7:$D$35,0))</f>
        <v>17</v>
      </c>
      <c r="C46" s="448" t="str">
        <f ca="1">GrpF!$B$9</f>
        <v>Czechia</v>
      </c>
      <c r="D46" s="449">
        <f ca="1">INDEX(Groups!$C$7:$C$35,MATCH(E46,Groups!$D$7:$D$35,0))</f>
        <v>7</v>
      </c>
      <c r="E46" s="448" t="str">
        <f ca="1">GrpF!$D$9</f>
        <v>Türkiye</v>
      </c>
      <c r="F46" s="450">
        <f ca="1">GrpF!$E$9</f>
        <v>1</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ht="15.5">
      <c r="A48" s="428"/>
      <c r="B48" s="447">
        <f ca="1">IF(C48="","",INDEX(Groups!$C$7:$C$35,MATCH(C48,Groups!$D$7:$D$35,0)))</f>
        <v>14</v>
      </c>
      <c r="C48" s="448" t="str">
        <f ca="1">INDIRECT("'"&amp;References!$A$1&amp;"'!"&amp;"$B$54")</f>
        <v>Croatia</v>
      </c>
      <c r="D48" s="449">
        <f ca="1">IF(E48="","",INDEX(Groups!$C$7:$C$35,MATCH(E48,Groups!$D$7:$D$35,0)))</f>
        <v>13</v>
      </c>
      <c r="E48" s="448" t="str">
        <f ca="1">INDIRECT("'"&amp;References!$A$1&amp;"'!"&amp;"$C$54")</f>
        <v>Scotland</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si="520" ref="R48:R55">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si="521" ref="AE48:AE55">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si="522" ref="AR48:AR55">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si="523" ref="BE48:BE55">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si="524" ref="BR48:BR55">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si="525" ref="CE48:CE5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si="526" ref="CR48:CR55">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si="527" ref="DE48:DE55">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si="528" ref="DR48:DR55">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si="529" ref="EE48:EE55">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si="530" ref="ER48:ER55">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si="531" ref="FE48:FE55">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si="532" ref="FR48:FR55">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si="533" ref="GE48:GE55">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si="534" ref="GR48:GR55">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si="535" ref="HE48:HE5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si="536" ref="HR48:HR55">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si="537" ref="IE48:IE55">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si="538" ref="IR48:IR55">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si="539" ref="JE48:JE55">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si="540" ref="JR48:JR55">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si="541" ref="KE48:KE55">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si="542" ref="KR48:KR55">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si="543" ref="LE48:LE55">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si="544" ref="LR48:LR55">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si="545" ref="ME48:ME55">COUNTIF(LV$48:LV$55,LX48)+COUNTIF(LX$48:LX$55,LX48)</f>
        <v>0</v>
      </c>
      <c r="MF48" s="466"/>
      <c r="MG48" s="467" t="str">
        <f>IF(OR(LV48&lt;&gt;"",LX48&lt;&gt;""),IF(MD48&lt;&gt;1,0,COUNTIF($B$48:$B$55,LV48)+COUNTIF($D$48:$D$55,LV48))+IF(ME48&lt;&gt;1,0,COUNTIF($B$48:$B$55,LX48)+COUNTIF($D$48:$D$55,LX48)),"")</f>
        <v/>
      </c>
    </row>
    <row r="49" spans="1:345" s="25" customFormat="1" ht="15.5">
      <c r="A49" s="428"/>
      <c r="B49" s="447">
        <f ca="1">IF(C49="","",INDEX(Groups!$C$7:$C$35,MATCH(C49,Groups!$D$7:$D$35,0)))</f>
        <v>6</v>
      </c>
      <c r="C49" s="448" t="str">
        <f ca="1">INDIRECT("'"&amp;References!$A$1&amp;"'!"&amp;"$E$54")</f>
        <v>Hungary</v>
      </c>
      <c r="D49" s="449">
        <f ca="1">IF(E49="","",INDEX(Groups!$C$7:$C$35,MATCH(E49,Groups!$D$7:$D$35,0)))</f>
        <v>19</v>
      </c>
      <c r="E49" s="448" t="str">
        <f ca="1">INDIRECT("'"&amp;References!$A$1&amp;"'!"&amp;"$F$54")</f>
        <v>Serbia</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si="546" ref="Q49:Q55">COUNTIF(I$48:I$55,I49)+COUNTIF(K$48:K$55,I49)</f>
        <v>0</v>
      </c>
      <c r="R49" s="471">
        <f t="shared" si="520"/>
        <v>0</v>
      </c>
      <c r="S49" s="471"/>
      <c r="T49" s="467" t="str">
        <f t="shared" si="547" ref="T49:T55">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si="548" ref="AD49:AD55">COUNTIF(V$48:V$55,V49)+COUNTIF(X$48:X$55,V49)</f>
        <v>0</v>
      </c>
      <c r="AE49" s="471">
        <f t="shared" si="521"/>
        <v>0</v>
      </c>
      <c r="AF49" s="471"/>
      <c r="AG49" s="467" t="str">
        <f t="shared" si="549" ref="AG49:AG55">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si="550" ref="AQ49:AQ55">COUNTIF(AI$48:AI$55,AI49)+COUNTIF(AK$48:AK$55,AI49)</f>
        <v>0</v>
      </c>
      <c r="AR49" s="471">
        <f t="shared" si="522"/>
        <v>0</v>
      </c>
      <c r="AS49" s="471"/>
      <c r="AT49" s="467" t="str">
        <f t="shared" si="551" ref="AT49:AT55">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si="552" ref="BD49:BD55">COUNTIF(AV$48:AV$55,AV49)+COUNTIF(AX$48:AX$55,AV49)</f>
        <v>0</v>
      </c>
      <c r="BE49" s="471">
        <f t="shared" si="523"/>
        <v>0</v>
      </c>
      <c r="BF49" s="471"/>
      <c r="BG49" s="467" t="str">
        <f t="shared" si="553" ref="BG49:BG55">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si="554" ref="BQ49:BQ55">COUNTIF(BI$48:BI$55,BI49)+COUNTIF(BK$48:BK$55,BI49)</f>
        <v>0</v>
      </c>
      <c r="BR49" s="471">
        <f t="shared" si="524"/>
        <v>0</v>
      </c>
      <c r="BS49" s="471"/>
      <c r="BT49" s="467" t="str">
        <f t="shared" si="555" ref="BT49:BT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si="556" ref="CD49:CD55">COUNTIF(BV$48:BV$55,BV49)+COUNTIF(BX$48:BX$55,BV49)</f>
        <v>0</v>
      </c>
      <c r="CE49" s="471">
        <f t="shared" si="525"/>
        <v>0</v>
      </c>
      <c r="CF49" s="471"/>
      <c r="CG49" s="467" t="str">
        <f t="shared" si="557" ref="CG49:CG55">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si="558" ref="CQ49:CQ55">COUNTIF(CI$48:CI$55,CI49)+COUNTIF(CK$48:CK$55,CI49)</f>
        <v>0</v>
      </c>
      <c r="CR49" s="471">
        <f t="shared" si="526"/>
        <v>0</v>
      </c>
      <c r="CS49" s="471"/>
      <c r="CT49" s="467" t="str">
        <f t="shared" si="559" ref="CT49:CT55">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si="560" ref="DD49:DD55">COUNTIF(CV$48:CV$55,CV49)+COUNTIF(CX$48:CX$55,CV49)</f>
        <v>0</v>
      </c>
      <c r="DE49" s="471">
        <f t="shared" si="527"/>
        <v>0</v>
      </c>
      <c r="DF49" s="471"/>
      <c r="DG49" s="467" t="str">
        <f t="shared" si="561" ref="DG49:DG55">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si="562" ref="DQ49:DQ55">COUNTIF(DI$48:DI$55,DI49)+COUNTIF(DK$48:DK$55,DI49)</f>
        <v>0</v>
      </c>
      <c r="DR49" s="471">
        <f t="shared" si="528"/>
        <v>0</v>
      </c>
      <c r="DS49" s="471"/>
      <c r="DT49" s="467" t="str">
        <f t="shared" si="563" ref="DT49:DT55">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si="564" ref="ED49:ED55">COUNTIF(DV$48:DV$55,DV49)+COUNTIF(DX$48:DX$55,DV49)</f>
        <v>0</v>
      </c>
      <c r="EE49" s="471">
        <f t="shared" si="529"/>
        <v>0</v>
      </c>
      <c r="EF49" s="471"/>
      <c r="EG49" s="467" t="str">
        <f t="shared" si="565" ref="EG49:EG5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si="566" ref="EQ49:EQ55">COUNTIF(EI$48:EI$55,EI49)+COUNTIF(EK$48:EK$55,EI49)</f>
        <v>0</v>
      </c>
      <c r="ER49" s="471">
        <f t="shared" si="530"/>
        <v>0</v>
      </c>
      <c r="ES49" s="471"/>
      <c r="ET49" s="467" t="str">
        <f t="shared" si="567" ref="ET49:ET55">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si="568" ref="FD49:FD55">COUNTIF(EV$48:EV$55,EV49)+COUNTIF(EX$48:EX$55,EV49)</f>
        <v>0</v>
      </c>
      <c r="FE49" s="471">
        <f t="shared" si="531"/>
        <v>0</v>
      </c>
      <c r="FF49" s="471"/>
      <c r="FG49" s="467" t="str">
        <f t="shared" si="569" ref="FG49:FG55">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si="570" ref="FQ49:FQ55">COUNTIF(FI$48:FI$55,FI49)+COUNTIF(FK$48:FK$55,FI49)</f>
        <v>0</v>
      </c>
      <c r="FR49" s="471">
        <f t="shared" si="532"/>
        <v>0</v>
      </c>
      <c r="FS49" s="471"/>
      <c r="FT49" s="467" t="str">
        <f t="shared" si="571" ref="FT49:FT55">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si="572" ref="GD49:GD55">COUNTIF(FV$48:FV$55,FV49)+COUNTIF(FX$48:FX$55,FV49)</f>
        <v>0</v>
      </c>
      <c r="GE49" s="471">
        <f t="shared" si="533"/>
        <v>0</v>
      </c>
      <c r="GF49" s="471"/>
      <c r="GG49" s="467" t="str">
        <f t="shared" si="573" ref="GG49:GG55">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si="574" ref="GQ49:GQ55">COUNTIF(GI$48:GI$55,GI49)+COUNTIF(GK$48:GK$55,GI49)</f>
        <v>0</v>
      </c>
      <c r="GR49" s="471">
        <f t="shared" si="534"/>
        <v>0</v>
      </c>
      <c r="GS49" s="471"/>
      <c r="GT49" s="467" t="str">
        <f t="shared" si="575" ref="GT49:GT5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si="576" ref="HD49:HD55">COUNTIF(GV$48:GV$55,GV49)+COUNTIF(GX$48:GX$55,GV49)</f>
        <v>0</v>
      </c>
      <c r="HE49" s="471">
        <f t="shared" si="535"/>
        <v>0</v>
      </c>
      <c r="HF49" s="471"/>
      <c r="HG49" s="467" t="str">
        <f t="shared" si="577" ref="HG49:HG55">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si="578" ref="HQ49:HQ55">COUNTIF(HI$48:HI$55,HI49)+COUNTIF(HK$48:HK$55,HI49)</f>
        <v>0</v>
      </c>
      <c r="HR49" s="471">
        <f t="shared" si="536"/>
        <v>0</v>
      </c>
      <c r="HS49" s="471"/>
      <c r="HT49" s="467" t="str">
        <f t="shared" si="579" ref="HT49:HT55">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si="580" ref="ID49:ID55">COUNTIF(HV$48:HV$55,HV49)+COUNTIF(HX$48:HX$55,HV49)</f>
        <v>0</v>
      </c>
      <c r="IE49" s="471">
        <f t="shared" si="537"/>
        <v>0</v>
      </c>
      <c r="IF49" s="471"/>
      <c r="IG49" s="467" t="str">
        <f t="shared" si="581" ref="IG49:IG55">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si="582" ref="IQ49:IQ55">COUNTIF(II$48:II$55,II49)+COUNTIF(IK$48:IK$55,II49)</f>
        <v>0</v>
      </c>
      <c r="IR49" s="471">
        <f t="shared" si="538"/>
        <v>0</v>
      </c>
      <c r="IS49" s="471"/>
      <c r="IT49" s="467" t="str">
        <f t="shared" si="583" ref="IT49:IT55">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si="584" ref="JD49:JD55">COUNTIF(IV$48:IV$55,IV49)+COUNTIF(IX$48:IX$55,IV49)</f>
        <v>0</v>
      </c>
      <c r="JE49" s="471">
        <f t="shared" si="539"/>
        <v>0</v>
      </c>
      <c r="JF49" s="471"/>
      <c r="JG49" s="467" t="str">
        <f t="shared" si="585" ref="JG49:JG5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si="586" ref="JQ49:JQ55">COUNTIF(JI$48:JI$55,JI49)+COUNTIF(JK$48:JK$55,JI49)</f>
        <v>0</v>
      </c>
      <c r="JR49" s="471">
        <f t="shared" si="540"/>
        <v>0</v>
      </c>
      <c r="JS49" s="471"/>
      <c r="JT49" s="467" t="str">
        <f t="shared" si="587" ref="JT49:JT55">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si="588" ref="KD49:KD55">COUNTIF(JV$48:JV$55,JV49)+COUNTIF(JX$48:JX$55,JV49)</f>
        <v>0</v>
      </c>
      <c r="KE49" s="471">
        <f t="shared" si="541"/>
        <v>0</v>
      </c>
      <c r="KF49" s="471"/>
      <c r="KG49" s="467" t="str">
        <f t="shared" si="589" ref="KG49:KG55">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si="590" ref="KQ49:KQ55">COUNTIF(KI$48:KI$55,KI49)+COUNTIF(KK$48:KK$55,KI49)</f>
        <v>0</v>
      </c>
      <c r="KR49" s="471">
        <f t="shared" si="542"/>
        <v>0</v>
      </c>
      <c r="KS49" s="471"/>
      <c r="KT49" s="467" t="str">
        <f t="shared" si="591" ref="KT49:KT55">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si="592" ref="LD49:LD55">COUNTIF(KV$48:KV$55,KV49)+COUNTIF(KX$48:KX$55,KV49)</f>
        <v>0</v>
      </c>
      <c r="LE49" s="471">
        <f t="shared" si="543"/>
        <v>0</v>
      </c>
      <c r="LF49" s="471"/>
      <c r="LG49" s="467" t="str">
        <f t="shared" si="593" ref="LG49:LG55">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si="594" ref="LQ49:LQ55">COUNTIF(LI$48:LI$55,LI49)+COUNTIF(LK$48:LK$55,LI49)</f>
        <v>0</v>
      </c>
      <c r="LR49" s="471">
        <f t="shared" si="544"/>
        <v>0</v>
      </c>
      <c r="LS49" s="471"/>
      <c r="LT49" s="467" t="str">
        <f t="shared" si="595" ref="LT49:LT5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si="596" ref="MD49:MD55">COUNTIF(LV$48:LV$55,LV49)+COUNTIF(LX$48:LX$55,LV49)</f>
        <v>0</v>
      </c>
      <c r="ME49" s="471">
        <f t="shared" si="545"/>
        <v>0</v>
      </c>
      <c r="MF49" s="471"/>
      <c r="MG49" s="467" t="str">
        <f t="shared" si="597" ref="MG49:MG55">IF(OR(LV49&lt;&gt;"",LX49&lt;&gt;""),IF(MD49&lt;&gt;1,0,COUNTIF($B$48:$B$55,LV49)+COUNTIF($D$48:$D$55,LV49))+IF(ME49&lt;&gt;1,0,COUNTIF($B$48:$B$55,LX49)+COUNTIF($D$48:$D$55,LX49)),"")</f>
        <v/>
      </c>
    </row>
    <row r="50" spans="1:345" s="25" customFormat="1" ht="15.5">
      <c r="A50" s="428"/>
      <c r="B50" s="447">
        <f ca="1">IF(C50="","",INDEX(Groups!$C$7:$C$35,MATCH(C50,Groups!$D$7:$D$35,0)))</f>
        <v>1</v>
      </c>
      <c r="C50" s="448" t="str">
        <f ca="1">INDIRECT("'"&amp;References!$A$1&amp;"'!"&amp;"$H$54")</f>
        <v>Portugal</v>
      </c>
      <c r="D50" s="449">
        <f ca="1">IF(E50="","",INDEX(Groups!$C$7:$C$35,MATCH(E50,Groups!$D$7:$D$35,0)))</f>
        <v>9</v>
      </c>
      <c r="E50" s="448" t="str">
        <f ca="1">INDIRECT("'"&amp;References!$A$1&amp;"'!"&amp;"$I$54")</f>
        <v>Denmark</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2</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ht="15.5">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4</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3</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ht="15.5">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5</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4</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ht="15.5">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1</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ht="15.5">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ht="15.5">
      <c r="A55" s="428"/>
      <c r="B55" s="447">
        <f ca="1">IF(C55="","",INDEX(Groups!$C$7:$C$35,MATCH(C55,Groups!$D$7:$D$35,0)))</f>
        <v>54</v>
      </c>
      <c r="C55" s="448" t="str">
        <f ca="1">INDIRECT("'"&amp;References!$A$1&amp;"'!"&amp;"$W$54")</f>
        <v>Germany</v>
      </c>
      <c r="D55" s="449">
        <f ca="1">IF(E55="","",INDEX(Groups!$C$7:$C$35,MATCH(E55,Groups!$D$7:$D$35,0)))</f>
        <v>3</v>
      </c>
      <c r="E55" s="448" t="str">
        <f ca="1">INDIRECT("'"&amp;References!$A$1&amp;"'!"&amp;"$X$54")</f>
        <v>Spain</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4</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3</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ht="15.5">
      <c r="A57" s="428"/>
      <c r="B57" s="447">
        <f ca="1">IF(C57="","",INDEX(Groups!$C$7:$C$35,MATCH(C57,Groups!$D$7:$D$35,0)))</f>
        <v>14</v>
      </c>
      <c r="C57" s="448" t="str">
        <f ca="1">INDIRECT("'"&amp;References!$A$1&amp;"'!"&amp;"$C$64")</f>
        <v>Croatia</v>
      </c>
      <c r="D57" s="449">
        <f ca="1">IF(E57="","",INDEX(Groups!$C$7:$C$35,MATCH(E57,Groups!$D$7:$D$35,0)))</f>
        <v>6</v>
      </c>
      <c r="E57" s="448" t="str">
        <f ca="1">INDIRECT("'"&amp;References!$A$1&amp;"'!"&amp;"$E$64")</f>
        <v>Hungary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0</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ht="15.5">
      <c r="A58" s="428"/>
      <c r="B58" s="447">
        <f ca="1">IF(C58="","",INDEX(Groups!$C$7:$C$35,MATCH(C58,Groups!$D$7:$D$35,0)))</f>
        <v>9</v>
      </c>
      <c r="C58" s="448" t="str">
        <f ca="1">INDIRECT("'"&amp;References!$A$1&amp;"'!"&amp;"$I$64")</f>
        <v>Denmark</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I58" s="462"/>
      <c r="J58" s="448" t="str">
        <f>IF(I58="","",VLOOKUP(I58,Language!$D$5:$E$63,2,0))</f>
        <v/>
      </c>
      <c r="K58" s="452"/>
      <c r="L58" s="448" t="str">
        <f>IF(K58="","",VLOOKUP(K58,Language!$D$5:$E$63,2,0))</f>
        <v/>
      </c>
      <c r="M58" s="468"/>
      <c r="N58" s="469"/>
      <c r="O58" s="470"/>
      <c r="P58" s="470"/>
      <c r="Q58" s="471">
        <f t="shared" si="598" ref="Q58:Q60">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si="599" ref="AD58:AD60">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si="600" ref="AQ58:AQ6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si="601" ref="BD58:BD60">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si="602" ref="BQ58:BQ60">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si="603" ref="CD58:CD60">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si="604" ref="CQ58:CQ60">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si="605" ref="DD58:DD60">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si="606" ref="DQ58:DQ60">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si="607" ref="ED58:ED60">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si="608" ref="EQ58:EQ60">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si="609" ref="FD58:FD60">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si="610" ref="FQ58:FQ6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si="611" ref="GD58:GD60">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si="612" ref="GQ58:GQ60">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si="613" ref="HD58:HD60">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si="614" ref="HQ58:HQ60">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si="615" ref="ID58:ID60">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si="616" ref="IQ58:IQ60">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si="617" ref="JD58:JD60">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si="618" ref="JQ58:JQ60">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si="619" ref="KD58:KD60">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si="620" ref="KQ58:KQ6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si="621" ref="LD58:LD60">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si="622" ref="LQ58:LQ60">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si="623" ref="MD58:MD60">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ht="15.5">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2</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2:345" ht="15.5">
      <c r="B60" s="447">
        <f ca="1">IF(C60="","",INDEX(Groups!$C$7:$C$35,MATCH(C60,Groups!$D$7:$D$35,0)))</f>
        <v>5</v>
      </c>
      <c r="C60" s="448" t="str">
        <f ca="1">INDIRECT("'"&amp;References!$A$1&amp;"'!"&amp;"$U$64")</f>
        <v>England</v>
      </c>
      <c r="D60" s="449">
        <f ca="1">IF(E60="","",INDEX(Groups!$C$7:$C$35,MATCH(E60,Groups!$D$7:$D$35,0)))</f>
        <v>54</v>
      </c>
      <c r="E60" s="448" t="str">
        <f ca="1">INDIRECT("'"&amp;References!$A$1&amp;"'!"&amp;"$W$64")</f>
        <v>Germany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0</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2: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2:345" ht="15.5">
      <c r="B62" s="447">
        <f ca="1">IF(C62="","",INDEX(Groups!$C$7:$C$35,MATCH(C62,Groups!$D$7:$D$35,0)))</f>
        <v>14</v>
      </c>
      <c r="C62" s="448" t="str">
        <f ca="1">INDIRECT("'"&amp;References!$A$1&amp;"'!"&amp;"$F$74")</f>
        <v>Croatia</v>
      </c>
      <c r="D62" s="449">
        <f ca="1">IF(E62="","",INDEX(Groups!$C$7:$C$35,MATCH(E62,Groups!$D$7:$D$35,0)))</f>
        <v>9</v>
      </c>
      <c r="E62" s="448" t="str">
        <f ca="1">INDIRECT("'"&amp;References!$A$1&amp;"'!"&amp;"$H$74")</f>
        <v>Denmark</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4</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3</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2:345" ht="15.5">
      <c r="B63" s="447">
        <f ca="1">IF(C63="","",INDEX(Groups!$C$7:$C$35,MATCH(C63,Groups!$D$7:$D$35,0)))</f>
        <v>4</v>
      </c>
      <c r="C63" s="448" t="str">
        <f ca="1">INDIRECT("'"&amp;References!$A$1&amp;"'!"&amp;"$R$74")</f>
        <v>Belgium</v>
      </c>
      <c r="D63" s="449">
        <f ca="1">IF(E63="","",INDEX(Groups!$C$7:$C$35,MATCH(E63,Groups!$D$7:$D$35,0)))</f>
        <v>54</v>
      </c>
      <c r="E63" s="448" t="str">
        <f ca="1">INDIRECT("'"&amp;References!$A$1&amp;"'!"&amp;"$T$74")</f>
        <v>Germany</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2: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 thickBot="1">
      <c r="B65" s="476">
        <f ca="1">IF(C65="","",INDEX(Groups!$C$7:$C$35,MATCH(C65,Groups!$D$7:$D$35,0)))</f>
        <v>14</v>
      </c>
      <c r="C65" s="477" t="str">
        <f ca="1">INDIRECT("'"&amp;References!$A$1&amp;"'!"&amp;"$L$84")</f>
        <v>Croatia</v>
      </c>
      <c r="D65" s="478">
        <f ca="1">IF(E65="","",INDEX(Groups!$C$7:$C$35,MATCH(E65,Groups!$D$7:$D$35,0)))</f>
        <v>4</v>
      </c>
      <c r="E65" s="479" t="str">
        <f ca="1">INDIRECT("'"&amp;References!$A$1&amp;"'!"&amp;"$N$84")</f>
        <v>Belgium</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1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12:345" ht="15.5">
      <c r="L69" s="815" t="str">
        <f>Language!$E$216</f>
        <v>Number:</v>
      </c>
      <c r="M69" s="816"/>
      <c r="N69" s="817"/>
      <c r="O69" s="449">
        <f ca="1">SUM(O67:O67)</f>
        <v>0</v>
      </c>
      <c r="P69" s="449">
        <f ca="1">SUM(P6:P46)</f>
        <v>0</v>
      </c>
      <c r="Q69" s="449">
        <f ca="1">SUM(Q6:Q46)</f>
        <v>0</v>
      </c>
      <c r="R69" s="449">
        <f ca="1">SUM(R6:R46)</f>
        <v>0</v>
      </c>
      <c r="S69" s="449">
        <f ca="1">SUM(S6:S46)</f>
        <v>0</v>
      </c>
      <c r="T69" s="467">
        <f>SUM(T48:T65)</f>
        <v>0</v>
      </c>
      <c r="Y69" s="815" t="str">
        <f>Language!$E$216</f>
        <v>Number:</v>
      </c>
      <c r="Z69" s="816"/>
      <c r="AA69" s="817"/>
      <c r="AB69" s="449">
        <f ca="1">SUM(AB67:AB67)</f>
        <v>0</v>
      </c>
      <c r="AC69" s="449">
        <f ca="1">SUM(AC6:AC46)</f>
        <v>0</v>
      </c>
      <c r="AD69" s="449">
        <f ca="1">SUM(AD6:AD46)</f>
        <v>0</v>
      </c>
      <c r="AE69" s="449">
        <f ca="1">SUM(AE6:AE46)</f>
        <v>0</v>
      </c>
      <c r="AF69" s="449">
        <f ca="1">SUM(AF6:AF46)</f>
        <v>0</v>
      </c>
      <c r="AG69" s="467">
        <f>SUM(AG48:AG65)</f>
        <v>0</v>
      </c>
      <c r="AL69" s="815" t="str">
        <f>Language!$E$216</f>
        <v>Number:</v>
      </c>
      <c r="AM69" s="816"/>
      <c r="AN69" s="817"/>
      <c r="AO69" s="449">
        <f ca="1">SUM(AO67:AO67)</f>
        <v>0</v>
      </c>
      <c r="AP69" s="449">
        <f ca="1">SUM(AP6:AP46)</f>
        <v>0</v>
      </c>
      <c r="AQ69" s="449">
        <f ca="1">SUM(AQ6:AQ46)</f>
        <v>0</v>
      </c>
      <c r="AR69" s="449">
        <f ca="1">SUM(AR6:AR46)</f>
        <v>0</v>
      </c>
      <c r="AS69" s="449">
        <f ca="1">SUM(AS6:AS46)</f>
        <v>0</v>
      </c>
      <c r="AT69" s="467">
        <f>SUM(AT48:AT65)</f>
        <v>0</v>
      </c>
      <c r="AY69" s="815" t="str">
        <f>Language!$E$216</f>
        <v>Number:</v>
      </c>
      <c r="AZ69" s="816"/>
      <c r="BA69" s="817"/>
      <c r="BB69" s="449">
        <f ca="1">SUM(BB67:BB67)</f>
        <v>0</v>
      </c>
      <c r="BC69" s="449">
        <f ca="1">SUM(BC6:BC46)</f>
        <v>0</v>
      </c>
      <c r="BD69" s="449">
        <f ca="1">SUM(BD6:BD46)</f>
        <v>0</v>
      </c>
      <c r="BE69" s="449">
        <f ca="1">SUM(BE6:BE46)</f>
        <v>0</v>
      </c>
      <c r="BF69" s="449">
        <f ca="1">SUM(BF6:BF46)</f>
        <v>0</v>
      </c>
      <c r="BG69" s="467">
        <f>SUM(BG48:BG65)</f>
        <v>0</v>
      </c>
      <c r="BL69" s="815" t="str">
        <f>Language!$E$216</f>
        <v>Number:</v>
      </c>
      <c r="BM69" s="816"/>
      <c r="BN69" s="817"/>
      <c r="BO69" s="449">
        <f ca="1">SUM(BO67:BO67)</f>
        <v>0</v>
      </c>
      <c r="BP69" s="449">
        <f ca="1">SUM(BP6:BP46)</f>
        <v>0</v>
      </c>
      <c r="BQ69" s="449">
        <f ca="1">SUM(BQ6:BQ46)</f>
        <v>0</v>
      </c>
      <c r="BR69" s="449">
        <f ca="1">SUM(BR6:BR46)</f>
        <v>0</v>
      </c>
      <c r="BS69" s="449">
        <f ca="1">SUM(BS6:BS46)</f>
        <v>0</v>
      </c>
      <c r="BT69" s="467">
        <f>SUM(BT48:BT65)</f>
        <v>0</v>
      </c>
      <c r="BY69" s="815" t="str">
        <f>Language!$E$216</f>
        <v>Number:</v>
      </c>
      <c r="BZ69" s="816"/>
      <c r="CA69" s="817"/>
      <c r="CB69" s="449">
        <f ca="1">SUM(CB67:CB67)</f>
        <v>0</v>
      </c>
      <c r="CC69" s="449">
        <f ca="1">SUM(CC6:CC46)</f>
        <v>0</v>
      </c>
      <c r="CD69" s="449">
        <f ca="1">SUM(CD6:CD46)</f>
        <v>0</v>
      </c>
      <c r="CE69" s="449">
        <f ca="1">SUM(CE6:CE46)</f>
        <v>0</v>
      </c>
      <c r="CF69" s="449">
        <f ca="1">SUM(CF6:CF46)</f>
        <v>0</v>
      </c>
      <c r="CG69" s="467">
        <f>SUM(CG48:CG65)</f>
        <v>0</v>
      </c>
      <c r="CL69" s="815" t="str">
        <f>Language!$E$216</f>
        <v>Number:</v>
      </c>
      <c r="CM69" s="816"/>
      <c r="CN69" s="817"/>
      <c r="CO69" s="449">
        <f ca="1">SUM(CO67:CO67)</f>
        <v>0</v>
      </c>
      <c r="CP69" s="449">
        <f ca="1">SUM(CP6:CP46)</f>
        <v>0</v>
      </c>
      <c r="CQ69" s="449">
        <f ca="1">SUM(CQ6:CQ46)</f>
        <v>0</v>
      </c>
      <c r="CR69" s="449">
        <f ca="1">SUM(CR6:CR46)</f>
        <v>0</v>
      </c>
      <c r="CS69" s="449">
        <f ca="1">SUM(CS6:CS46)</f>
        <v>0</v>
      </c>
      <c r="CT69" s="467">
        <f>SUM(CT48:CT65)</f>
        <v>0</v>
      </c>
      <c r="CY69" s="815" t="str">
        <f>Language!$E$216</f>
        <v>Number:</v>
      </c>
      <c r="CZ69" s="816"/>
      <c r="DA69" s="817"/>
      <c r="DB69" s="449">
        <f ca="1">SUM(DB67:DB67)</f>
        <v>0</v>
      </c>
      <c r="DC69" s="449">
        <f ca="1">SUM(DC6:DC46)</f>
        <v>0</v>
      </c>
      <c r="DD69" s="449">
        <f ca="1">SUM(DD6:DD46)</f>
        <v>0</v>
      </c>
      <c r="DE69" s="449">
        <f ca="1">SUM(DE6:DE46)</f>
        <v>0</v>
      </c>
      <c r="DF69" s="449">
        <f ca="1">SUM(DF6:DF46)</f>
        <v>0</v>
      </c>
      <c r="DG69" s="467">
        <f>SUM(DG48:DG65)</f>
        <v>0</v>
      </c>
      <c r="DL69" s="815" t="str">
        <f>Language!$E$216</f>
        <v>Number:</v>
      </c>
      <c r="DM69" s="816"/>
      <c r="DN69" s="817"/>
      <c r="DO69" s="449">
        <f ca="1">SUM(DO67:DO67)</f>
        <v>0</v>
      </c>
      <c r="DP69" s="449">
        <f ca="1">SUM(DP6:DP46)</f>
        <v>0</v>
      </c>
      <c r="DQ69" s="449">
        <f ca="1">SUM(DQ6:DQ46)</f>
        <v>0</v>
      </c>
      <c r="DR69" s="449">
        <f ca="1">SUM(DR6:DR46)</f>
        <v>0</v>
      </c>
      <c r="DS69" s="449">
        <f ca="1">SUM(DS6:DS46)</f>
        <v>0</v>
      </c>
      <c r="DT69" s="467">
        <f>SUM(DT48:DT65)</f>
        <v>0</v>
      </c>
      <c r="DY69" s="815" t="str">
        <f>Language!$E$216</f>
        <v>Number:</v>
      </c>
      <c r="DZ69" s="816"/>
      <c r="EA69" s="817"/>
      <c r="EB69" s="449">
        <f ca="1">SUM(EB67:EB67)</f>
        <v>0</v>
      </c>
      <c r="EC69" s="449">
        <f ca="1">SUM(EC6:EC46)</f>
        <v>0</v>
      </c>
      <c r="ED69" s="449">
        <f ca="1">SUM(ED6:ED46)</f>
        <v>0</v>
      </c>
      <c r="EE69" s="449">
        <f ca="1">SUM(EE6:EE46)</f>
        <v>0</v>
      </c>
      <c r="EF69" s="449">
        <f ca="1">SUM(EF6:EF46)</f>
        <v>0</v>
      </c>
      <c r="EG69" s="467">
        <f>SUM(EG48:EG65)</f>
        <v>0</v>
      </c>
      <c r="EL69" s="815" t="str">
        <f>Language!$E$216</f>
        <v>Number:</v>
      </c>
      <c r="EM69" s="816"/>
      <c r="EN69" s="817"/>
      <c r="EO69" s="449">
        <f ca="1">SUM(EO67:EO67)</f>
        <v>0</v>
      </c>
      <c r="EP69" s="449">
        <f ca="1">SUM(EP6:EP46)</f>
        <v>0</v>
      </c>
      <c r="EQ69" s="449">
        <f ca="1">SUM(EQ6:EQ46)</f>
        <v>0</v>
      </c>
      <c r="ER69" s="449">
        <f ca="1">SUM(ER6:ER46)</f>
        <v>0</v>
      </c>
      <c r="ES69" s="449">
        <f ca="1">SUM(ES6:ES46)</f>
        <v>0</v>
      </c>
      <c r="ET69" s="467">
        <f>SUM(ET48:ET65)</f>
        <v>0</v>
      </c>
      <c r="EY69" s="815" t="str">
        <f>Language!$E$216</f>
        <v>Number:</v>
      </c>
      <c r="EZ69" s="816"/>
      <c r="FA69" s="817"/>
      <c r="FB69" s="449">
        <f ca="1">SUM(FB67:FB67)</f>
        <v>0</v>
      </c>
      <c r="FC69" s="449">
        <f ca="1">SUM(FC6:FC46)</f>
        <v>0</v>
      </c>
      <c r="FD69" s="449">
        <f ca="1">SUM(FD6:FD46)</f>
        <v>0</v>
      </c>
      <c r="FE69" s="449">
        <f ca="1">SUM(FE6:FE46)</f>
        <v>0</v>
      </c>
      <c r="FF69" s="449">
        <f ca="1">SUM(FF6:FF46)</f>
        <v>0</v>
      </c>
      <c r="FG69" s="467">
        <f>SUM(FG48:FG65)</f>
        <v>0</v>
      </c>
      <c r="FL69" s="815" t="str">
        <f>Language!$E$216</f>
        <v>Number:</v>
      </c>
      <c r="FM69" s="816"/>
      <c r="FN69" s="817"/>
      <c r="FO69" s="449">
        <f ca="1">SUM(FO67:FO67)</f>
        <v>0</v>
      </c>
      <c r="FP69" s="449">
        <f ca="1">SUM(FP6:FP46)</f>
        <v>0</v>
      </c>
      <c r="FQ69" s="449">
        <f ca="1">SUM(FQ6:FQ46)</f>
        <v>0</v>
      </c>
      <c r="FR69" s="449">
        <f ca="1">SUM(FR6:FR46)</f>
        <v>0</v>
      </c>
      <c r="FS69" s="449">
        <f ca="1">SUM(FS6:FS46)</f>
        <v>0</v>
      </c>
      <c r="FT69" s="467">
        <f>SUM(FT48:FT65)</f>
        <v>0</v>
      </c>
      <c r="FY69" s="815" t="str">
        <f>Language!$E$216</f>
        <v>Number:</v>
      </c>
      <c r="FZ69" s="816"/>
      <c r="GA69" s="817"/>
      <c r="GB69" s="449">
        <f ca="1">SUM(GB67:GB67)</f>
        <v>0</v>
      </c>
      <c r="GC69" s="449">
        <f ca="1">SUM(GC6:GC46)</f>
        <v>0</v>
      </c>
      <c r="GD69" s="449">
        <f ca="1">SUM(GD6:GD46)</f>
        <v>0</v>
      </c>
      <c r="GE69" s="449">
        <f ca="1">SUM(GE6:GE46)</f>
        <v>0</v>
      </c>
      <c r="GF69" s="449">
        <f ca="1">SUM(GF6:GF46)</f>
        <v>0</v>
      </c>
      <c r="GG69" s="467">
        <f>SUM(GG48:GG65)</f>
        <v>0</v>
      </c>
      <c r="GL69" s="815" t="str">
        <f>Language!$E$216</f>
        <v>Number:</v>
      </c>
      <c r="GM69" s="816"/>
      <c r="GN69" s="817"/>
      <c r="GO69" s="449">
        <f ca="1">SUM(GO67:GO67)</f>
        <v>0</v>
      </c>
      <c r="GP69" s="449">
        <f ca="1">SUM(GP6:GP46)</f>
        <v>0</v>
      </c>
      <c r="GQ69" s="449">
        <f ca="1">SUM(GQ6:GQ46)</f>
        <v>0</v>
      </c>
      <c r="GR69" s="449">
        <f ca="1">SUM(GR6:GR46)</f>
        <v>0</v>
      </c>
      <c r="GS69" s="449">
        <f ca="1">SUM(GS6:GS46)</f>
        <v>0</v>
      </c>
      <c r="GT69" s="467">
        <f>SUM(GT48:GT65)</f>
        <v>0</v>
      </c>
      <c r="GY69" s="815" t="str">
        <f>Language!$E$216</f>
        <v>Number:</v>
      </c>
      <c r="GZ69" s="816"/>
      <c r="HA69" s="817"/>
      <c r="HB69" s="449">
        <f ca="1">SUM(HB67:HB67)</f>
        <v>0</v>
      </c>
      <c r="HC69" s="449">
        <f ca="1">SUM(HC6:HC46)</f>
        <v>0</v>
      </c>
      <c r="HD69" s="449">
        <f ca="1">SUM(HD6:HD46)</f>
        <v>0</v>
      </c>
      <c r="HE69" s="449">
        <f ca="1">SUM(HE6:HE46)</f>
        <v>0</v>
      </c>
      <c r="HF69" s="449">
        <f ca="1">SUM(HF6:HF46)</f>
        <v>0</v>
      </c>
      <c r="HG69" s="467">
        <f>SUM(HG48:HG65)</f>
        <v>0</v>
      </c>
      <c r="HL69" s="815" t="str">
        <f>Language!$E$216</f>
        <v>Number:</v>
      </c>
      <c r="HM69" s="816"/>
      <c r="HN69" s="817"/>
      <c r="HO69" s="449">
        <f ca="1">SUM(HO67:HO67)</f>
        <v>0</v>
      </c>
      <c r="HP69" s="449">
        <f ca="1">SUM(HP6:HP46)</f>
        <v>0</v>
      </c>
      <c r="HQ69" s="449">
        <f ca="1">SUM(HQ6:HQ46)</f>
        <v>0</v>
      </c>
      <c r="HR69" s="449">
        <f ca="1">SUM(HR6:HR46)</f>
        <v>0</v>
      </c>
      <c r="HS69" s="449">
        <f ca="1">SUM(HS6:HS46)</f>
        <v>0</v>
      </c>
      <c r="HT69" s="467">
        <f>SUM(HT48:HT65)</f>
        <v>0</v>
      </c>
      <c r="HY69" s="815" t="str">
        <f>Language!$E$216</f>
        <v>Number:</v>
      </c>
      <c r="HZ69" s="816"/>
      <c r="IA69" s="817"/>
      <c r="IB69" s="449">
        <f ca="1">SUM(IB67:IB67)</f>
        <v>0</v>
      </c>
      <c r="IC69" s="449">
        <f ca="1">SUM(IC6:IC46)</f>
        <v>0</v>
      </c>
      <c r="ID69" s="449">
        <f ca="1">SUM(ID6:ID46)</f>
        <v>0</v>
      </c>
      <c r="IE69" s="449">
        <f ca="1">SUM(IE6:IE46)</f>
        <v>0</v>
      </c>
      <c r="IF69" s="449">
        <f ca="1">SUM(IF6:IF46)</f>
        <v>0</v>
      </c>
      <c r="IG69" s="467">
        <f>SUM(IG48:IG65)</f>
        <v>0</v>
      </c>
      <c r="IL69" s="815" t="str">
        <f>Language!$E$216</f>
        <v>Number:</v>
      </c>
      <c r="IM69" s="816"/>
      <c r="IN69" s="817"/>
      <c r="IO69" s="449">
        <f ca="1">SUM(IO67:IO67)</f>
        <v>0</v>
      </c>
      <c r="IP69" s="449">
        <f ca="1">SUM(IP6:IP46)</f>
        <v>0</v>
      </c>
      <c r="IQ69" s="449">
        <f ca="1">SUM(IQ6:IQ46)</f>
        <v>0</v>
      </c>
      <c r="IR69" s="449">
        <f ca="1">SUM(IR6:IR46)</f>
        <v>0</v>
      </c>
      <c r="IS69" s="449">
        <f ca="1">SUM(IS6:IS46)</f>
        <v>0</v>
      </c>
      <c r="IT69" s="467">
        <f>SUM(IT48:IT65)</f>
        <v>0</v>
      </c>
      <c r="IY69" s="815" t="str">
        <f>Language!$E$216</f>
        <v>Number:</v>
      </c>
      <c r="IZ69" s="816"/>
      <c r="JA69" s="817"/>
      <c r="JB69" s="449">
        <f ca="1">SUM(JB67:JB67)</f>
        <v>0</v>
      </c>
      <c r="JC69" s="449">
        <f ca="1">SUM(JC6:JC46)</f>
        <v>0</v>
      </c>
      <c r="JD69" s="449">
        <f ca="1">SUM(JD6:JD46)</f>
        <v>0</v>
      </c>
      <c r="JE69" s="449">
        <f ca="1">SUM(JE6:JE46)</f>
        <v>0</v>
      </c>
      <c r="JF69" s="449">
        <f ca="1">SUM(JF6:JF46)</f>
        <v>0</v>
      </c>
      <c r="JG69" s="467">
        <f>SUM(JG48:JG65)</f>
        <v>0</v>
      </c>
      <c r="JL69" s="815" t="str">
        <f>Language!$E$216</f>
        <v>Number:</v>
      </c>
      <c r="JM69" s="816"/>
      <c r="JN69" s="817"/>
      <c r="JO69" s="449">
        <f ca="1">SUM(JO67:JO67)</f>
        <v>0</v>
      </c>
      <c r="JP69" s="449">
        <f ca="1">SUM(JP6:JP46)</f>
        <v>0</v>
      </c>
      <c r="JQ69" s="449">
        <f ca="1">SUM(JQ6:JQ46)</f>
        <v>0</v>
      </c>
      <c r="JR69" s="449">
        <f ca="1">SUM(JR6:JR46)</f>
        <v>0</v>
      </c>
      <c r="JS69" s="449">
        <f ca="1">SUM(JS6:JS46)</f>
        <v>0</v>
      </c>
      <c r="JT69" s="467">
        <f>SUM(JT48:JT65)</f>
        <v>0</v>
      </c>
      <c r="JY69" s="815" t="str">
        <f>Language!$E$216</f>
        <v>Number:</v>
      </c>
      <c r="JZ69" s="816"/>
      <c r="KA69" s="817"/>
      <c r="KB69" s="449">
        <f ca="1">SUM(KB67:KB67)</f>
        <v>0</v>
      </c>
      <c r="KC69" s="449">
        <f ca="1">SUM(KC6:KC46)</f>
        <v>0</v>
      </c>
      <c r="KD69" s="449">
        <f ca="1">SUM(KD6:KD46)</f>
        <v>0</v>
      </c>
      <c r="KE69" s="449">
        <f ca="1">SUM(KE6:KE46)</f>
        <v>0</v>
      </c>
      <c r="KF69" s="449">
        <f ca="1">SUM(KF6:KF46)</f>
        <v>0</v>
      </c>
      <c r="KG69" s="467">
        <f>SUM(KG48:KG65)</f>
        <v>0</v>
      </c>
      <c r="KL69" s="815" t="str">
        <f>Language!$E$216</f>
        <v>Number:</v>
      </c>
      <c r="KM69" s="816"/>
      <c r="KN69" s="817"/>
      <c r="KO69" s="449">
        <f ca="1">SUM(KO67:KO67)</f>
        <v>0</v>
      </c>
      <c r="KP69" s="449">
        <f ca="1">SUM(KP6:KP46)</f>
        <v>0</v>
      </c>
      <c r="KQ69" s="449">
        <f ca="1">SUM(KQ6:KQ46)</f>
        <v>0</v>
      </c>
      <c r="KR69" s="449">
        <f ca="1">SUM(KR6:KR46)</f>
        <v>0</v>
      </c>
      <c r="KS69" s="449">
        <f ca="1">SUM(KS6:KS46)</f>
        <v>0</v>
      </c>
      <c r="KT69" s="467">
        <f>SUM(KT48:KT65)</f>
        <v>0</v>
      </c>
      <c r="KY69" s="815" t="str">
        <f>Language!$E$216</f>
        <v>Number:</v>
      </c>
      <c r="KZ69" s="816"/>
      <c r="LA69" s="817"/>
      <c r="LB69" s="449">
        <f ca="1">SUM(LB67:LB67)</f>
        <v>0</v>
      </c>
      <c r="LC69" s="449">
        <f ca="1">SUM(LC6:LC46)</f>
        <v>0</v>
      </c>
      <c r="LD69" s="449">
        <f ca="1">SUM(LD6:LD46)</f>
        <v>0</v>
      </c>
      <c r="LE69" s="449">
        <f ca="1">SUM(LE6:LE46)</f>
        <v>0</v>
      </c>
      <c r="LF69" s="449">
        <f ca="1">SUM(LF6:LF46)</f>
        <v>0</v>
      </c>
      <c r="LG69" s="467">
        <f>SUM(LG48:LG65)</f>
        <v>0</v>
      </c>
      <c r="LL69" s="815" t="str">
        <f>Language!$E$216</f>
        <v>Number:</v>
      </c>
      <c r="LM69" s="816"/>
      <c r="LN69" s="817"/>
      <c r="LO69" s="449">
        <f ca="1">SUM(LO67:LO67)</f>
        <v>0</v>
      </c>
      <c r="LP69" s="449">
        <f ca="1">SUM(LP6:LP46)</f>
        <v>0</v>
      </c>
      <c r="LQ69" s="449">
        <f ca="1">SUM(LQ6:LQ46)</f>
        <v>0</v>
      </c>
      <c r="LR69" s="449">
        <f ca="1">SUM(LR6:LR46)</f>
        <v>0</v>
      </c>
      <c r="LS69" s="449">
        <f ca="1">SUM(LS6:LS46)</f>
        <v>0</v>
      </c>
      <c r="LT69" s="467">
        <f>SUM(LT48:LT65)</f>
        <v>0</v>
      </c>
      <c r="LY69" s="815" t="str">
        <f>Language!$E$216</f>
        <v>Number:</v>
      </c>
      <c r="LZ69" s="816"/>
      <c r="MA69" s="817"/>
      <c r="MB69" s="449">
        <f ca="1">SUM(MB67:MB67)</f>
        <v>0</v>
      </c>
      <c r="MC69" s="449">
        <f ca="1">SUM(MC6:MC46)</f>
        <v>0</v>
      </c>
      <c r="MD69" s="449">
        <f ca="1">SUM(MD6:MD46)</f>
        <v>0</v>
      </c>
      <c r="ME69" s="449">
        <f ca="1">SUM(ME6:ME46)</f>
        <v>0</v>
      </c>
      <c r="MF69" s="449">
        <f ca="1">SUM(MF6:MF46)</f>
        <v>0</v>
      </c>
      <c r="MG69" s="467">
        <f>SUM(MG48:MG65)</f>
        <v>0</v>
      </c>
    </row>
    <row r="70" spans="12:345" ht="16.5" customHeight="1" hidden="1" thickBot="1">
      <c r="L70" s="796" t="str">
        <f>Language!$E$175</f>
        <v>Points:</v>
      </c>
      <c r="M70" s="797"/>
      <c r="N70" s="798"/>
      <c r="O70" s="487">
        <f ca="1">O69*PrSettings!$F$9</f>
        <v>0</v>
      </c>
      <c r="P70" s="487">
        <f ca="1">P69*PrSettings!$F$4</f>
        <v>0</v>
      </c>
      <c r="Q70" s="487">
        <f ca="1">Q69*PrSettings!$F$5</f>
        <v>0</v>
      </c>
      <c r="R70" s="487">
        <f ca="1">R69*PrSettings!$F$6</f>
        <v>0</v>
      </c>
      <c r="S70" s="487">
        <f ca="1">S69*PrSettings!$F$7</f>
        <v>0</v>
      </c>
      <c r="T70" s="488">
        <f>T69*PrSettings!$F$8</f>
        <v>0</v>
      </c>
      <c r="Y70" s="796" t="str">
        <f>Language!$E$175</f>
        <v>Points:</v>
      </c>
      <c r="Z70" s="797"/>
      <c r="AA70" s="798"/>
      <c r="AB70" s="487">
        <f ca="1">AB69*PrSettings!$F$9</f>
        <v>0</v>
      </c>
      <c r="AC70" s="487">
        <f ca="1">AC69*PrSettings!$F$4</f>
        <v>0</v>
      </c>
      <c r="AD70" s="487">
        <f ca="1">AD69*PrSettings!$F$5</f>
        <v>0</v>
      </c>
      <c r="AE70" s="487">
        <f ca="1">AE69*PrSettings!$F$6</f>
        <v>0</v>
      </c>
      <c r="AF70" s="487">
        <f ca="1">AF69*PrSettings!$F$7</f>
        <v>0</v>
      </c>
      <c r="AG70" s="488">
        <f>AG69*PrSettings!$F$8</f>
        <v>0</v>
      </c>
      <c r="AL70" s="796" t="str">
        <f>Language!$E$175</f>
        <v>Points:</v>
      </c>
      <c r="AM70" s="797"/>
      <c r="AN70" s="798"/>
      <c r="AO70" s="487">
        <f ca="1">AO69*PrSettings!$F$9</f>
        <v>0</v>
      </c>
      <c r="AP70" s="487">
        <f ca="1">AP69*PrSettings!$F$4</f>
        <v>0</v>
      </c>
      <c r="AQ70" s="487">
        <f ca="1">AQ69*PrSettings!$F$5</f>
        <v>0</v>
      </c>
      <c r="AR70" s="487">
        <f ca="1">AR69*PrSettings!$F$6</f>
        <v>0</v>
      </c>
      <c r="AS70" s="487">
        <f ca="1">AS69*PrSettings!$F$7</f>
        <v>0</v>
      </c>
      <c r="AT70" s="488">
        <f>AT69*PrSettings!$F$8</f>
        <v>0</v>
      </c>
      <c r="AY70" s="796" t="str">
        <f>Language!$E$175</f>
        <v>Points:</v>
      </c>
      <c r="AZ70" s="797"/>
      <c r="BA70" s="798"/>
      <c r="BB70" s="487">
        <f ca="1">BB69*PrSettings!$F$9</f>
        <v>0</v>
      </c>
      <c r="BC70" s="487">
        <f ca="1">BC69*PrSettings!$F$4</f>
        <v>0</v>
      </c>
      <c r="BD70" s="487">
        <f ca="1">BD69*PrSettings!$F$5</f>
        <v>0</v>
      </c>
      <c r="BE70" s="487">
        <f ca="1">BE69*PrSettings!$F$6</f>
        <v>0</v>
      </c>
      <c r="BF70" s="487">
        <f ca="1">BF69*PrSettings!$F$7</f>
        <v>0</v>
      </c>
      <c r="BG70" s="488">
        <f>BG69*PrSettings!$F$8</f>
        <v>0</v>
      </c>
      <c r="BL70" s="796" t="str">
        <f>Language!$E$175</f>
        <v>Points:</v>
      </c>
      <c r="BM70" s="797"/>
      <c r="BN70" s="798"/>
      <c r="BO70" s="487">
        <f ca="1">BO69*PrSettings!$F$9</f>
        <v>0</v>
      </c>
      <c r="BP70" s="487">
        <f ca="1">BP69*PrSettings!$F$4</f>
        <v>0</v>
      </c>
      <c r="BQ70" s="487">
        <f ca="1">BQ69*PrSettings!$F$5</f>
        <v>0</v>
      </c>
      <c r="BR70" s="487">
        <f ca="1">BR69*PrSettings!$F$6</f>
        <v>0</v>
      </c>
      <c r="BS70" s="487">
        <f ca="1">BS69*PrSettings!$F$7</f>
        <v>0</v>
      </c>
      <c r="BT70" s="488">
        <f>BT69*PrSettings!$F$8</f>
        <v>0</v>
      </c>
      <c r="BY70" s="796" t="str">
        <f>Language!$E$175</f>
        <v>Points:</v>
      </c>
      <c r="BZ70" s="797"/>
      <c r="CA70" s="798"/>
      <c r="CB70" s="487">
        <f ca="1">CB69*PrSettings!$F$9</f>
        <v>0</v>
      </c>
      <c r="CC70" s="487">
        <f ca="1">CC69*PrSettings!$F$4</f>
        <v>0</v>
      </c>
      <c r="CD70" s="487">
        <f ca="1">CD69*PrSettings!$F$5</f>
        <v>0</v>
      </c>
      <c r="CE70" s="487">
        <f ca="1">CE69*PrSettings!$F$6</f>
        <v>0</v>
      </c>
      <c r="CF70" s="487">
        <f ca="1">CF69*PrSettings!$F$7</f>
        <v>0</v>
      </c>
      <c r="CG70" s="488">
        <f>CG69*PrSettings!$F$8</f>
        <v>0</v>
      </c>
      <c r="CL70" s="796" t="str">
        <f>Language!$E$175</f>
        <v>Points:</v>
      </c>
      <c r="CM70" s="797"/>
      <c r="CN70" s="798"/>
      <c r="CO70" s="487">
        <f ca="1">CO69*PrSettings!$F$9</f>
        <v>0</v>
      </c>
      <c r="CP70" s="487">
        <f ca="1">CP69*PrSettings!$F$4</f>
        <v>0</v>
      </c>
      <c r="CQ70" s="487">
        <f ca="1">CQ69*PrSettings!$F$5</f>
        <v>0</v>
      </c>
      <c r="CR70" s="487">
        <f ca="1">CR69*PrSettings!$F$6</f>
        <v>0</v>
      </c>
      <c r="CS70" s="487">
        <f ca="1">CS69*PrSettings!$F$7</f>
        <v>0</v>
      </c>
      <c r="CT70" s="488">
        <f>CT69*PrSettings!$F$8</f>
        <v>0</v>
      </c>
      <c r="CY70" s="796" t="str">
        <f>Language!$E$175</f>
        <v>Points:</v>
      </c>
      <c r="CZ70" s="797"/>
      <c r="DA70" s="798"/>
      <c r="DB70" s="487">
        <f ca="1">DB69*PrSettings!$F$9</f>
        <v>0</v>
      </c>
      <c r="DC70" s="487">
        <f ca="1">DC69*PrSettings!$F$4</f>
        <v>0</v>
      </c>
      <c r="DD70" s="487">
        <f ca="1">DD69*PrSettings!$F$5</f>
        <v>0</v>
      </c>
      <c r="DE70" s="487">
        <f ca="1">DE69*PrSettings!$F$6</f>
        <v>0</v>
      </c>
      <c r="DF70" s="487">
        <f ca="1">DF69*PrSettings!$F$7</f>
        <v>0</v>
      </c>
      <c r="DG70" s="488">
        <f>DG69*PrSettings!$F$8</f>
        <v>0</v>
      </c>
      <c r="DL70" s="796" t="str">
        <f>Language!$E$175</f>
        <v>Points:</v>
      </c>
      <c r="DM70" s="797"/>
      <c r="DN70" s="798"/>
      <c r="DO70" s="487">
        <f ca="1">DO69*PrSettings!$F$9</f>
        <v>0</v>
      </c>
      <c r="DP70" s="487">
        <f ca="1">DP69*PrSettings!$F$4</f>
        <v>0</v>
      </c>
      <c r="DQ70" s="487">
        <f ca="1">DQ69*PrSettings!$F$5</f>
        <v>0</v>
      </c>
      <c r="DR70" s="487">
        <f ca="1">DR69*PrSettings!$F$6</f>
        <v>0</v>
      </c>
      <c r="DS70" s="487">
        <f ca="1">DS69*PrSettings!$F$7</f>
        <v>0</v>
      </c>
      <c r="DT70" s="488">
        <f>DT69*PrSettings!$F$8</f>
        <v>0</v>
      </c>
      <c r="DY70" s="796" t="str">
        <f>Language!$E$175</f>
        <v>Points:</v>
      </c>
      <c r="DZ70" s="797"/>
      <c r="EA70" s="798"/>
      <c r="EB70" s="487">
        <f ca="1">EB69*PrSettings!$F$9</f>
        <v>0</v>
      </c>
      <c r="EC70" s="487">
        <f ca="1">EC69*PrSettings!$F$4</f>
        <v>0</v>
      </c>
      <c r="ED70" s="487">
        <f ca="1">ED69*PrSettings!$F$5</f>
        <v>0</v>
      </c>
      <c r="EE70" s="487">
        <f ca="1">EE69*PrSettings!$F$6</f>
        <v>0</v>
      </c>
      <c r="EF70" s="487">
        <f ca="1">EF69*PrSettings!$F$7</f>
        <v>0</v>
      </c>
      <c r="EG70" s="488">
        <f>EG69*PrSettings!$F$8</f>
        <v>0</v>
      </c>
      <c r="EL70" s="796" t="str">
        <f>Language!$E$175</f>
        <v>Points:</v>
      </c>
      <c r="EM70" s="797"/>
      <c r="EN70" s="798"/>
      <c r="EO70" s="487">
        <f ca="1">EO69*PrSettings!$F$9</f>
        <v>0</v>
      </c>
      <c r="EP70" s="487">
        <f ca="1">EP69*PrSettings!$F$4</f>
        <v>0</v>
      </c>
      <c r="EQ70" s="487">
        <f ca="1">EQ69*PrSettings!$F$5</f>
        <v>0</v>
      </c>
      <c r="ER70" s="487">
        <f ca="1">ER69*PrSettings!$F$6</f>
        <v>0</v>
      </c>
      <c r="ES70" s="487">
        <f ca="1">ES69*PrSettings!$F$7</f>
        <v>0</v>
      </c>
      <c r="ET70" s="488">
        <f>ET69*PrSettings!$F$8</f>
        <v>0</v>
      </c>
      <c r="EY70" s="796" t="str">
        <f>Language!$E$175</f>
        <v>Points:</v>
      </c>
      <c r="EZ70" s="797"/>
      <c r="FA70" s="798"/>
      <c r="FB70" s="487">
        <f ca="1">FB69*PrSettings!$F$9</f>
        <v>0</v>
      </c>
      <c r="FC70" s="487">
        <f ca="1">FC69*PrSettings!$F$4</f>
        <v>0</v>
      </c>
      <c r="FD70" s="487">
        <f ca="1">FD69*PrSettings!$F$5</f>
        <v>0</v>
      </c>
      <c r="FE70" s="487">
        <f ca="1">FE69*PrSettings!$F$6</f>
        <v>0</v>
      </c>
      <c r="FF70" s="487">
        <f ca="1">FF69*PrSettings!$F$7</f>
        <v>0</v>
      </c>
      <c r="FG70" s="488">
        <f>FG69*PrSettings!$F$8</f>
        <v>0</v>
      </c>
      <c r="FL70" s="796" t="str">
        <f>Language!$E$175</f>
        <v>Points:</v>
      </c>
      <c r="FM70" s="797"/>
      <c r="FN70" s="798"/>
      <c r="FO70" s="487">
        <f ca="1">FO69*PrSettings!$F$9</f>
        <v>0</v>
      </c>
      <c r="FP70" s="487">
        <f ca="1">FP69*PrSettings!$F$4</f>
        <v>0</v>
      </c>
      <c r="FQ70" s="487">
        <f ca="1">FQ69*PrSettings!$F$5</f>
        <v>0</v>
      </c>
      <c r="FR70" s="487">
        <f ca="1">FR69*PrSettings!$F$6</f>
        <v>0</v>
      </c>
      <c r="FS70" s="487">
        <f ca="1">FS69*PrSettings!$F$7</f>
        <v>0</v>
      </c>
      <c r="FT70" s="488">
        <f>FT69*PrSettings!$F$8</f>
        <v>0</v>
      </c>
      <c r="FY70" s="796" t="str">
        <f>Language!$E$175</f>
        <v>Points:</v>
      </c>
      <c r="FZ70" s="797"/>
      <c r="GA70" s="798"/>
      <c r="GB70" s="487">
        <f ca="1">GB69*PrSettings!$F$9</f>
        <v>0</v>
      </c>
      <c r="GC70" s="487">
        <f ca="1">GC69*PrSettings!$F$4</f>
        <v>0</v>
      </c>
      <c r="GD70" s="487">
        <f ca="1">GD69*PrSettings!$F$5</f>
        <v>0</v>
      </c>
      <c r="GE70" s="487">
        <f ca="1">GE69*PrSettings!$F$6</f>
        <v>0</v>
      </c>
      <c r="GF70" s="487">
        <f ca="1">GF69*PrSettings!$F$7</f>
        <v>0</v>
      </c>
      <c r="GG70" s="488">
        <f>GG69*PrSettings!$F$8</f>
        <v>0</v>
      </c>
      <c r="GL70" s="796" t="str">
        <f>Language!$E$175</f>
        <v>Points:</v>
      </c>
      <c r="GM70" s="797"/>
      <c r="GN70" s="798"/>
      <c r="GO70" s="487">
        <f ca="1">GO69*PrSettings!$F$9</f>
        <v>0</v>
      </c>
      <c r="GP70" s="487">
        <f ca="1">GP69*PrSettings!$F$4</f>
        <v>0</v>
      </c>
      <c r="GQ70" s="487">
        <f ca="1">GQ69*PrSettings!$F$5</f>
        <v>0</v>
      </c>
      <c r="GR70" s="487">
        <f ca="1">GR69*PrSettings!$F$6</f>
        <v>0</v>
      </c>
      <c r="GS70" s="487">
        <f ca="1">GS69*PrSettings!$F$7</f>
        <v>0</v>
      </c>
      <c r="GT70" s="488">
        <f>GT69*PrSettings!$F$8</f>
        <v>0</v>
      </c>
      <c r="GY70" s="796" t="str">
        <f>Language!$E$175</f>
        <v>Points:</v>
      </c>
      <c r="GZ70" s="797"/>
      <c r="HA70" s="798"/>
      <c r="HB70" s="487">
        <f ca="1">HB69*PrSettings!$F$9</f>
        <v>0</v>
      </c>
      <c r="HC70" s="487">
        <f ca="1">HC69*PrSettings!$F$4</f>
        <v>0</v>
      </c>
      <c r="HD70" s="487">
        <f ca="1">HD69*PrSettings!$F$5</f>
        <v>0</v>
      </c>
      <c r="HE70" s="487">
        <f ca="1">HE69*PrSettings!$F$6</f>
        <v>0</v>
      </c>
      <c r="HF70" s="487">
        <f ca="1">HF69*PrSettings!$F$7</f>
        <v>0</v>
      </c>
      <c r="HG70" s="488">
        <f>HG69*PrSettings!$F$8</f>
        <v>0</v>
      </c>
      <c r="HL70" s="796" t="str">
        <f>Language!$E$175</f>
        <v>Points:</v>
      </c>
      <c r="HM70" s="797"/>
      <c r="HN70" s="798"/>
      <c r="HO70" s="487">
        <f ca="1">HO69*PrSettings!$F$9</f>
        <v>0</v>
      </c>
      <c r="HP70" s="487">
        <f ca="1">HP69*PrSettings!$F$4</f>
        <v>0</v>
      </c>
      <c r="HQ70" s="487">
        <f ca="1">HQ69*PrSettings!$F$5</f>
        <v>0</v>
      </c>
      <c r="HR70" s="487">
        <f ca="1">HR69*PrSettings!$F$6</f>
        <v>0</v>
      </c>
      <c r="HS70" s="487">
        <f ca="1">HS69*PrSettings!$F$7</f>
        <v>0</v>
      </c>
      <c r="HT70" s="488">
        <f>HT69*PrSettings!$F$8</f>
        <v>0</v>
      </c>
      <c r="HY70" s="796" t="str">
        <f>Language!$E$175</f>
        <v>Points:</v>
      </c>
      <c r="HZ70" s="797"/>
      <c r="IA70" s="798"/>
      <c r="IB70" s="487">
        <f ca="1">IB69*PrSettings!$F$9</f>
        <v>0</v>
      </c>
      <c r="IC70" s="487">
        <f ca="1">IC69*PrSettings!$F$4</f>
        <v>0</v>
      </c>
      <c r="ID70" s="487">
        <f ca="1">ID69*PrSettings!$F$5</f>
        <v>0</v>
      </c>
      <c r="IE70" s="487">
        <f ca="1">IE69*PrSettings!$F$6</f>
        <v>0</v>
      </c>
      <c r="IF70" s="487">
        <f ca="1">IF69*PrSettings!$F$7</f>
        <v>0</v>
      </c>
      <c r="IG70" s="488">
        <f>IG69*PrSettings!$F$8</f>
        <v>0</v>
      </c>
      <c r="IL70" s="796" t="str">
        <f>Language!$E$175</f>
        <v>Points:</v>
      </c>
      <c r="IM70" s="797"/>
      <c r="IN70" s="798"/>
      <c r="IO70" s="487">
        <f ca="1">IO69*PrSettings!$F$9</f>
        <v>0</v>
      </c>
      <c r="IP70" s="487">
        <f ca="1">IP69*PrSettings!$F$4</f>
        <v>0</v>
      </c>
      <c r="IQ70" s="487">
        <f ca="1">IQ69*PrSettings!$F$5</f>
        <v>0</v>
      </c>
      <c r="IR70" s="487">
        <f ca="1">IR69*PrSettings!$F$6</f>
        <v>0</v>
      </c>
      <c r="IS70" s="487">
        <f ca="1">IS69*PrSettings!$F$7</f>
        <v>0</v>
      </c>
      <c r="IT70" s="488">
        <f>IT69*PrSettings!$F$8</f>
        <v>0</v>
      </c>
      <c r="IY70" s="796" t="str">
        <f>Language!$E$175</f>
        <v>Points:</v>
      </c>
      <c r="IZ70" s="797"/>
      <c r="JA70" s="798"/>
      <c r="JB70" s="487">
        <f ca="1">JB69*PrSettings!$F$9</f>
        <v>0</v>
      </c>
      <c r="JC70" s="487">
        <f ca="1">JC69*PrSettings!$F$4</f>
        <v>0</v>
      </c>
      <c r="JD70" s="487">
        <f ca="1">JD69*PrSettings!$F$5</f>
        <v>0</v>
      </c>
      <c r="JE70" s="487">
        <f ca="1">JE69*PrSettings!$F$6</f>
        <v>0</v>
      </c>
      <c r="JF70" s="487">
        <f ca="1">JF69*PrSettings!$F$7</f>
        <v>0</v>
      </c>
      <c r="JG70" s="488">
        <f>JG69*PrSettings!$F$8</f>
        <v>0</v>
      </c>
      <c r="JL70" s="796" t="str">
        <f>Language!$E$175</f>
        <v>Points:</v>
      </c>
      <c r="JM70" s="797"/>
      <c r="JN70" s="798"/>
      <c r="JO70" s="487">
        <f ca="1">JO69*PrSettings!$F$9</f>
        <v>0</v>
      </c>
      <c r="JP70" s="487">
        <f ca="1">JP69*PrSettings!$F$4</f>
        <v>0</v>
      </c>
      <c r="JQ70" s="487">
        <f ca="1">JQ69*PrSettings!$F$5</f>
        <v>0</v>
      </c>
      <c r="JR70" s="487">
        <f ca="1">JR69*PrSettings!$F$6</f>
        <v>0</v>
      </c>
      <c r="JS70" s="487">
        <f ca="1">JS69*PrSettings!$F$7</f>
        <v>0</v>
      </c>
      <c r="JT70" s="488">
        <f>JT69*PrSettings!$F$8</f>
        <v>0</v>
      </c>
      <c r="JY70" s="796" t="str">
        <f>Language!$E$175</f>
        <v>Points:</v>
      </c>
      <c r="JZ70" s="797"/>
      <c r="KA70" s="798"/>
      <c r="KB70" s="487">
        <f ca="1">KB69*PrSettings!$F$9</f>
        <v>0</v>
      </c>
      <c r="KC70" s="487">
        <f ca="1">KC69*PrSettings!$F$4</f>
        <v>0</v>
      </c>
      <c r="KD70" s="487">
        <f ca="1">KD69*PrSettings!$F$5</f>
        <v>0</v>
      </c>
      <c r="KE70" s="487">
        <f ca="1">KE69*PrSettings!$F$6</f>
        <v>0</v>
      </c>
      <c r="KF70" s="487">
        <f ca="1">KF69*PrSettings!$F$7</f>
        <v>0</v>
      </c>
      <c r="KG70" s="488">
        <f>KG69*PrSettings!$F$8</f>
        <v>0</v>
      </c>
      <c r="KL70" s="796" t="str">
        <f>Language!$E$175</f>
        <v>Points:</v>
      </c>
      <c r="KM70" s="797"/>
      <c r="KN70" s="798"/>
      <c r="KO70" s="487">
        <f ca="1">KO69*PrSettings!$F$9</f>
        <v>0</v>
      </c>
      <c r="KP70" s="487">
        <f ca="1">KP69*PrSettings!$F$4</f>
        <v>0</v>
      </c>
      <c r="KQ70" s="487">
        <f ca="1">KQ69*PrSettings!$F$5</f>
        <v>0</v>
      </c>
      <c r="KR70" s="487">
        <f ca="1">KR69*PrSettings!$F$6</f>
        <v>0</v>
      </c>
      <c r="KS70" s="487">
        <f ca="1">KS69*PrSettings!$F$7</f>
        <v>0</v>
      </c>
      <c r="KT70" s="488">
        <f>KT69*PrSettings!$F$8</f>
        <v>0</v>
      </c>
      <c r="KY70" s="796" t="str">
        <f>Language!$E$175</f>
        <v>Points:</v>
      </c>
      <c r="KZ70" s="797"/>
      <c r="LA70" s="798"/>
      <c r="LB70" s="487">
        <f ca="1">LB69*PrSettings!$F$9</f>
        <v>0</v>
      </c>
      <c r="LC70" s="487">
        <f ca="1">LC69*PrSettings!$F$4</f>
        <v>0</v>
      </c>
      <c r="LD70" s="487">
        <f ca="1">LD69*PrSettings!$F$5</f>
        <v>0</v>
      </c>
      <c r="LE70" s="487">
        <f ca="1">LE69*PrSettings!$F$6</f>
        <v>0</v>
      </c>
      <c r="LF70" s="487">
        <f ca="1">LF69*PrSettings!$F$7</f>
        <v>0</v>
      </c>
      <c r="LG70" s="488">
        <f>LG69*PrSettings!$F$8</f>
        <v>0</v>
      </c>
      <c r="LL70" s="796" t="str">
        <f>Language!$E$175</f>
        <v>Points:</v>
      </c>
      <c r="LM70" s="797"/>
      <c r="LN70" s="798"/>
      <c r="LO70" s="487">
        <f ca="1">LO69*PrSettings!$F$9</f>
        <v>0</v>
      </c>
      <c r="LP70" s="487">
        <f ca="1">LP69*PrSettings!$F$4</f>
        <v>0</v>
      </c>
      <c r="LQ70" s="487">
        <f ca="1">LQ69*PrSettings!$F$5</f>
        <v>0</v>
      </c>
      <c r="LR70" s="487">
        <f ca="1">LR69*PrSettings!$F$6</f>
        <v>0</v>
      </c>
      <c r="LS70" s="487">
        <f ca="1">LS69*PrSettings!$F$7</f>
        <v>0</v>
      </c>
      <c r="LT70" s="488">
        <f>LT69*PrSettings!$F$8</f>
        <v>0</v>
      </c>
      <c r="LY70" s="796" t="str">
        <f>Language!$E$175</f>
        <v>Points:</v>
      </c>
      <c r="LZ70" s="797"/>
      <c r="MA70" s="798"/>
      <c r="MB70" s="487">
        <f ca="1">MB69*PrSettings!$F$9</f>
        <v>0</v>
      </c>
      <c r="MC70" s="487">
        <f ca="1">MC69*PrSettings!$F$4</f>
        <v>0</v>
      </c>
      <c r="MD70" s="487">
        <f ca="1">MD69*PrSettings!$F$5</f>
        <v>0</v>
      </c>
      <c r="ME70" s="487">
        <f ca="1">ME69*PrSettings!$F$6</f>
        <v>0</v>
      </c>
      <c r="MF70" s="487">
        <f ca="1">MF69*PrSettings!$F$7</f>
        <v>0</v>
      </c>
      <c r="MG70" s="488">
        <f>MG69*PrSettings!$F$8</f>
        <v>0</v>
      </c>
    </row>
    <row r="71" spans="12:345" ht="16.5" customHeight="1" thickTop="1" thickBot="1">
      <c r="L71" s="796" t="str">
        <f>Language!$E$175</f>
        <v>Points:</v>
      </c>
      <c r="M71" s="797"/>
      <c r="N71" s="798"/>
      <c r="O71" s="660">
        <f ca="1">O69*PrSettings!$F$9</f>
        <v>0</v>
      </c>
      <c r="P71" s="661">
        <f ca="1">P69*PrSettings!$F$4</f>
        <v>0</v>
      </c>
      <c r="Q71" s="661">
        <f ca="1">Q69*PrSettings!$F$5</f>
        <v>0</v>
      </c>
      <c r="R71" s="661">
        <f ca="1">R69*PrSettings!$F$6</f>
        <v>0</v>
      </c>
      <c r="S71" s="661">
        <f ca="1">S69*PrSettings!$F$7</f>
        <v>0</v>
      </c>
      <c r="T71" s="662">
        <f>T69*PrSettings!$F$8</f>
        <v>0</v>
      </c>
      <c r="Y71" s="796" t="str">
        <f>Language!$E$175</f>
        <v>Points:</v>
      </c>
      <c r="Z71" s="797"/>
      <c r="AA71" s="798"/>
      <c r="AB71" s="660">
        <f ca="1">AB69*PrSettings!$F$9</f>
        <v>0</v>
      </c>
      <c r="AC71" s="661">
        <f ca="1">AC69*PrSettings!$F$4</f>
        <v>0</v>
      </c>
      <c r="AD71" s="661">
        <f ca="1">AD69*PrSettings!$F$5</f>
        <v>0</v>
      </c>
      <c r="AE71" s="661">
        <f ca="1">AE69*PrSettings!$F$6</f>
        <v>0</v>
      </c>
      <c r="AF71" s="661">
        <f ca="1">AF69*PrSettings!$F$7</f>
        <v>0</v>
      </c>
      <c r="AG71" s="662">
        <f>AG69*PrSettings!$F$8</f>
        <v>0</v>
      </c>
      <c r="AL71" s="796" t="str">
        <f>Language!$E$175</f>
        <v>Points:</v>
      </c>
      <c r="AM71" s="797"/>
      <c r="AN71" s="798"/>
      <c r="AO71" s="660">
        <f ca="1">AO69*PrSettings!$F$9</f>
        <v>0</v>
      </c>
      <c r="AP71" s="661">
        <f ca="1">AP69*PrSettings!$F$4</f>
        <v>0</v>
      </c>
      <c r="AQ71" s="661">
        <f ca="1">AQ69*PrSettings!$F$5</f>
        <v>0</v>
      </c>
      <c r="AR71" s="661">
        <f ca="1">AR69*PrSettings!$F$6</f>
        <v>0</v>
      </c>
      <c r="AS71" s="661">
        <f ca="1">AS69*PrSettings!$F$7</f>
        <v>0</v>
      </c>
      <c r="AT71" s="662">
        <f>AT69*PrSettings!$F$8</f>
        <v>0</v>
      </c>
      <c r="AY71" s="796" t="str">
        <f>Language!$E$175</f>
        <v>Points:</v>
      </c>
      <c r="AZ71" s="797"/>
      <c r="BA71" s="798"/>
      <c r="BB71" s="660">
        <f ca="1">BB69*PrSettings!$F$9</f>
        <v>0</v>
      </c>
      <c r="BC71" s="661">
        <f ca="1">BC69*PrSettings!$F$4</f>
        <v>0</v>
      </c>
      <c r="BD71" s="661">
        <f ca="1">BD69*PrSettings!$F$5</f>
        <v>0</v>
      </c>
      <c r="BE71" s="661">
        <f ca="1">BE69*PrSettings!$F$6</f>
        <v>0</v>
      </c>
      <c r="BF71" s="661">
        <f ca="1">BF69*PrSettings!$F$7</f>
        <v>0</v>
      </c>
      <c r="BG71" s="662">
        <f>BG69*PrSettings!$F$8</f>
        <v>0</v>
      </c>
      <c r="BL71" s="796" t="str">
        <f>Language!$E$175</f>
        <v>Points:</v>
      </c>
      <c r="BM71" s="797"/>
      <c r="BN71" s="798"/>
      <c r="BO71" s="660">
        <f ca="1">BO69*PrSettings!$F$9</f>
        <v>0</v>
      </c>
      <c r="BP71" s="661">
        <f ca="1">BP69*PrSettings!$F$4</f>
        <v>0</v>
      </c>
      <c r="BQ71" s="661">
        <f ca="1">BQ69*PrSettings!$F$5</f>
        <v>0</v>
      </c>
      <c r="BR71" s="661">
        <f ca="1">BR69*PrSettings!$F$6</f>
        <v>0</v>
      </c>
      <c r="BS71" s="661">
        <f ca="1">BS69*PrSettings!$F$7</f>
        <v>0</v>
      </c>
      <c r="BT71" s="662">
        <f>BT69*PrSettings!$F$8</f>
        <v>0</v>
      </c>
      <c r="BY71" s="796" t="str">
        <f>Language!$E$175</f>
        <v>Points:</v>
      </c>
      <c r="BZ71" s="797"/>
      <c r="CA71" s="798"/>
      <c r="CB71" s="660">
        <f ca="1">CB69*PrSettings!$F$9</f>
        <v>0</v>
      </c>
      <c r="CC71" s="661">
        <f ca="1">CC69*PrSettings!$F$4</f>
        <v>0</v>
      </c>
      <c r="CD71" s="661">
        <f ca="1">CD69*PrSettings!$F$5</f>
        <v>0</v>
      </c>
      <c r="CE71" s="661">
        <f ca="1">CE69*PrSettings!$F$6</f>
        <v>0</v>
      </c>
      <c r="CF71" s="661">
        <f ca="1">CF69*PrSettings!$F$7</f>
        <v>0</v>
      </c>
      <c r="CG71" s="662">
        <f>CG69*PrSettings!$F$8</f>
        <v>0</v>
      </c>
      <c r="CL71" s="796" t="str">
        <f>Language!$E$175</f>
        <v>Points:</v>
      </c>
      <c r="CM71" s="797"/>
      <c r="CN71" s="798"/>
      <c r="CO71" s="660">
        <f ca="1">CO69*PrSettings!$F$9</f>
        <v>0</v>
      </c>
      <c r="CP71" s="661">
        <f ca="1">CP69*PrSettings!$F$4</f>
        <v>0</v>
      </c>
      <c r="CQ71" s="661">
        <f ca="1">CQ69*PrSettings!$F$5</f>
        <v>0</v>
      </c>
      <c r="CR71" s="661">
        <f ca="1">CR69*PrSettings!$F$6</f>
        <v>0</v>
      </c>
      <c r="CS71" s="661">
        <f ca="1">CS69*PrSettings!$F$7</f>
        <v>0</v>
      </c>
      <c r="CT71" s="662">
        <f>CT69*PrSettings!$F$8</f>
        <v>0</v>
      </c>
      <c r="CY71" s="796" t="str">
        <f>Language!$E$175</f>
        <v>Points:</v>
      </c>
      <c r="CZ71" s="797"/>
      <c r="DA71" s="798"/>
      <c r="DB71" s="660">
        <f ca="1">DB69*PrSettings!$F$9</f>
        <v>0</v>
      </c>
      <c r="DC71" s="661">
        <f ca="1">DC69*PrSettings!$F$4</f>
        <v>0</v>
      </c>
      <c r="DD71" s="661">
        <f ca="1">DD69*PrSettings!$F$5</f>
        <v>0</v>
      </c>
      <c r="DE71" s="661">
        <f ca="1">DE69*PrSettings!$F$6</f>
        <v>0</v>
      </c>
      <c r="DF71" s="661">
        <f ca="1">DF69*PrSettings!$F$7</f>
        <v>0</v>
      </c>
      <c r="DG71" s="662">
        <f>DG69*PrSettings!$F$8</f>
        <v>0</v>
      </c>
      <c r="DL71" s="796" t="str">
        <f>Language!$E$175</f>
        <v>Points:</v>
      </c>
      <c r="DM71" s="797"/>
      <c r="DN71" s="798"/>
      <c r="DO71" s="660">
        <f ca="1">DO69*PrSettings!$F$9</f>
        <v>0</v>
      </c>
      <c r="DP71" s="661">
        <f ca="1">DP69*PrSettings!$F$4</f>
        <v>0</v>
      </c>
      <c r="DQ71" s="661">
        <f ca="1">DQ69*PrSettings!$F$5</f>
        <v>0</v>
      </c>
      <c r="DR71" s="661">
        <f ca="1">DR69*PrSettings!$F$6</f>
        <v>0</v>
      </c>
      <c r="DS71" s="661">
        <f ca="1">DS69*PrSettings!$F$7</f>
        <v>0</v>
      </c>
      <c r="DT71" s="662">
        <f>DT69*PrSettings!$F$8</f>
        <v>0</v>
      </c>
      <c r="DY71" s="796" t="str">
        <f>Language!$E$175</f>
        <v>Points:</v>
      </c>
      <c r="DZ71" s="797"/>
      <c r="EA71" s="798"/>
      <c r="EB71" s="660">
        <f ca="1">EB69*PrSettings!$F$9</f>
        <v>0</v>
      </c>
      <c r="EC71" s="661">
        <f ca="1">EC69*PrSettings!$F$4</f>
        <v>0</v>
      </c>
      <c r="ED71" s="661">
        <f ca="1">ED69*PrSettings!$F$5</f>
        <v>0</v>
      </c>
      <c r="EE71" s="661">
        <f ca="1">EE69*PrSettings!$F$6</f>
        <v>0</v>
      </c>
      <c r="EF71" s="661">
        <f ca="1">EF69*PrSettings!$F$7</f>
        <v>0</v>
      </c>
      <c r="EG71" s="662">
        <f>EG69*PrSettings!$F$8</f>
        <v>0</v>
      </c>
      <c r="EL71" s="796" t="str">
        <f>Language!$E$175</f>
        <v>Points:</v>
      </c>
      <c r="EM71" s="797"/>
      <c r="EN71" s="798"/>
      <c r="EO71" s="660">
        <f ca="1">EO69*PrSettings!$F$9</f>
        <v>0</v>
      </c>
      <c r="EP71" s="661">
        <f ca="1">EP69*PrSettings!$F$4</f>
        <v>0</v>
      </c>
      <c r="EQ71" s="661">
        <f ca="1">EQ69*PrSettings!$F$5</f>
        <v>0</v>
      </c>
      <c r="ER71" s="661">
        <f ca="1">ER69*PrSettings!$F$6</f>
        <v>0</v>
      </c>
      <c r="ES71" s="661">
        <f ca="1">ES69*PrSettings!$F$7</f>
        <v>0</v>
      </c>
      <c r="ET71" s="662">
        <f>ET69*PrSettings!$F$8</f>
        <v>0</v>
      </c>
      <c r="EY71" s="796" t="str">
        <f>Language!$E$175</f>
        <v>Points:</v>
      </c>
      <c r="EZ71" s="797"/>
      <c r="FA71" s="798"/>
      <c r="FB71" s="660">
        <f ca="1">FB69*PrSettings!$F$9</f>
        <v>0</v>
      </c>
      <c r="FC71" s="661">
        <f ca="1">FC69*PrSettings!$F$4</f>
        <v>0</v>
      </c>
      <c r="FD71" s="661">
        <f ca="1">FD69*PrSettings!$F$5</f>
        <v>0</v>
      </c>
      <c r="FE71" s="661">
        <f ca="1">FE69*PrSettings!$F$6</f>
        <v>0</v>
      </c>
      <c r="FF71" s="661">
        <f ca="1">FF69*PrSettings!$F$7</f>
        <v>0</v>
      </c>
      <c r="FG71" s="662">
        <f>FG69*PrSettings!$F$8</f>
        <v>0</v>
      </c>
      <c r="FL71" s="796" t="str">
        <f>Language!$E$175</f>
        <v>Points:</v>
      </c>
      <c r="FM71" s="797"/>
      <c r="FN71" s="798"/>
      <c r="FO71" s="660">
        <f ca="1">FO69*PrSettings!$F$9</f>
        <v>0</v>
      </c>
      <c r="FP71" s="661">
        <f ca="1">FP69*PrSettings!$F$4</f>
        <v>0</v>
      </c>
      <c r="FQ71" s="661">
        <f ca="1">FQ69*PrSettings!$F$5</f>
        <v>0</v>
      </c>
      <c r="FR71" s="661">
        <f ca="1">FR69*PrSettings!$F$6</f>
        <v>0</v>
      </c>
      <c r="FS71" s="661">
        <f ca="1">FS69*PrSettings!$F$7</f>
        <v>0</v>
      </c>
      <c r="FT71" s="662">
        <f>FT69*PrSettings!$F$8</f>
        <v>0</v>
      </c>
      <c r="FY71" s="796" t="str">
        <f>Language!$E$175</f>
        <v>Points:</v>
      </c>
      <c r="FZ71" s="797"/>
      <c r="GA71" s="798"/>
      <c r="GB71" s="660">
        <f ca="1">GB69*PrSettings!$F$9</f>
        <v>0</v>
      </c>
      <c r="GC71" s="661">
        <f ca="1">GC69*PrSettings!$F$4</f>
        <v>0</v>
      </c>
      <c r="GD71" s="661">
        <f ca="1">GD69*PrSettings!$F$5</f>
        <v>0</v>
      </c>
      <c r="GE71" s="661">
        <f ca="1">GE69*PrSettings!$F$6</f>
        <v>0</v>
      </c>
      <c r="GF71" s="661">
        <f ca="1">GF69*PrSettings!$F$7</f>
        <v>0</v>
      </c>
      <c r="GG71" s="662">
        <f>GG69*PrSettings!$F$8</f>
        <v>0</v>
      </c>
      <c r="GL71" s="796" t="str">
        <f>Language!$E$175</f>
        <v>Points:</v>
      </c>
      <c r="GM71" s="797"/>
      <c r="GN71" s="798"/>
      <c r="GO71" s="660">
        <f ca="1">GO69*PrSettings!$F$9</f>
        <v>0</v>
      </c>
      <c r="GP71" s="661">
        <f ca="1">GP69*PrSettings!$F$4</f>
        <v>0</v>
      </c>
      <c r="GQ71" s="661">
        <f ca="1">GQ69*PrSettings!$F$5</f>
        <v>0</v>
      </c>
      <c r="GR71" s="661">
        <f ca="1">GR69*PrSettings!$F$6</f>
        <v>0</v>
      </c>
      <c r="GS71" s="661">
        <f ca="1">GS69*PrSettings!$F$7</f>
        <v>0</v>
      </c>
      <c r="GT71" s="662">
        <f>GT69*PrSettings!$F$8</f>
        <v>0</v>
      </c>
      <c r="GY71" s="796" t="str">
        <f>Language!$E$175</f>
        <v>Points:</v>
      </c>
      <c r="GZ71" s="797"/>
      <c r="HA71" s="798"/>
      <c r="HB71" s="660">
        <f ca="1">HB69*PrSettings!$F$9</f>
        <v>0</v>
      </c>
      <c r="HC71" s="661">
        <f ca="1">HC69*PrSettings!$F$4</f>
        <v>0</v>
      </c>
      <c r="HD71" s="661">
        <f ca="1">HD69*PrSettings!$F$5</f>
        <v>0</v>
      </c>
      <c r="HE71" s="661">
        <f ca="1">HE69*PrSettings!$F$6</f>
        <v>0</v>
      </c>
      <c r="HF71" s="661">
        <f ca="1">HF69*PrSettings!$F$7</f>
        <v>0</v>
      </c>
      <c r="HG71" s="662">
        <f>HG69*PrSettings!$F$8</f>
        <v>0</v>
      </c>
      <c r="HL71" s="796" t="str">
        <f>Language!$E$175</f>
        <v>Points:</v>
      </c>
      <c r="HM71" s="797"/>
      <c r="HN71" s="798"/>
      <c r="HO71" s="660">
        <f ca="1">HO69*PrSettings!$F$9</f>
        <v>0</v>
      </c>
      <c r="HP71" s="661">
        <f ca="1">HP69*PrSettings!$F$4</f>
        <v>0</v>
      </c>
      <c r="HQ71" s="661">
        <f ca="1">HQ69*PrSettings!$F$5</f>
        <v>0</v>
      </c>
      <c r="HR71" s="661">
        <f ca="1">HR69*PrSettings!$F$6</f>
        <v>0</v>
      </c>
      <c r="HS71" s="661">
        <f ca="1">HS69*PrSettings!$F$7</f>
        <v>0</v>
      </c>
      <c r="HT71" s="662">
        <f>HT69*PrSettings!$F$8</f>
        <v>0</v>
      </c>
      <c r="HY71" s="796" t="str">
        <f>Language!$E$175</f>
        <v>Points:</v>
      </c>
      <c r="HZ71" s="797"/>
      <c r="IA71" s="798"/>
      <c r="IB71" s="660">
        <f ca="1">IB69*PrSettings!$F$9</f>
        <v>0</v>
      </c>
      <c r="IC71" s="661">
        <f ca="1">IC69*PrSettings!$F$4</f>
        <v>0</v>
      </c>
      <c r="ID71" s="661">
        <f ca="1">ID69*PrSettings!$F$5</f>
        <v>0</v>
      </c>
      <c r="IE71" s="661">
        <f ca="1">IE69*PrSettings!$F$6</f>
        <v>0</v>
      </c>
      <c r="IF71" s="661">
        <f ca="1">IF69*PrSettings!$F$7</f>
        <v>0</v>
      </c>
      <c r="IG71" s="662">
        <f>IG69*PrSettings!$F$8</f>
        <v>0</v>
      </c>
      <c r="IL71" s="796" t="str">
        <f>Language!$E$175</f>
        <v>Points:</v>
      </c>
      <c r="IM71" s="797"/>
      <c r="IN71" s="798"/>
      <c r="IO71" s="660">
        <f ca="1">IO69*PrSettings!$F$9</f>
        <v>0</v>
      </c>
      <c r="IP71" s="661">
        <f ca="1">IP69*PrSettings!$F$4</f>
        <v>0</v>
      </c>
      <c r="IQ71" s="661">
        <f ca="1">IQ69*PrSettings!$F$5</f>
        <v>0</v>
      </c>
      <c r="IR71" s="661">
        <f ca="1">IR69*PrSettings!$F$6</f>
        <v>0</v>
      </c>
      <c r="IS71" s="661">
        <f ca="1">IS69*PrSettings!$F$7</f>
        <v>0</v>
      </c>
      <c r="IT71" s="662">
        <f>IT69*PrSettings!$F$8</f>
        <v>0</v>
      </c>
      <c r="IY71" s="796" t="str">
        <f>Language!$E$175</f>
        <v>Points:</v>
      </c>
      <c r="IZ71" s="797"/>
      <c r="JA71" s="798"/>
      <c r="JB71" s="660">
        <f ca="1">JB69*PrSettings!$F$9</f>
        <v>0</v>
      </c>
      <c r="JC71" s="661">
        <f ca="1">JC69*PrSettings!$F$4</f>
        <v>0</v>
      </c>
      <c r="JD71" s="661">
        <f ca="1">JD69*PrSettings!$F$5</f>
        <v>0</v>
      </c>
      <c r="JE71" s="661">
        <f ca="1">JE69*PrSettings!$F$6</f>
        <v>0</v>
      </c>
      <c r="JF71" s="661">
        <f ca="1">JF69*PrSettings!$F$7</f>
        <v>0</v>
      </c>
      <c r="JG71" s="662">
        <f>JG69*PrSettings!$F$8</f>
        <v>0</v>
      </c>
      <c r="JL71" s="796" t="str">
        <f>Language!$E$175</f>
        <v>Points:</v>
      </c>
      <c r="JM71" s="797"/>
      <c r="JN71" s="798"/>
      <c r="JO71" s="660">
        <f ca="1">JO69*PrSettings!$F$9</f>
        <v>0</v>
      </c>
      <c r="JP71" s="661">
        <f ca="1">JP69*PrSettings!$F$4</f>
        <v>0</v>
      </c>
      <c r="JQ71" s="661">
        <f ca="1">JQ69*PrSettings!$F$5</f>
        <v>0</v>
      </c>
      <c r="JR71" s="661">
        <f ca="1">JR69*PrSettings!$F$6</f>
        <v>0</v>
      </c>
      <c r="JS71" s="661">
        <f ca="1">JS69*PrSettings!$F$7</f>
        <v>0</v>
      </c>
      <c r="JT71" s="662">
        <f>JT69*PrSettings!$F$8</f>
        <v>0</v>
      </c>
      <c r="JY71" s="796" t="str">
        <f>Language!$E$175</f>
        <v>Points:</v>
      </c>
      <c r="JZ71" s="797"/>
      <c r="KA71" s="798"/>
      <c r="KB71" s="660">
        <f ca="1">KB69*PrSettings!$F$9</f>
        <v>0</v>
      </c>
      <c r="KC71" s="661">
        <f ca="1">KC69*PrSettings!$F$4</f>
        <v>0</v>
      </c>
      <c r="KD71" s="661">
        <f ca="1">KD69*PrSettings!$F$5</f>
        <v>0</v>
      </c>
      <c r="KE71" s="661">
        <f ca="1">KE69*PrSettings!$F$6</f>
        <v>0</v>
      </c>
      <c r="KF71" s="661">
        <f ca="1">KF69*PrSettings!$F$7</f>
        <v>0</v>
      </c>
      <c r="KG71" s="662">
        <f>KG69*PrSettings!$F$8</f>
        <v>0</v>
      </c>
      <c r="KL71" s="796" t="str">
        <f>Language!$E$175</f>
        <v>Points:</v>
      </c>
      <c r="KM71" s="797"/>
      <c r="KN71" s="798"/>
      <c r="KO71" s="660">
        <f ca="1">KO69*PrSettings!$F$9</f>
        <v>0</v>
      </c>
      <c r="KP71" s="661">
        <f ca="1">KP69*PrSettings!$F$4</f>
        <v>0</v>
      </c>
      <c r="KQ71" s="661">
        <f ca="1">KQ69*PrSettings!$F$5</f>
        <v>0</v>
      </c>
      <c r="KR71" s="661">
        <f ca="1">KR69*PrSettings!$F$6</f>
        <v>0</v>
      </c>
      <c r="KS71" s="661">
        <f ca="1">KS69*PrSettings!$F$7</f>
        <v>0</v>
      </c>
      <c r="KT71" s="662">
        <f>KT69*PrSettings!$F$8</f>
        <v>0</v>
      </c>
      <c r="KY71" s="796" t="str">
        <f>Language!$E$175</f>
        <v>Points:</v>
      </c>
      <c r="KZ71" s="797"/>
      <c r="LA71" s="798"/>
      <c r="LB71" s="660">
        <f ca="1">LB69*PrSettings!$F$9</f>
        <v>0</v>
      </c>
      <c r="LC71" s="661">
        <f ca="1">LC69*PrSettings!$F$4</f>
        <v>0</v>
      </c>
      <c r="LD71" s="661">
        <f ca="1">LD69*PrSettings!$F$5</f>
        <v>0</v>
      </c>
      <c r="LE71" s="661">
        <f ca="1">LE69*PrSettings!$F$6</f>
        <v>0</v>
      </c>
      <c r="LF71" s="661">
        <f ca="1">LF69*PrSettings!$F$7</f>
        <v>0</v>
      </c>
      <c r="LG71" s="662">
        <f>LG69*PrSettings!$F$8</f>
        <v>0</v>
      </c>
      <c r="LL71" s="796" t="str">
        <f>Language!$E$175</f>
        <v>Points:</v>
      </c>
      <c r="LM71" s="797"/>
      <c r="LN71" s="798"/>
      <c r="LO71" s="660">
        <f ca="1">LO69*PrSettings!$F$9</f>
        <v>0</v>
      </c>
      <c r="LP71" s="661">
        <f ca="1">LP69*PrSettings!$F$4</f>
        <v>0</v>
      </c>
      <c r="LQ71" s="661">
        <f ca="1">LQ69*PrSettings!$F$5</f>
        <v>0</v>
      </c>
      <c r="LR71" s="661">
        <f ca="1">LR69*PrSettings!$F$6</f>
        <v>0</v>
      </c>
      <c r="LS71" s="661">
        <f ca="1">LS69*PrSettings!$F$7</f>
        <v>0</v>
      </c>
      <c r="LT71" s="662">
        <f>LT69*PrSettings!$F$8</f>
        <v>0</v>
      </c>
      <c r="LY71" s="796" t="str">
        <f>Language!$E$175</f>
        <v>Points:</v>
      </c>
      <c r="LZ71" s="797"/>
      <c r="MA71" s="798"/>
      <c r="MB71" s="660">
        <f ca="1">MB69*PrSettings!$F$9</f>
        <v>0</v>
      </c>
      <c r="MC71" s="661">
        <f ca="1">MC69*PrSettings!$F$4</f>
        <v>0</v>
      </c>
      <c r="MD71" s="661">
        <f ca="1">MD69*PrSettings!$F$5</f>
        <v>0</v>
      </c>
      <c r="ME71" s="661">
        <f ca="1">ME69*PrSettings!$F$6</f>
        <v>0</v>
      </c>
      <c r="MF71" s="661">
        <f ca="1">MF69*PrSettings!$F$7</f>
        <v>0</v>
      </c>
      <c r="MG71" s="662">
        <f>MG69*PrSettings!$F$8</f>
        <v>0</v>
      </c>
    </row>
    <row r="72" spans="12:345" ht="22.5" customHeight="1" thickTop="1" thickBot="1">
      <c r="L72" s="799" t="str">
        <f>Language!$E$176</f>
        <v>Sum:</v>
      </c>
      <c r="M72" s="800"/>
      <c r="N72" s="801"/>
      <c r="O72" s="802">
        <f ca="1">SUM(O70:T70)</f>
        <v>0</v>
      </c>
      <c r="P72" s="803"/>
      <c r="Q72" s="803"/>
      <c r="R72" s="803"/>
      <c r="S72" s="803"/>
      <c r="T72" s="804"/>
      <c r="Y72" s="799" t="str">
        <f>Language!$E$176</f>
        <v>Sum:</v>
      </c>
      <c r="Z72" s="800"/>
      <c r="AA72" s="801"/>
      <c r="AB72" s="802">
        <f ca="1">SUM(AB70:AG70)</f>
        <v>0</v>
      </c>
      <c r="AC72" s="803"/>
      <c r="AD72" s="803"/>
      <c r="AE72" s="803"/>
      <c r="AF72" s="803"/>
      <c r="AG72" s="804"/>
      <c r="AL72" s="799" t="str">
        <f>Language!$E$176</f>
        <v>Sum:</v>
      </c>
      <c r="AM72" s="800"/>
      <c r="AN72" s="801"/>
      <c r="AO72" s="802">
        <f ca="1">SUM(AO70:AT70)</f>
        <v>0</v>
      </c>
      <c r="AP72" s="803"/>
      <c r="AQ72" s="803"/>
      <c r="AR72" s="803"/>
      <c r="AS72" s="803"/>
      <c r="AT72" s="804"/>
      <c r="AY72" s="799" t="str">
        <f>Language!$E$176</f>
        <v>Sum:</v>
      </c>
      <c r="AZ72" s="800"/>
      <c r="BA72" s="801"/>
      <c r="BB72" s="802">
        <f ca="1">SUM(BB70:BG70)</f>
        <v>0</v>
      </c>
      <c r="BC72" s="803"/>
      <c r="BD72" s="803"/>
      <c r="BE72" s="803"/>
      <c r="BF72" s="803"/>
      <c r="BG72" s="804"/>
      <c r="BL72" s="799" t="str">
        <f>Language!$E$176</f>
        <v>Sum:</v>
      </c>
      <c r="BM72" s="800"/>
      <c r="BN72" s="801"/>
      <c r="BO72" s="802">
        <f ca="1">SUM(BO70:BT70)</f>
        <v>0</v>
      </c>
      <c r="BP72" s="803"/>
      <c r="BQ72" s="803"/>
      <c r="BR72" s="803"/>
      <c r="BS72" s="803"/>
      <c r="BT72" s="804"/>
      <c r="BY72" s="799" t="str">
        <f>Language!$E$176</f>
        <v>Sum:</v>
      </c>
      <c r="BZ72" s="800"/>
      <c r="CA72" s="801"/>
      <c r="CB72" s="802">
        <f ca="1">SUM(CB70:CG70)</f>
        <v>0</v>
      </c>
      <c r="CC72" s="803"/>
      <c r="CD72" s="803"/>
      <c r="CE72" s="803"/>
      <c r="CF72" s="803"/>
      <c r="CG72" s="804"/>
      <c r="CL72" s="799" t="str">
        <f>Language!$E$176</f>
        <v>Sum:</v>
      </c>
      <c r="CM72" s="800"/>
      <c r="CN72" s="801"/>
      <c r="CO72" s="802">
        <f ca="1">SUM(CO70:CT70)</f>
        <v>0</v>
      </c>
      <c r="CP72" s="803"/>
      <c r="CQ72" s="803"/>
      <c r="CR72" s="803"/>
      <c r="CS72" s="803"/>
      <c r="CT72" s="804"/>
      <c r="CY72" s="799" t="str">
        <f>Language!$E$176</f>
        <v>Sum:</v>
      </c>
      <c r="CZ72" s="800"/>
      <c r="DA72" s="801"/>
      <c r="DB72" s="802">
        <f ca="1">SUM(DB70:DG70)</f>
        <v>0</v>
      </c>
      <c r="DC72" s="803"/>
      <c r="DD72" s="803"/>
      <c r="DE72" s="803"/>
      <c r="DF72" s="803"/>
      <c r="DG72" s="804"/>
      <c r="DL72" s="799" t="str">
        <f>Language!$E$176</f>
        <v>Sum:</v>
      </c>
      <c r="DM72" s="800"/>
      <c r="DN72" s="801"/>
      <c r="DO72" s="802">
        <f ca="1">SUM(DO70:DT70)</f>
        <v>0</v>
      </c>
      <c r="DP72" s="803"/>
      <c r="DQ72" s="803"/>
      <c r="DR72" s="803"/>
      <c r="DS72" s="803"/>
      <c r="DT72" s="804"/>
      <c r="DY72" s="799" t="str">
        <f>Language!$E$176</f>
        <v>Sum:</v>
      </c>
      <c r="DZ72" s="800"/>
      <c r="EA72" s="801"/>
      <c r="EB72" s="802">
        <f ca="1">SUM(EB70:EG70)</f>
        <v>0</v>
      </c>
      <c r="EC72" s="803"/>
      <c r="ED72" s="803"/>
      <c r="EE72" s="803"/>
      <c r="EF72" s="803"/>
      <c r="EG72" s="804"/>
      <c r="EL72" s="799" t="str">
        <f>Language!$E$176</f>
        <v>Sum:</v>
      </c>
      <c r="EM72" s="800"/>
      <c r="EN72" s="801"/>
      <c r="EO72" s="802">
        <f ca="1">SUM(EO70:ET70)</f>
        <v>0</v>
      </c>
      <c r="EP72" s="803"/>
      <c r="EQ72" s="803"/>
      <c r="ER72" s="803"/>
      <c r="ES72" s="803"/>
      <c r="ET72" s="804"/>
      <c r="EY72" s="799" t="str">
        <f>Language!$E$176</f>
        <v>Sum:</v>
      </c>
      <c r="EZ72" s="800"/>
      <c r="FA72" s="801"/>
      <c r="FB72" s="802">
        <f ca="1">SUM(FB70:FG70)</f>
        <v>0</v>
      </c>
      <c r="FC72" s="803"/>
      <c r="FD72" s="803"/>
      <c r="FE72" s="803"/>
      <c r="FF72" s="803"/>
      <c r="FG72" s="804"/>
      <c r="FL72" s="799" t="str">
        <f>Language!$E$176</f>
        <v>Sum:</v>
      </c>
      <c r="FM72" s="800"/>
      <c r="FN72" s="801"/>
      <c r="FO72" s="802">
        <f ca="1">SUM(FO70:FT70)</f>
        <v>0</v>
      </c>
      <c r="FP72" s="803"/>
      <c r="FQ72" s="803"/>
      <c r="FR72" s="803"/>
      <c r="FS72" s="803"/>
      <c r="FT72" s="804"/>
      <c r="FY72" s="799" t="str">
        <f>Language!$E$176</f>
        <v>Sum:</v>
      </c>
      <c r="FZ72" s="800"/>
      <c r="GA72" s="801"/>
      <c r="GB72" s="802">
        <f ca="1">SUM(GB70:GG70)</f>
        <v>0</v>
      </c>
      <c r="GC72" s="803"/>
      <c r="GD72" s="803"/>
      <c r="GE72" s="803"/>
      <c r="GF72" s="803"/>
      <c r="GG72" s="804"/>
      <c r="GL72" s="799" t="str">
        <f>Language!$E$176</f>
        <v>Sum:</v>
      </c>
      <c r="GM72" s="800"/>
      <c r="GN72" s="801"/>
      <c r="GO72" s="802">
        <f ca="1">SUM(GO70:GT70)</f>
        <v>0</v>
      </c>
      <c r="GP72" s="803"/>
      <c r="GQ72" s="803"/>
      <c r="GR72" s="803"/>
      <c r="GS72" s="803"/>
      <c r="GT72" s="804"/>
      <c r="GY72" s="799" t="str">
        <f>Language!$E$176</f>
        <v>Sum:</v>
      </c>
      <c r="GZ72" s="800"/>
      <c r="HA72" s="801"/>
      <c r="HB72" s="802">
        <f ca="1">SUM(HB70:HG70)</f>
        <v>0</v>
      </c>
      <c r="HC72" s="803"/>
      <c r="HD72" s="803"/>
      <c r="HE72" s="803"/>
      <c r="HF72" s="803"/>
      <c r="HG72" s="804"/>
      <c r="HL72" s="799" t="str">
        <f>Language!$E$176</f>
        <v>Sum:</v>
      </c>
      <c r="HM72" s="800"/>
      <c r="HN72" s="801"/>
      <c r="HO72" s="802">
        <f ca="1">SUM(HO70:HT70)</f>
        <v>0</v>
      </c>
      <c r="HP72" s="803"/>
      <c r="HQ72" s="803"/>
      <c r="HR72" s="803"/>
      <c r="HS72" s="803"/>
      <c r="HT72" s="804"/>
      <c r="HY72" s="799" t="str">
        <f>Language!$E$176</f>
        <v>Sum:</v>
      </c>
      <c r="HZ72" s="800"/>
      <c r="IA72" s="801"/>
      <c r="IB72" s="802">
        <f ca="1">SUM(IB70:IG70)</f>
        <v>0</v>
      </c>
      <c r="IC72" s="803"/>
      <c r="ID72" s="803"/>
      <c r="IE72" s="803"/>
      <c r="IF72" s="803"/>
      <c r="IG72" s="804"/>
      <c r="IL72" s="799" t="str">
        <f>Language!$E$176</f>
        <v>Sum:</v>
      </c>
      <c r="IM72" s="800"/>
      <c r="IN72" s="801"/>
      <c r="IO72" s="802">
        <f ca="1">SUM(IO70:IT70)</f>
        <v>0</v>
      </c>
      <c r="IP72" s="803"/>
      <c r="IQ72" s="803"/>
      <c r="IR72" s="803"/>
      <c r="IS72" s="803"/>
      <c r="IT72" s="804"/>
      <c r="IY72" s="799" t="str">
        <f>Language!$E$176</f>
        <v>Sum:</v>
      </c>
      <c r="IZ72" s="800"/>
      <c r="JA72" s="801"/>
      <c r="JB72" s="802">
        <f ca="1">SUM(JB70:JG70)</f>
        <v>0</v>
      </c>
      <c r="JC72" s="803"/>
      <c r="JD72" s="803"/>
      <c r="JE72" s="803"/>
      <c r="JF72" s="803"/>
      <c r="JG72" s="804"/>
      <c r="JL72" s="799" t="str">
        <f>Language!$E$176</f>
        <v>Sum:</v>
      </c>
      <c r="JM72" s="800"/>
      <c r="JN72" s="801"/>
      <c r="JO72" s="802">
        <f ca="1">SUM(JO70:JT70)</f>
        <v>0</v>
      </c>
      <c r="JP72" s="803"/>
      <c r="JQ72" s="803"/>
      <c r="JR72" s="803"/>
      <c r="JS72" s="803"/>
      <c r="JT72" s="804"/>
      <c r="JY72" s="799" t="str">
        <f>Language!$E$176</f>
        <v>Sum:</v>
      </c>
      <c r="JZ72" s="800"/>
      <c r="KA72" s="801"/>
      <c r="KB72" s="802">
        <f ca="1">SUM(KB70:KG70)</f>
        <v>0</v>
      </c>
      <c r="KC72" s="803"/>
      <c r="KD72" s="803"/>
      <c r="KE72" s="803"/>
      <c r="KF72" s="803"/>
      <c r="KG72" s="804"/>
      <c r="KL72" s="799" t="str">
        <f>Language!$E$176</f>
        <v>Sum:</v>
      </c>
      <c r="KM72" s="800"/>
      <c r="KN72" s="801"/>
      <c r="KO72" s="802">
        <f ca="1">SUM(KO70:KT70)</f>
        <v>0</v>
      </c>
      <c r="KP72" s="803"/>
      <c r="KQ72" s="803"/>
      <c r="KR72" s="803"/>
      <c r="KS72" s="803"/>
      <c r="KT72" s="804"/>
      <c r="KY72" s="799" t="str">
        <f>Language!$E$176</f>
        <v>Sum:</v>
      </c>
      <c r="KZ72" s="800"/>
      <c r="LA72" s="801"/>
      <c r="LB72" s="802">
        <f ca="1">SUM(LB70:LG70)</f>
        <v>0</v>
      </c>
      <c r="LC72" s="803"/>
      <c r="LD72" s="803"/>
      <c r="LE72" s="803"/>
      <c r="LF72" s="803"/>
      <c r="LG72" s="804"/>
      <c r="LL72" s="799" t="str">
        <f>Language!$E$176</f>
        <v>Sum:</v>
      </c>
      <c r="LM72" s="800"/>
      <c r="LN72" s="801"/>
      <c r="LO72" s="802">
        <f ca="1">SUM(LO70:LT70)</f>
        <v>0</v>
      </c>
      <c r="LP72" s="803"/>
      <c r="LQ72" s="803"/>
      <c r="LR72" s="803"/>
      <c r="LS72" s="803"/>
      <c r="LT72" s="804"/>
      <c r="LY72" s="799" t="str">
        <f>Language!$E$176</f>
        <v>Sum:</v>
      </c>
      <c r="LZ72" s="800"/>
      <c r="MA72" s="801"/>
      <c r="MB72" s="802">
        <f ca="1">SUM(MB70:MG70)</f>
        <v>0</v>
      </c>
      <c r="MC72" s="803"/>
      <c r="MD72" s="803"/>
      <c r="ME72" s="803"/>
      <c r="MF72" s="803"/>
      <c r="MG72" s="804"/>
    </row>
    <row r="73" ht="30.75" customHeight="1" thickTop="1"/>
    <row r="74" spans="2:344" ht="16" thickBot="1">
      <c r="B74" s="814" t="str">
        <f>Language!$E$188</f>
        <v>Hint</v>
      </c>
      <c r="C74" s="814"/>
      <c r="D74" s="814"/>
      <c r="E74" s="814"/>
      <c r="F74" s="814"/>
      <c r="G74" s="814"/>
      <c r="H74" s="814"/>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4" ht="16.5" customHeight="1" thickTop="1">
      <c r="B75" s="805" t="str">
        <f>Language!$E$197</f>
        <v>For example, to add ten more people, select columns HI through MG and copy them to the right. Finished.
(Remove sheet protection!)</v>
      </c>
      <c r="C75" s="806"/>
      <c r="D75" s="806"/>
      <c r="E75" s="806"/>
      <c r="F75" s="806"/>
      <c r="G75" s="806"/>
      <c r="H75" s="807"/>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4" ht="15.5">
      <c r="B76" s="808"/>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4" ht="15.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4" ht="15.75" customHeight="1">
      <c r="B78" s="808" t="str">
        <f>Language!$E$198</f>
        <v>To predict the teams in the KO round, enter the team numbers in the yellow fields.</v>
      </c>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4" ht="15.5">
      <c r="B79" s="808"/>
      <c r="C79" s="809"/>
      <c r="D79" s="809"/>
      <c r="E79" s="809"/>
      <c r="F79" s="809"/>
      <c r="G79" s="809"/>
      <c r="H79" s="810"/>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4" ht="15.5">
      <c r="B80" s="808"/>
      <c r="C80" s="809"/>
      <c r="D80" s="809"/>
      <c r="E80" s="809"/>
      <c r="F80" s="809"/>
      <c r="G80" s="809"/>
      <c r="H80" s="810"/>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8" ht="15.5">
      <c r="B81" s="808" t="str">
        <f>Language!$E$199</f>
        <v>The factors for the individual categories and other presettings can be selected on the 'PrSettings' worksheet.</v>
      </c>
      <c r="C81" s="809"/>
      <c r="D81" s="809"/>
      <c r="E81" s="809"/>
      <c r="F81" s="809"/>
      <c r="G81" s="809"/>
      <c r="H81" s="810"/>
    </row>
    <row r="82" spans="2:8" ht="15.5">
      <c r="B82" s="808"/>
      <c r="C82" s="809"/>
      <c r="D82" s="809"/>
      <c r="E82" s="809"/>
      <c r="F82" s="809"/>
      <c r="G82" s="809"/>
      <c r="H82" s="810"/>
    </row>
    <row r="83" spans="2:8" ht="16" thickBot="1">
      <c r="B83" s="811"/>
      <c r="C83" s="812"/>
      <c r="D83" s="812"/>
      <c r="E83" s="812"/>
      <c r="F83" s="812"/>
      <c r="G83" s="812"/>
      <c r="H83" s="813"/>
    </row>
    <row r="84" spans="9:344" ht="1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9:344" ht="15.5">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9:344" ht="15.5">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9:344" ht="15.75" customHeight="1" hidden="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9:344" ht="15.75" customHeight="1" hidden="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9:344" ht="15.75" customHeight="1" hidden="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9:344" ht="15.75" customHeight="1" hidden="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ht="15.5"/>
    <row r="92" ht="15.5"/>
    <row r="93" ht="15.5"/>
    <row r="94" ht="15.5"/>
    <row r="95" ht="15.5"/>
    <row r="96" ht="15.5"/>
    <row r="97" ht="15.5"/>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J48:J55 J57:J60 J62:J63 J65">
    <cfRule type="expression" priority="1042" dxfId="214">
      <formula>Q48&gt;1</formula>
    </cfRule>
  </conditionalFormatting>
  <conditionalFormatting sqref="L48:L55 L57:L60 L62:L63">
    <cfRule type="expression" priority="1044" dxfId="214">
      <formula>R48&gt;1</formula>
    </cfRule>
  </conditionalFormatting>
  <conditionalFormatting sqref="L65">
    <cfRule type="expression" priority="1043" dxfId="214">
      <formula>R65&gt;1</formula>
    </cfRule>
  </conditionalFormatting>
  <conditionalFormatting sqref="W48:W55 W57:W60 W62:W63 W65">
    <cfRule type="expression" priority="97" dxfId="214">
      <formula>AD48&gt;1</formula>
    </cfRule>
  </conditionalFormatting>
  <conditionalFormatting sqref="Y48:Y55 Y57:Y60 Y62:Y63">
    <cfRule type="expression" priority="99" dxfId="214">
      <formula>AE48&gt;1</formula>
    </cfRule>
  </conditionalFormatting>
  <conditionalFormatting sqref="Y65">
    <cfRule type="expression" priority="98" dxfId="214">
      <formula>AE65&gt;1</formula>
    </cfRule>
  </conditionalFormatting>
  <conditionalFormatting sqref="AJ48:AJ55 AJ57:AJ60 AJ62:AJ63 AJ65">
    <cfRule type="expression" priority="93" dxfId="214">
      <formula>AQ48&gt;1</formula>
    </cfRule>
  </conditionalFormatting>
  <conditionalFormatting sqref="AL48:AL55 AL57:AL60 AL62:AL63">
    <cfRule type="expression" priority="95" dxfId="214">
      <formula>AR48&gt;1</formula>
    </cfRule>
  </conditionalFormatting>
  <conditionalFormatting sqref="AL65">
    <cfRule type="expression" priority="94" dxfId="214">
      <formula>AR65&gt;1</formula>
    </cfRule>
  </conditionalFormatting>
  <conditionalFormatting sqref="AW48:AW55 AW57:AW60 AW62:AW63 AW65">
    <cfRule type="expression" priority="89" dxfId="214">
      <formula>BD48&gt;1</formula>
    </cfRule>
  </conditionalFormatting>
  <conditionalFormatting sqref="AY48:AY55 AY57:AY60 AY62:AY63">
    <cfRule type="expression" priority="91" dxfId="214">
      <formula>BE48&gt;1</formula>
    </cfRule>
  </conditionalFormatting>
  <conditionalFormatting sqref="AY65">
    <cfRule type="expression" priority="90" dxfId="214">
      <formula>BE65&gt;1</formula>
    </cfRule>
  </conditionalFormatting>
  <conditionalFormatting sqref="BJ48:BJ55 BJ57:BJ60 BJ62:BJ63 BJ65">
    <cfRule type="expression" priority="85" dxfId="214">
      <formula>BQ48&gt;1</formula>
    </cfRule>
  </conditionalFormatting>
  <conditionalFormatting sqref="BL48:BL55 BL57:BL60 BL62:BL63">
    <cfRule type="expression" priority="87" dxfId="214">
      <formula>BR48&gt;1</formula>
    </cfRule>
  </conditionalFormatting>
  <conditionalFormatting sqref="BL65">
    <cfRule type="expression" priority="86" dxfId="214">
      <formula>BR65&gt;1</formula>
    </cfRule>
  </conditionalFormatting>
  <conditionalFormatting sqref="BW48:BW55 BW57:BW60 BW62:BW63 BW65">
    <cfRule type="expression" priority="81" dxfId="214">
      <formula>CD48&gt;1</formula>
    </cfRule>
  </conditionalFormatting>
  <conditionalFormatting sqref="BY48:BY55 BY57:BY60 BY62:BY63">
    <cfRule type="expression" priority="83" dxfId="214">
      <formula>CE48&gt;1</formula>
    </cfRule>
  </conditionalFormatting>
  <conditionalFormatting sqref="BY65">
    <cfRule type="expression" priority="82" dxfId="214">
      <formula>CE65&gt;1</formula>
    </cfRule>
  </conditionalFormatting>
  <conditionalFormatting sqref="CJ48:CJ55 CJ57:CJ60 CJ62:CJ63 CJ65">
    <cfRule type="expression" priority="77" dxfId="214">
      <formula>CQ48&gt;1</formula>
    </cfRule>
  </conditionalFormatting>
  <conditionalFormatting sqref="CL48:CL55 CL57:CL60 CL62:CL63">
    <cfRule type="expression" priority="79" dxfId="214">
      <formula>CR48&gt;1</formula>
    </cfRule>
  </conditionalFormatting>
  <conditionalFormatting sqref="CL65">
    <cfRule type="expression" priority="78" dxfId="214">
      <formula>CR65&gt;1</formula>
    </cfRule>
  </conditionalFormatting>
  <conditionalFormatting sqref="CW48:CW55 CW57:CW60 CW62:CW63 CW65">
    <cfRule type="expression" priority="73" dxfId="214">
      <formula>DD48&gt;1</formula>
    </cfRule>
  </conditionalFormatting>
  <conditionalFormatting sqref="CY48:CY55 CY57:CY60 CY62:CY63">
    <cfRule type="expression" priority="75" dxfId="214">
      <formula>DE48&gt;1</formula>
    </cfRule>
  </conditionalFormatting>
  <conditionalFormatting sqref="CY65">
    <cfRule type="expression" priority="74" dxfId="214">
      <formula>DE65&gt;1</formula>
    </cfRule>
  </conditionalFormatting>
  <conditionalFormatting sqref="DJ48:DJ55 DJ57:DJ60 DJ62:DJ63 DJ65">
    <cfRule type="expression" priority="69" dxfId="214">
      <formula>DQ48&gt;1</formula>
    </cfRule>
  </conditionalFormatting>
  <conditionalFormatting sqref="DL48:DL55 DL57:DL60 DL62:DL63">
    <cfRule type="expression" priority="71" dxfId="214">
      <formula>DR48&gt;1</formula>
    </cfRule>
  </conditionalFormatting>
  <conditionalFormatting sqref="DL65">
    <cfRule type="expression" priority="70" dxfId="214">
      <formula>DR65&gt;1</formula>
    </cfRule>
  </conditionalFormatting>
  <conditionalFormatting sqref="DW48:DW55 DW57:DW60 DW62:DW63 DW65">
    <cfRule type="expression" priority="65" dxfId="214">
      <formula>ED48&gt;1</formula>
    </cfRule>
  </conditionalFormatting>
  <conditionalFormatting sqref="DY48:DY55 DY57:DY60 DY62:DY63">
    <cfRule type="expression" priority="67" dxfId="214">
      <formula>EE48&gt;1</formula>
    </cfRule>
  </conditionalFormatting>
  <conditionalFormatting sqref="DY65">
    <cfRule type="expression" priority="66" dxfId="214">
      <formula>EE65&gt;1</formula>
    </cfRule>
  </conditionalFormatting>
  <conditionalFormatting sqref="EJ48:EJ55 EJ57:EJ60 EJ62:EJ63 EJ65">
    <cfRule type="expression" priority="61" dxfId="214">
      <formula>EQ48&gt;1</formula>
    </cfRule>
  </conditionalFormatting>
  <conditionalFormatting sqref="EL48:EL55 EL57:EL60 EL62:EL63">
    <cfRule type="expression" priority="63" dxfId="214">
      <formula>ER48&gt;1</formula>
    </cfRule>
  </conditionalFormatting>
  <conditionalFormatting sqref="EL65">
    <cfRule type="expression" priority="62" dxfId="214">
      <formula>ER65&gt;1</formula>
    </cfRule>
  </conditionalFormatting>
  <conditionalFormatting sqref="EW48:EW55 EW57:EW60 EW62:EW63 EW65">
    <cfRule type="expression" priority="57" dxfId="214">
      <formula>FD48&gt;1</formula>
    </cfRule>
  </conditionalFormatting>
  <conditionalFormatting sqref="EY48:EY55 EY57:EY60 EY62:EY63">
    <cfRule type="expression" priority="59" dxfId="214">
      <formula>FE48&gt;1</formula>
    </cfRule>
  </conditionalFormatting>
  <conditionalFormatting sqref="EY65">
    <cfRule type="expression" priority="58" dxfId="214">
      <formula>FE65&gt;1</formula>
    </cfRule>
  </conditionalFormatting>
  <conditionalFormatting sqref="FJ48:FJ55 FJ57:FJ60 FJ62:FJ63 FJ65">
    <cfRule type="expression" priority="53" dxfId="214">
      <formula>FQ48&gt;1</formula>
    </cfRule>
  </conditionalFormatting>
  <conditionalFormatting sqref="FL48:FL55 FL57:FL60 FL62:FL63">
    <cfRule type="expression" priority="55" dxfId="214">
      <formula>FR48&gt;1</formula>
    </cfRule>
  </conditionalFormatting>
  <conditionalFormatting sqref="FL65">
    <cfRule type="expression" priority="54" dxfId="214">
      <formula>FR65&gt;1</formula>
    </cfRule>
  </conditionalFormatting>
  <conditionalFormatting sqref="FW48:FW55 FW57:FW60 FW62:FW63 FW65">
    <cfRule type="expression" priority="49" dxfId="214">
      <formula>GD48&gt;1</formula>
    </cfRule>
  </conditionalFormatting>
  <conditionalFormatting sqref="FY48:FY55 FY57:FY60 FY62:FY63">
    <cfRule type="expression" priority="51" dxfId="214">
      <formula>GE48&gt;1</formula>
    </cfRule>
  </conditionalFormatting>
  <conditionalFormatting sqref="FY65">
    <cfRule type="expression" priority="50" dxfId="214">
      <formula>GE65&gt;1</formula>
    </cfRule>
  </conditionalFormatting>
  <conditionalFormatting sqref="GJ48:GJ55 GJ57:GJ60 GJ62:GJ63 GJ65">
    <cfRule type="expression" priority="45" dxfId="214">
      <formula>GQ48&gt;1</formula>
    </cfRule>
  </conditionalFormatting>
  <conditionalFormatting sqref="GL48:GL55 GL57:GL60 GL62:GL63">
    <cfRule type="expression" priority="47" dxfId="214">
      <formula>GR48&gt;1</formula>
    </cfRule>
  </conditionalFormatting>
  <conditionalFormatting sqref="GL65">
    <cfRule type="expression" priority="46" dxfId="214">
      <formula>GR65&gt;1</formula>
    </cfRule>
  </conditionalFormatting>
  <conditionalFormatting sqref="GW48:GW55 GW57:GW60 GW62:GW63 GW65">
    <cfRule type="expression" priority="41" dxfId="214">
      <formula>HD48&gt;1</formula>
    </cfRule>
  </conditionalFormatting>
  <conditionalFormatting sqref="GY48:GY55 GY57:GY60 GY62:GY63">
    <cfRule type="expression" priority="43" dxfId="214">
      <formula>HE48&gt;1</formula>
    </cfRule>
  </conditionalFormatting>
  <conditionalFormatting sqref="GY65">
    <cfRule type="expression" priority="42" dxfId="214">
      <formula>HE65&gt;1</formula>
    </cfRule>
  </conditionalFormatting>
  <conditionalFormatting sqref="HJ48:HJ55 HJ57:HJ60 HJ62:HJ63 HJ65">
    <cfRule type="expression" priority="37" dxfId="214">
      <formula>HQ48&gt;1</formula>
    </cfRule>
  </conditionalFormatting>
  <conditionalFormatting sqref="HL48:HL55 HL57:HL60 HL62:HL63">
    <cfRule type="expression" priority="39" dxfId="214">
      <formula>HR48&gt;1</formula>
    </cfRule>
  </conditionalFormatting>
  <conditionalFormatting sqref="HL65">
    <cfRule type="expression" priority="38" dxfId="214">
      <formula>HR65&gt;1</formula>
    </cfRule>
  </conditionalFormatting>
  <conditionalFormatting sqref="HW48:HW55 HW57:HW60 HW62:HW63 HW65">
    <cfRule type="expression" priority="33" dxfId="214">
      <formula>ID48&gt;1</formula>
    </cfRule>
  </conditionalFormatting>
  <conditionalFormatting sqref="HY48:HY55 HY57:HY60 HY62:HY63">
    <cfRule type="expression" priority="35" dxfId="214">
      <formula>IE48&gt;1</formula>
    </cfRule>
  </conditionalFormatting>
  <conditionalFormatting sqref="HY65">
    <cfRule type="expression" priority="34" dxfId="214">
      <formula>IE65&gt;1</formula>
    </cfRule>
  </conditionalFormatting>
  <conditionalFormatting sqref="IJ48:IJ55 IJ57:IJ60 IJ62:IJ63 IJ65">
    <cfRule type="expression" priority="29" dxfId="214">
      <formula>IQ48&gt;1</formula>
    </cfRule>
  </conditionalFormatting>
  <conditionalFormatting sqref="IL48:IL55 IL57:IL60 IL62:IL63">
    <cfRule type="expression" priority="31" dxfId="214">
      <formula>IR48&gt;1</formula>
    </cfRule>
  </conditionalFormatting>
  <conditionalFormatting sqref="IL65">
    <cfRule type="expression" priority="30" dxfId="214">
      <formula>IR65&gt;1</formula>
    </cfRule>
  </conditionalFormatting>
  <conditionalFormatting sqref="IW48:IW55 IW57:IW60 IW62:IW63 IW65">
    <cfRule type="expression" priority="25" dxfId="214">
      <formula>JD48&gt;1</formula>
    </cfRule>
  </conditionalFormatting>
  <conditionalFormatting sqref="IY48:IY55 IY57:IY60 IY62:IY63">
    <cfRule type="expression" priority="27" dxfId="214">
      <formula>JE48&gt;1</formula>
    </cfRule>
  </conditionalFormatting>
  <conditionalFormatting sqref="IY65">
    <cfRule type="expression" priority="26" dxfId="214">
      <formula>JE65&gt;1</formula>
    </cfRule>
  </conditionalFormatting>
  <conditionalFormatting sqref="JJ48:JJ55 JJ57:JJ60 JJ62:JJ63 JJ65">
    <cfRule type="expression" priority="21" dxfId="214">
      <formula>JQ48&gt;1</formula>
    </cfRule>
  </conditionalFormatting>
  <conditionalFormatting sqref="JL48:JL55 JL57:JL60 JL62:JL63">
    <cfRule type="expression" priority="23" dxfId="214">
      <formula>JR48&gt;1</formula>
    </cfRule>
  </conditionalFormatting>
  <conditionalFormatting sqref="JL65">
    <cfRule type="expression" priority="22" dxfId="214">
      <formula>JR65&gt;1</formula>
    </cfRule>
  </conditionalFormatting>
  <conditionalFormatting sqref="JW48:JW55 JW57:JW60 JW62:JW63 JW65">
    <cfRule type="expression" priority="17" dxfId="214">
      <formula>KD48&gt;1</formula>
    </cfRule>
  </conditionalFormatting>
  <conditionalFormatting sqref="JY48:JY55 JY57:JY60 JY62:JY63">
    <cfRule type="expression" priority="19" dxfId="214">
      <formula>KE48&gt;1</formula>
    </cfRule>
  </conditionalFormatting>
  <conditionalFormatting sqref="JY65">
    <cfRule type="expression" priority="18" dxfId="214">
      <formula>KE65&gt;1</formula>
    </cfRule>
  </conditionalFormatting>
  <conditionalFormatting sqref="KJ48:KJ55 KJ57:KJ60 KJ62:KJ63 KJ65">
    <cfRule type="expression" priority="13" dxfId="214">
      <formula>KQ48&gt;1</formula>
    </cfRule>
  </conditionalFormatting>
  <conditionalFormatting sqref="KL48:KL55 KL57:KL60 KL62:KL63">
    <cfRule type="expression" priority="15" dxfId="214">
      <formula>KR48&gt;1</formula>
    </cfRule>
  </conditionalFormatting>
  <conditionalFormatting sqref="KL65">
    <cfRule type="expression" priority="14" dxfId="214">
      <formula>KR65&gt;1</formula>
    </cfRule>
  </conditionalFormatting>
  <conditionalFormatting sqref="KW48:KW55 KW57:KW60 KW62:KW63 KW65">
    <cfRule type="expression" priority="9" dxfId="214">
      <formula>LD48&gt;1</formula>
    </cfRule>
  </conditionalFormatting>
  <conditionalFormatting sqref="KY48:KY55 KY57:KY60 KY62:KY63">
    <cfRule type="expression" priority="11" dxfId="214">
      <formula>LE48&gt;1</formula>
    </cfRule>
  </conditionalFormatting>
  <conditionalFormatting sqref="KY65">
    <cfRule type="expression" priority="10" dxfId="214">
      <formula>LE65&gt;1</formula>
    </cfRule>
  </conditionalFormatting>
  <conditionalFormatting sqref="LJ48:LJ55 LJ57:LJ60 LJ62:LJ63 LJ65">
    <cfRule type="expression" priority="5" dxfId="214">
      <formula>LQ48&gt;1</formula>
    </cfRule>
  </conditionalFormatting>
  <conditionalFormatting sqref="LL48:LL55 LL57:LL60 LL62:LL63">
    <cfRule type="expression" priority="7" dxfId="214">
      <formula>LR48&gt;1</formula>
    </cfRule>
  </conditionalFormatting>
  <conditionalFormatting sqref="LL65">
    <cfRule type="expression" priority="6" dxfId="214">
      <formula>LR65&gt;1</formula>
    </cfRule>
  </conditionalFormatting>
  <conditionalFormatting sqref="LW48:LW55 LW57:LW60 LW62:LW63 LW65">
    <cfRule type="expression" priority="1" dxfId="214">
      <formula>MD48&gt;1</formula>
    </cfRule>
  </conditionalFormatting>
  <conditionalFormatting sqref="LY48:LY55 LY57:LY60 LY62:LY63">
    <cfRule type="expression" priority="3" dxfId="214">
      <formula>ME48&gt;1</formula>
    </cfRule>
  </conditionalFormatting>
  <conditionalFormatting sqref="LY65">
    <cfRule type="expression" priority="2" dxfId="214">
      <formula>ME65&gt;1</formula>
    </cfRule>
  </conditionalFormatting>
  <conditionalFormatting sqref="Q6:Q11 Q13:Q18 Q20:Q25 Q27:Q32 Q34:Q39 Q41:Q46">
    <cfRule type="expression" priority="1309" dxfId="586">
      <formula>AND(PrSettings!$M$4&lt;&gt;"●",$F6=$G6)</formula>
    </cfRule>
  </conditionalFormatting>
  <conditionalFormatting sqref="AD6:AD11 AD13:AD18 AD20:AD25 AD27:AD32 AD34:AD39 AD41:AD46">
    <cfRule type="expression" priority="100" dxfId="586">
      <formula>AND(PrSettings!$M$4&lt;&gt;"●",$F6=$G6)</formula>
    </cfRule>
  </conditionalFormatting>
  <conditionalFormatting sqref="AQ6:AQ11 AQ13:AQ18 AQ20:AQ25 AQ27:AQ32 AQ34:AQ39 AQ41:AQ46">
    <cfRule type="expression" priority="96" dxfId="586">
      <formula>AND(PrSettings!$M$4&lt;&gt;"●",$F6=$G6)</formula>
    </cfRule>
  </conditionalFormatting>
  <conditionalFormatting sqref="BD6:BD11 BD13:BD18 BD20:BD25 BD27:BD32 BD34:BD39 BD41:BD46">
    <cfRule type="expression" priority="92" dxfId="586">
      <formula>AND(PrSettings!$M$4&lt;&gt;"●",$F6=$G6)</formula>
    </cfRule>
  </conditionalFormatting>
  <conditionalFormatting sqref="BQ6:BQ11 BQ13:BQ18 BQ20:BQ25 BQ27:BQ32 BQ34:BQ39 BQ41:BQ46">
    <cfRule type="expression" priority="88" dxfId="586">
      <formula>AND(PrSettings!$M$4&lt;&gt;"●",$F6=$G6)</formula>
    </cfRule>
  </conditionalFormatting>
  <conditionalFormatting sqref="CD6:CD11 CD13:CD18 CD20:CD25 CD27:CD32 CD34:CD39 CD41:CD46">
    <cfRule type="expression" priority="84" dxfId="586">
      <formula>AND(PrSettings!$M$4&lt;&gt;"●",$F6=$G6)</formula>
    </cfRule>
  </conditionalFormatting>
  <conditionalFormatting sqref="CQ6:CQ11 CQ13:CQ18 CQ20:CQ25 CQ27:CQ32 CQ34:CQ39 CQ41:CQ46">
    <cfRule type="expression" priority="80" dxfId="586">
      <formula>AND(PrSettings!$M$4&lt;&gt;"●",$F6=$G6)</formula>
    </cfRule>
  </conditionalFormatting>
  <conditionalFormatting sqref="DD6:DD11 DD13:DD18 DD20:DD25 DD27:DD32 DD34:DD39 DD41:DD46">
    <cfRule type="expression" priority="76" dxfId="586">
      <formula>AND(PrSettings!$M$4&lt;&gt;"●",$F6=$G6)</formula>
    </cfRule>
  </conditionalFormatting>
  <conditionalFormatting sqref="DQ6:DQ11 DQ13:DQ18 DQ20:DQ25 DQ27:DQ32 DQ34:DQ39 DQ41:DQ46">
    <cfRule type="expression" priority="72" dxfId="586">
      <formula>AND(PrSettings!$M$4&lt;&gt;"●",$F6=$G6)</formula>
    </cfRule>
  </conditionalFormatting>
  <conditionalFormatting sqref="ED6:ED11 ED13:ED18 ED20:ED25 ED27:ED32 ED34:ED39 ED41:ED46">
    <cfRule type="expression" priority="68" dxfId="586">
      <formula>AND(PrSettings!$M$4&lt;&gt;"●",$F6=$G6)</formula>
    </cfRule>
  </conditionalFormatting>
  <conditionalFormatting sqref="EQ6:EQ11 EQ13:EQ18 EQ20:EQ25 EQ27:EQ32 EQ34:EQ39 EQ41:EQ46">
    <cfRule type="expression" priority="64" dxfId="586">
      <formula>AND(PrSettings!$M$4&lt;&gt;"●",$F6=$G6)</formula>
    </cfRule>
  </conditionalFormatting>
  <conditionalFormatting sqref="FD6:FD11 FD13:FD18 FD20:FD25 FD27:FD32 FD34:FD39 FD41:FD46">
    <cfRule type="expression" priority="60" dxfId="586">
      <formula>AND(PrSettings!$M$4&lt;&gt;"●",$F6=$G6)</formula>
    </cfRule>
  </conditionalFormatting>
  <conditionalFormatting sqref="FQ6:FQ11 FQ13:FQ18 FQ20:FQ25 FQ27:FQ32 FQ34:FQ39 FQ41:FQ46">
    <cfRule type="expression" priority="56" dxfId="586">
      <formula>AND(PrSettings!$M$4&lt;&gt;"●",$F6=$G6)</formula>
    </cfRule>
  </conditionalFormatting>
  <conditionalFormatting sqref="GD6:GD11 GD13:GD18 GD20:GD25 GD27:GD32 GD34:GD39 GD41:GD46">
    <cfRule type="expression" priority="52" dxfId="586">
      <formula>AND(PrSettings!$M$4&lt;&gt;"●",$F6=$G6)</formula>
    </cfRule>
  </conditionalFormatting>
  <conditionalFormatting sqref="GQ6:GQ11 GQ13:GQ18 GQ20:GQ25 GQ27:GQ32 GQ34:GQ39 GQ41:GQ46">
    <cfRule type="expression" priority="48" dxfId="586">
      <formula>AND(PrSettings!$M$4&lt;&gt;"●",$F6=$G6)</formula>
    </cfRule>
  </conditionalFormatting>
  <conditionalFormatting sqref="HD6:HD11 HD13:HD18 HD20:HD25 HD27:HD32 HD34:HD39 HD41:HD46">
    <cfRule type="expression" priority="44" dxfId="586">
      <formula>AND(PrSettings!$M$4&lt;&gt;"●",$F6=$G6)</formula>
    </cfRule>
  </conditionalFormatting>
  <conditionalFormatting sqref="HQ6:HQ11 HQ13:HQ18 HQ20:HQ25 HQ27:HQ32 HQ34:HQ39 HQ41:HQ46">
    <cfRule type="expression" priority="40" dxfId="586">
      <formula>AND(PrSettings!$M$4&lt;&gt;"●",$F6=$G6)</formula>
    </cfRule>
  </conditionalFormatting>
  <conditionalFormatting sqref="ID6:ID11 ID13:ID18 ID20:ID25 ID27:ID32 ID34:ID39 ID41:ID46">
    <cfRule type="expression" priority="36" dxfId="586">
      <formula>AND(PrSettings!$M$4&lt;&gt;"●",$F6=$G6)</formula>
    </cfRule>
  </conditionalFormatting>
  <conditionalFormatting sqref="IQ6:IQ11 IQ13:IQ18 IQ20:IQ25 IQ27:IQ32 IQ34:IQ39 IQ41:IQ46">
    <cfRule type="expression" priority="32" dxfId="586">
      <formula>AND(PrSettings!$M$4&lt;&gt;"●",$F6=$G6)</formula>
    </cfRule>
  </conditionalFormatting>
  <conditionalFormatting sqref="JD6:JD11 JD13:JD18 JD20:JD25 JD27:JD32 JD34:JD39 JD41:JD46">
    <cfRule type="expression" priority="28" dxfId="586">
      <formula>AND(PrSettings!$M$4&lt;&gt;"●",$F6=$G6)</formula>
    </cfRule>
  </conditionalFormatting>
  <conditionalFormatting sqref="JQ6:JQ11 JQ13:JQ18 JQ20:JQ25 JQ27:JQ32 JQ34:JQ39 JQ41:JQ46">
    <cfRule type="expression" priority="24" dxfId="586">
      <formula>AND(PrSettings!$M$4&lt;&gt;"●",$F6=$G6)</formula>
    </cfRule>
  </conditionalFormatting>
  <conditionalFormatting sqref="KD6:KD11 KD13:KD18 KD20:KD25 KD27:KD32 KD34:KD39 KD41:KD46">
    <cfRule type="expression" priority="20" dxfId="586">
      <formula>AND(PrSettings!$M$4&lt;&gt;"●",$F6=$G6)</formula>
    </cfRule>
  </conditionalFormatting>
  <conditionalFormatting sqref="KQ6:KQ11 KQ13:KQ18 KQ20:KQ25 KQ27:KQ32 KQ34:KQ39 KQ41:KQ46">
    <cfRule type="expression" priority="16" dxfId="586">
      <formula>AND(PrSettings!$M$4&lt;&gt;"●",$F6=$G6)</formula>
    </cfRule>
  </conditionalFormatting>
  <conditionalFormatting sqref="LD6:LD11 LD13:LD18 LD20:LD25 LD27:LD32 LD34:LD39 LD41:LD46">
    <cfRule type="expression" priority="12" dxfId="586">
      <formula>AND(PrSettings!$M$4&lt;&gt;"●",$F6=$G6)</formula>
    </cfRule>
  </conditionalFormatting>
  <conditionalFormatting sqref="LQ6:LQ11 LQ13:LQ18 LQ20:LQ25 LQ27:LQ32 LQ34:LQ39 LQ41:LQ46">
    <cfRule type="expression" priority="8" dxfId="586">
      <formula>AND(PrSettings!$M$4&lt;&gt;"●",$F6=$G6)</formula>
    </cfRule>
  </conditionalFormatting>
  <conditionalFormatting sqref="MD6:MD11 MD13:MD18 MD20:MD25 MD27:MD32 MD34:MD39 MD41:MD46">
    <cfRule type="expression" priority="4" dxfId="586">
      <formula>AND(PrSettings!$M$4&lt;&gt;"●",$F6=$G6)</formula>
    </cfRule>
  </conditionalFormatting>
  <pageMargins left="0.7" right="0.7" top="0.787401575" bottom="0.787401575" header="0.3" footer="0.3"/>
  <pageSetup orientation="portrait" paperSize="9"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B1:M103"/>
  <sheetViews>
    <sheetView showGridLines="0" showRowColHeaders="0" workbookViewId="0" topLeftCell="A1">
      <selection pane="topLeft" activeCell="F1" sqref="F1:XFD1048576"/>
    </sheetView>
  </sheetViews>
  <sheetFormatPr defaultColWidth="0" defaultRowHeight="15" customHeight="1" zeroHeight="1"/>
  <cols>
    <col min="1" max="1" width="11.4285714285714" customWidth="1"/>
    <col min="2" max="2" width="6.28571428571429" style="45" customWidth="1"/>
    <col min="3" max="3" width="21" style="60" customWidth="1"/>
    <col min="4" max="5" width="11.4285714285714" customWidth="1"/>
    <col min="6" max="6" width="3.28571428571429" hidden="1" customWidth="1"/>
    <col min="7" max="7" width="11.4285714285714" hidden="1" customWidth="1"/>
    <col min="8" max="8" width="21" hidden="1" customWidth="1"/>
    <col min="9" max="10" width="11.4285714285714" hidden="1" customWidth="1"/>
    <col min="11" max="11" width="8" hidden="1" customWidth="1"/>
    <col min="12" max="12" width="18.1428571428571" hidden="1" customWidth="1"/>
    <col min="13" max="13" width="5.57142857142857" hidden="1" customWidth="1"/>
    <col min="14" max="16384" width="11.4285714285714" hidden="1"/>
  </cols>
  <sheetData>
    <row r="1" spans="2:4" ht="23.5">
      <c r="B1" s="818" t="str">
        <f>Language!$E$92</f>
        <v>Predictions Ranking</v>
      </c>
      <c r="C1" s="818"/>
      <c r="D1" s="818"/>
    </row>
    <row r="2" ht="15" thickBot="1"/>
    <row r="3" spans="2:13" ht="15.5"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5">
      <c r="B4" s="525">
        <v>1</v>
      </c>
      <c r="C4" s="526" t="str">
        <f ca="1">IFERROR(VLOOKUP(B4,$G$4:$H$103,2,0),"")</f>
        <v>Anna</v>
      </c>
      <c r="D4" s="527">
        <f ca="1">IFERROR(VLOOKUP(B4,$G$4:$I$103,3,0),"")</f>
        <v>0</v>
      </c>
      <c r="E4" s="45"/>
      <c r="F4" s="45"/>
      <c r="G4" s="528">
        <f ca="1" t="shared" si="0" ref="G4:G35">IF(J4="","",RANK(J4,$J$4:$J$103,1))</f>
        <v>1</v>
      </c>
      <c r="H4" s="529" t="str">
        <f>IF(Predictions_1!$I$3="","",Predictions_1!$I$3)</f>
        <v>Anna</v>
      </c>
      <c r="I4" s="530">
        <f ca="1">IF(Predictions_1!$I$3="","",Predictions_1!$I$2)</f>
        <v>0</v>
      </c>
      <c r="J4" s="528">
        <f ca="1" t="shared" si="1" ref="J4:J35">IF(I4="","",RANK(I4,$I$4:$I$103,0)+ROW()*0.001)</f>
        <v>1.004</v>
      </c>
      <c r="L4" t="s">
        <v>939</v>
      </c>
      <c r="M4">
        <v>13</v>
      </c>
    </row>
    <row r="5" spans="2:10" ht="14.5">
      <c r="B5" s="531">
        <v>2</v>
      </c>
      <c r="C5" s="526" t="str">
        <f ca="1" t="shared" si="2" ref="C5:C68">IFERROR(VLOOKUP(B5,$G$4:$H$103,2,0),"")</f>
        <v>Peter</v>
      </c>
      <c r="D5" s="527">
        <f ca="1" t="shared" si="3" ref="D5:D68">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0" ht="14.5">
      <c r="B6" s="525">
        <v>3</v>
      </c>
      <c r="C6" s="526" t="str">
        <f t="shared" ca="1" si="2"/>
        <v/>
      </c>
      <c r="D6" s="527" t="str">
        <f t="shared" ca="1" si="3"/>
        <v/>
      </c>
      <c r="E6" s="45"/>
      <c r="F6" s="45"/>
      <c r="G6" s="532" t="str">
        <f t="shared" ca="1" si="0"/>
        <v/>
      </c>
      <c r="H6" s="533" t="str">
        <f ca="1" t="shared" si="4" ref="H6:H33">IF(INDIRECT("Predictions_1!"&amp;ADDRESS(3,$M$3+$M$4*ROW(A2)))="","",INDIRECT("Predictions_1!"&amp;ADDRESS(3,$M$3+$M$4*ROW(A2))))</f>
        <v/>
      </c>
      <c r="I6" s="534" t="str">
        <f ca="1" t="shared" si="5" ref="I6:I33">IF(INDIRECT("Predictions_1!"&amp;ADDRESS(3,$M$3+$M$4*ROW(A2)))="","",INDIRECT("Predictions_1!"&amp;ADDRESS(2,$M$3+$M$4*ROW(A2))))</f>
        <v/>
      </c>
      <c r="J6" s="532" t="str">
        <f t="shared" ca="1" si="1"/>
        <v/>
      </c>
    </row>
    <row r="7" spans="2:10" ht="14.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0" ht="14.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0" ht="14.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0" ht="14.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0" ht="14.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0" ht="14.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0" ht="14.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0" ht="14.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0" ht="14.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0" ht="14.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5">
      <c r="B34" s="525">
        <v>31</v>
      </c>
      <c r="C34" s="526" t="str">
        <f t="shared" ca="1" si="2"/>
        <v/>
      </c>
      <c r="D34" s="527" t="str">
        <f t="shared" ca="1" si="3"/>
        <v/>
      </c>
      <c r="E34" s="45"/>
      <c r="F34" s="45"/>
      <c r="G34" s="532" t="str">
        <f t="shared" ca="1" si="0"/>
        <v/>
      </c>
      <c r="H34" s="533" t="str">
        <f ca="1" t="shared" si="6" ref="H34:H97">IF(INDIRECT("Predictions_1!"&amp;ADDRESS(3,$M$3+$M$4*ROW(A30)))="","",INDIRECT("Predictions_1!"&amp;ADDRESS(3,$M$3+$M$4*ROW(A30))))</f>
        <v/>
      </c>
      <c r="I34" s="534" t="str">
        <f ca="1" t="shared" si="7" ref="I34:I97">IF(INDIRECT("Predictions_1!"&amp;ADDRESS(3,$M$3+$M$4*ROW(A30)))="","",INDIRECT("Predictions_1!"&amp;ADDRESS(2,$M$3+$M$4*ROW(A30))))</f>
        <v/>
      </c>
      <c r="J34" s="532" t="str">
        <f t="shared" ca="1" si="1"/>
        <v/>
      </c>
    </row>
    <row r="35" spans="2:10" ht="14.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5">
      <c r="B36" s="525">
        <v>33</v>
      </c>
      <c r="C36" s="526" t="str">
        <f t="shared" ca="1" si="2"/>
        <v/>
      </c>
      <c r="D36" s="527" t="str">
        <f t="shared" ca="1" si="3"/>
        <v/>
      </c>
      <c r="E36" s="45"/>
      <c r="F36" s="45"/>
      <c r="G36" s="532" t="str">
        <f ca="1" t="shared" si="8" ref="G36:G67">IF(J36="","",RANK(J36,$J$4:$J$103,1))</f>
        <v/>
      </c>
      <c r="H36" s="533" t="str">
        <f t="shared" ca="1" si="6"/>
        <v/>
      </c>
      <c r="I36" s="534" t="str">
        <f t="shared" ca="1" si="7"/>
        <v/>
      </c>
      <c r="J36" s="532" t="str">
        <f ca="1" t="shared" si="9" ref="J36:J67">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ca="1" t="shared" si="10" ref="G68:G103">IF(J68="","",RANK(J68,$J$4:$J$103,1))</f>
        <v/>
      </c>
      <c r="H68" s="533" t="str">
        <f t="shared" ca="1" si="6"/>
        <v/>
      </c>
      <c r="I68" s="534" t="str">
        <f t="shared" ca="1" si="7"/>
        <v/>
      </c>
      <c r="J68" s="532" t="str">
        <f ca="1" t="shared" si="11" ref="J68:J99">IF(I68="","",RANK(I68,$I$4:$I$103,0)+ROW()*0.001)</f>
        <v/>
      </c>
    </row>
    <row r="69" spans="2:10" ht="15" customHeight="1">
      <c r="B69" s="531">
        <v>66</v>
      </c>
      <c r="C69" s="526" t="str">
        <f ca="1" t="shared" si="12" ref="C69:C102">IFERROR(VLOOKUP(B69,$G$4:$H$103,2,0),"")</f>
        <v/>
      </c>
      <c r="D69" s="527" t="str">
        <f ca="1" t="shared" si="13" ref="D69:D102">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ca="1" t="shared" si="14" ref="H98:H103">IF(INDIRECT("Predictions_1!"&amp;ADDRESS(3,$M$3+$M$4*ROW(A94)))="","",INDIRECT("Predictions_1!"&amp;ADDRESS(3,$M$3+$M$4*ROW(A94))))</f>
        <v/>
      </c>
      <c r="I98" s="534" t="str">
        <f ca="1" t="shared" si="15" ref="I98:I103">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ca="1" t="shared" si="16" ref="J100:J103">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ht="15" customHeight="1" thickTop="1"/>
    <row r="105" ht="15" customHeight="1"/>
    <row r="106" ht="15" customHeight="1"/>
  </sheetData>
  <sheetProtection sheet="1" selectLockedCells="1"/>
  <mergeCells count="1">
    <mergeCell ref="B1:D1"/>
  </mergeCells>
  <pageMargins left="0.7" right="0.7" top="0.787401575" bottom="0.7874015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1"/>
  <sheetViews>
    <sheetView showGridLines="0" showRowColHeaders="0" workbookViewId="0" topLeftCell="A1">
      <selection pane="topLeft" activeCell="M6" sqref="M6"/>
    </sheetView>
  </sheetViews>
  <sheetFormatPr defaultColWidth="10.9042857142857" defaultRowHeight="15.5" zeroHeight="1"/>
  <cols>
    <col min="1" max="1" width="3.28571428571429" style="428" customWidth="1"/>
    <col min="2" max="2" width="4.71428571428571" style="428" customWidth="1"/>
    <col min="3" max="3" width="15.7142857142857" customWidth="1"/>
    <col min="4" max="4" width="4.71428571428571" customWidth="1"/>
    <col min="5" max="5" width="15.7142857142857" customWidth="1"/>
    <col min="6" max="7" width="4.71428571428571" style="22" customWidth="1"/>
    <col min="8" max="8" width="9.85714285714286" style="25" customWidth="1"/>
    <col min="9" max="9" width="4.71428571428571" style="25" customWidth="1"/>
    <col min="10" max="10" width="15.7142857142857" style="25" customWidth="1"/>
    <col min="11" max="11" width="4.71428571428571" style="25" customWidth="1"/>
    <col min="12" max="12" width="15.7142857142857" style="25" customWidth="1"/>
    <col min="13" max="14" width="4.71428571428571" style="25" customWidth="1"/>
    <col min="15" max="20" width="3.71428571428571" style="25" customWidth="1"/>
    <col min="22" max="22" width="4.71428571428571" style="25" customWidth="1"/>
    <col min="23" max="23" width="15.7142857142857" style="25" customWidth="1"/>
    <col min="24" max="24" width="4.71428571428571" style="25" customWidth="1"/>
    <col min="25" max="25" width="15.7142857142857" style="25" customWidth="1"/>
    <col min="26" max="27" width="4.71428571428571" style="25" customWidth="1"/>
    <col min="28" max="33" width="3.71428571428571" style="25" customWidth="1"/>
    <col min="35" max="35" width="4.71428571428571" style="25" customWidth="1"/>
    <col min="36" max="36" width="15.7142857142857" style="25" customWidth="1"/>
    <col min="37" max="37" width="4.71428571428571" style="25" customWidth="1"/>
    <col min="38" max="38" width="15.7142857142857" style="25" customWidth="1"/>
    <col min="39" max="40" width="4.71428571428571" style="25" customWidth="1"/>
    <col min="41" max="46" width="3.71428571428571" style="25" customWidth="1"/>
    <col min="48" max="48" width="4.71428571428571" style="25" customWidth="1"/>
    <col min="49" max="49" width="15.7142857142857" style="25" customWidth="1"/>
    <col min="50" max="50" width="4.71428571428571" style="25" customWidth="1"/>
    <col min="51" max="51" width="15.7142857142857" style="25" customWidth="1"/>
    <col min="52" max="53" width="4.71428571428571" style="25" customWidth="1"/>
    <col min="54" max="59" width="3.71428571428571" style="25" customWidth="1"/>
    <col min="61" max="61" width="4.71428571428571" style="25" customWidth="1"/>
    <col min="62" max="62" width="15.7142857142857" style="25" customWidth="1"/>
    <col min="63" max="63" width="4.71428571428571" style="25" customWidth="1"/>
    <col min="64" max="64" width="15.7142857142857" style="25" customWidth="1"/>
    <col min="65" max="66" width="4.71428571428571" style="25" customWidth="1"/>
    <col min="67" max="72" width="3.71428571428571" style="25" customWidth="1"/>
    <col min="74" max="74" width="4.71428571428571" style="25" customWidth="1"/>
    <col min="75" max="75" width="15.7142857142857" style="25" customWidth="1"/>
    <col min="76" max="76" width="4.71428571428571" style="25" customWidth="1"/>
    <col min="77" max="77" width="15.7142857142857" style="25" customWidth="1"/>
    <col min="78" max="79" width="4.71428571428571" style="25" customWidth="1"/>
    <col min="80" max="85" width="3.71428571428571" style="25" customWidth="1"/>
    <col min="87" max="87" width="4.71428571428571" style="25" customWidth="1"/>
    <col min="88" max="88" width="15.7142857142857" style="25" customWidth="1"/>
    <col min="89" max="89" width="4.71428571428571" style="25" customWidth="1"/>
    <col min="90" max="90" width="15.7142857142857" style="25" customWidth="1"/>
    <col min="91" max="92" width="4.71428571428571" style="25" customWidth="1"/>
    <col min="93" max="98" width="3.71428571428571" style="25" customWidth="1"/>
    <col min="100" max="100" width="4.71428571428571" style="25" customWidth="1"/>
    <col min="101" max="101" width="15.7142857142857" style="25" customWidth="1"/>
    <col min="102" max="102" width="4.71428571428571" style="25" customWidth="1"/>
    <col min="103" max="103" width="15.7142857142857" style="25" customWidth="1"/>
    <col min="104" max="105" width="4.71428571428571" style="25" customWidth="1"/>
    <col min="106" max="111" width="3.71428571428571" style="25" customWidth="1"/>
    <col min="113" max="113" width="4.71428571428571" style="25" customWidth="1"/>
    <col min="114" max="114" width="15.7142857142857" style="25" customWidth="1"/>
    <col min="115" max="115" width="4.71428571428571" style="25" customWidth="1"/>
    <col min="116" max="116" width="15.7142857142857" style="25" customWidth="1"/>
    <col min="117" max="118" width="4.71428571428571" style="25" customWidth="1"/>
    <col min="119" max="124" width="3.71428571428571" style="25" customWidth="1"/>
    <col min="126" max="126" width="4.71428571428571" style="25" customWidth="1"/>
    <col min="127" max="127" width="15.7142857142857" style="25" customWidth="1"/>
    <col min="128" max="128" width="4.71428571428571" style="25" customWidth="1"/>
    <col min="129" max="129" width="15.7142857142857" style="25" customWidth="1"/>
    <col min="130" max="131" width="4.71428571428571" style="25" customWidth="1"/>
    <col min="132" max="137" width="3.71428571428571" style="25" customWidth="1"/>
    <col min="139" max="139" width="4.71428571428571" style="25" customWidth="1"/>
    <col min="140" max="140" width="15.7142857142857" style="25" customWidth="1"/>
    <col min="141" max="141" width="4.71428571428571" style="25" customWidth="1"/>
    <col min="142" max="142" width="15.7142857142857" style="25" customWidth="1"/>
    <col min="143" max="144" width="4.71428571428571" style="25" customWidth="1"/>
    <col min="145" max="150" width="3.71428571428571" style="25" customWidth="1"/>
    <col min="152" max="152" width="4.71428571428571" style="25" customWidth="1"/>
    <col min="153" max="153" width="15.7142857142857" style="25" customWidth="1"/>
    <col min="154" max="154" width="4.71428571428571" style="25" customWidth="1"/>
    <col min="155" max="155" width="15.7142857142857" style="25" customWidth="1"/>
    <col min="156" max="157" width="4.71428571428571" style="25" customWidth="1"/>
    <col min="158" max="163" width="3.71428571428571" style="25" customWidth="1"/>
    <col min="165" max="165" width="4.71428571428571" style="25" customWidth="1"/>
    <col min="166" max="166" width="15.7142857142857" style="25" customWidth="1"/>
    <col min="167" max="167" width="4.71428571428571" style="25" customWidth="1"/>
    <col min="168" max="168" width="15.7142857142857" style="25" customWidth="1"/>
    <col min="169" max="170" width="4.71428571428571" style="25" customWidth="1"/>
    <col min="171" max="176" width="3.71428571428571" style="25" customWidth="1"/>
    <col min="178" max="178" width="4.71428571428571" style="25" customWidth="1"/>
    <col min="179" max="179" width="15.7142857142857" style="25" customWidth="1"/>
    <col min="180" max="180" width="4.71428571428571" style="25" customWidth="1"/>
    <col min="181" max="181" width="15.7142857142857" style="25" customWidth="1"/>
    <col min="182" max="183" width="4.71428571428571" style="25" customWidth="1"/>
    <col min="184" max="189" width="3.71428571428571" style="25" customWidth="1"/>
    <col min="191" max="191" width="4.71428571428571" style="25" customWidth="1"/>
    <col min="192" max="192" width="15.7142857142857" style="25" customWidth="1"/>
    <col min="193" max="193" width="4.71428571428571" style="25" customWidth="1"/>
    <col min="194" max="194" width="15.7142857142857" style="25" customWidth="1"/>
    <col min="195" max="196" width="4.71428571428571" style="25" customWidth="1"/>
    <col min="197" max="202" width="3.71428571428571" style="25" customWidth="1"/>
    <col min="204" max="204" width="4.71428571428571" style="25" customWidth="1"/>
    <col min="205" max="205" width="15.7142857142857" style="25" customWidth="1"/>
    <col min="206" max="206" width="4.71428571428571" style="25" customWidth="1"/>
    <col min="207" max="207" width="15.7142857142857" style="25" customWidth="1"/>
    <col min="208" max="209" width="4.71428571428571" style="25" customWidth="1"/>
    <col min="210" max="215" width="3.71428571428571" style="25" customWidth="1"/>
    <col min="217" max="217" width="4.71428571428571" style="25" customWidth="1"/>
    <col min="218" max="218" width="15.7142857142857" style="25" customWidth="1"/>
    <col min="219" max="219" width="4.71428571428571" style="25" customWidth="1"/>
    <col min="220" max="220" width="15.7142857142857" style="25" customWidth="1"/>
    <col min="221" max="222" width="4.71428571428571" style="25" customWidth="1"/>
    <col min="223" max="228" width="3.71428571428571" style="25" customWidth="1"/>
    <col min="230" max="230" width="4.71428571428571" style="25" customWidth="1"/>
    <col min="231" max="231" width="15.7142857142857" style="25" customWidth="1"/>
    <col min="232" max="232" width="4.71428571428571" style="25" customWidth="1"/>
    <col min="233" max="233" width="15.7142857142857" style="25" customWidth="1"/>
    <col min="234" max="235" width="4.71428571428571" style="25" customWidth="1"/>
    <col min="236" max="241" width="3.71428571428571" style="25" customWidth="1"/>
    <col min="243" max="243" width="4.71428571428571" style="25" customWidth="1"/>
    <col min="244" max="244" width="15.7142857142857" style="25" customWidth="1"/>
    <col min="245" max="245" width="4.71428571428571" style="25" customWidth="1"/>
    <col min="246" max="246" width="15.7142857142857" style="25" customWidth="1"/>
    <col min="247" max="248" width="4.71428571428571" style="25" customWidth="1"/>
    <col min="249" max="254" width="3.71428571428571" style="25" customWidth="1"/>
    <col min="256" max="256" width="4.71428571428571" style="25" customWidth="1"/>
    <col min="257" max="257" width="15.7142857142857" style="25" customWidth="1"/>
    <col min="258" max="258" width="4.71428571428571" style="25" customWidth="1"/>
    <col min="259" max="259" width="15.7142857142857" style="25" customWidth="1"/>
    <col min="260" max="261" width="4.71428571428571" style="25" customWidth="1"/>
    <col min="262" max="267" width="3.71428571428571" style="25" customWidth="1"/>
    <col min="269" max="269" width="4.71428571428571" style="25" customWidth="1"/>
    <col min="270" max="270" width="15.7142857142857" style="25" customWidth="1"/>
    <col min="271" max="271" width="4.71428571428571" style="25" customWidth="1"/>
    <col min="272" max="272" width="15.7142857142857" style="25" customWidth="1"/>
    <col min="273" max="274" width="4.71428571428571" style="25" customWidth="1"/>
    <col min="275" max="280" width="3.71428571428571" style="25" customWidth="1"/>
    <col min="282" max="282" width="4.71428571428571" style="25" customWidth="1"/>
    <col min="283" max="283" width="15.7142857142857" style="25" customWidth="1"/>
    <col min="284" max="284" width="4.71428571428571" style="25" customWidth="1"/>
    <col min="285" max="285" width="15.7142857142857" style="25" customWidth="1"/>
    <col min="286" max="287" width="4.71428571428571" style="25" customWidth="1"/>
    <col min="288" max="293" width="3.71428571428571" style="25" customWidth="1"/>
    <col min="295" max="295" width="4.71428571428571" style="25" customWidth="1"/>
    <col min="296" max="296" width="15.7142857142857" style="25" customWidth="1"/>
    <col min="297" max="297" width="4.71428571428571" style="25" customWidth="1"/>
    <col min="298" max="298" width="15.7142857142857" style="25" customWidth="1"/>
    <col min="299" max="300" width="4.71428571428571" style="25" customWidth="1"/>
    <col min="301" max="306" width="3.71428571428571" style="25" customWidth="1"/>
    <col min="308" max="308" width="4.71428571428571" style="25" customWidth="1"/>
    <col min="309" max="309" width="15.7142857142857" style="25" customWidth="1"/>
    <col min="310" max="310" width="4.71428571428571" style="25" customWidth="1"/>
    <col min="311" max="311" width="15.7142857142857" style="25" customWidth="1"/>
    <col min="312" max="313" width="4.71428571428571" style="25" customWidth="1"/>
    <col min="314" max="319" width="3.71428571428571" style="25" customWidth="1"/>
    <col min="321" max="321" width="4.71428571428571" style="25" customWidth="1"/>
    <col min="322" max="322" width="15.7142857142857" style="25" customWidth="1"/>
    <col min="323" max="323" width="4.71428571428571" style="25" customWidth="1"/>
    <col min="324" max="324" width="15.7142857142857" style="25" customWidth="1"/>
    <col min="325" max="326" width="4.71428571428571" style="25" customWidth="1"/>
    <col min="327" max="332" width="3.71428571428571" style="25" customWidth="1"/>
    <col min="334" max="334" width="4.71428571428571" style="25" customWidth="1"/>
    <col min="335" max="335" width="15.7142857142857" style="25" customWidth="1"/>
    <col min="336" max="336" width="4.71428571428571" style="25" customWidth="1"/>
    <col min="337" max="337" width="15.7142857142857" style="25" customWidth="1"/>
    <col min="338" max="339" width="4.71428571428571" style="25" customWidth="1"/>
    <col min="340" max="345" width="3.71428571428571" style="25" customWidth="1"/>
  </cols>
  <sheetData>
    <row r="1" spans="2:7" ht="28.5">
      <c r="B1" s="785" t="str">
        <f>Language!$E$172</f>
        <v>Predictions</v>
      </c>
      <c r="C1" s="785"/>
      <c r="D1" s="785"/>
      <c r="E1" s="785"/>
      <c r="F1" s="785"/>
      <c r="G1" s="785"/>
    </row>
    <row r="2" spans="1:345" ht="18.75" customHeight="1">
      <c r="A2" s="429"/>
      <c r="B2" s="429"/>
      <c r="C2" s="78"/>
      <c r="D2" s="78"/>
      <c r="E2" s="78"/>
      <c r="I2" s="786">
        <f ca="1">O70</f>
        <v>0</v>
      </c>
      <c r="J2" s="786"/>
      <c r="K2" s="786"/>
      <c r="L2" s="786"/>
      <c r="M2" s="786"/>
      <c r="N2" s="786"/>
      <c r="O2" s="786"/>
      <c r="P2" s="786"/>
      <c r="Q2" s="786"/>
      <c r="R2" s="786"/>
      <c r="S2" s="786"/>
      <c r="T2" s="786"/>
      <c r="V2" s="786">
        <f ca="1">AB70</f>
        <v>0</v>
      </c>
      <c r="W2" s="786"/>
      <c r="X2" s="786"/>
      <c r="Y2" s="786"/>
      <c r="Z2" s="786"/>
      <c r="AA2" s="786"/>
      <c r="AB2" s="786"/>
      <c r="AC2" s="786"/>
      <c r="AD2" s="786"/>
      <c r="AE2" s="786"/>
      <c r="AF2" s="786"/>
      <c r="AG2" s="786"/>
      <c r="AI2" s="786">
        <f ca="1">AO70</f>
        <v>0</v>
      </c>
      <c r="AJ2" s="786"/>
      <c r="AK2" s="786"/>
      <c r="AL2" s="786"/>
      <c r="AM2" s="786"/>
      <c r="AN2" s="786"/>
      <c r="AO2" s="786"/>
      <c r="AP2" s="786"/>
      <c r="AQ2" s="786"/>
      <c r="AR2" s="786"/>
      <c r="AS2" s="786"/>
      <c r="AT2" s="786"/>
      <c r="AV2" s="786">
        <f ca="1">BB70</f>
        <v>0</v>
      </c>
      <c r="AW2" s="786"/>
      <c r="AX2" s="786"/>
      <c r="AY2" s="786"/>
      <c r="AZ2" s="786"/>
      <c r="BA2" s="786"/>
      <c r="BB2" s="786"/>
      <c r="BC2" s="786"/>
      <c r="BD2" s="786"/>
      <c r="BE2" s="786"/>
      <c r="BF2" s="786"/>
      <c r="BG2" s="786"/>
      <c r="BI2" s="786">
        <f ca="1">BO70</f>
        <v>0</v>
      </c>
      <c r="BJ2" s="786"/>
      <c r="BK2" s="786"/>
      <c r="BL2" s="786"/>
      <c r="BM2" s="786"/>
      <c r="BN2" s="786"/>
      <c r="BO2" s="786"/>
      <c r="BP2" s="786"/>
      <c r="BQ2" s="786"/>
      <c r="BR2" s="786"/>
      <c r="BS2" s="786"/>
      <c r="BT2" s="786"/>
      <c r="BV2" s="786">
        <f ca="1">CB70</f>
        <v>0</v>
      </c>
      <c r="BW2" s="786"/>
      <c r="BX2" s="786"/>
      <c r="BY2" s="786"/>
      <c r="BZ2" s="786"/>
      <c r="CA2" s="786"/>
      <c r="CB2" s="786"/>
      <c r="CC2" s="786"/>
      <c r="CD2" s="786"/>
      <c r="CE2" s="786"/>
      <c r="CF2" s="786"/>
      <c r="CG2" s="786"/>
      <c r="CI2" s="786">
        <f ca="1">CO70</f>
        <v>0</v>
      </c>
      <c r="CJ2" s="786"/>
      <c r="CK2" s="786"/>
      <c r="CL2" s="786"/>
      <c r="CM2" s="786"/>
      <c r="CN2" s="786"/>
      <c r="CO2" s="786"/>
      <c r="CP2" s="786"/>
      <c r="CQ2" s="786"/>
      <c r="CR2" s="786"/>
      <c r="CS2" s="786"/>
      <c r="CT2" s="786"/>
      <c r="CV2" s="786">
        <f ca="1">DB70</f>
        <v>0</v>
      </c>
      <c r="CW2" s="786"/>
      <c r="CX2" s="786"/>
      <c r="CY2" s="786"/>
      <c r="CZ2" s="786"/>
      <c r="DA2" s="786"/>
      <c r="DB2" s="786"/>
      <c r="DC2" s="786"/>
      <c r="DD2" s="786"/>
      <c r="DE2" s="786"/>
      <c r="DF2" s="786"/>
      <c r="DG2" s="786"/>
      <c r="DI2" s="786">
        <f ca="1">DO70</f>
        <v>0</v>
      </c>
      <c r="DJ2" s="786"/>
      <c r="DK2" s="786"/>
      <c r="DL2" s="786"/>
      <c r="DM2" s="786"/>
      <c r="DN2" s="786"/>
      <c r="DO2" s="786"/>
      <c r="DP2" s="786"/>
      <c r="DQ2" s="786"/>
      <c r="DR2" s="786"/>
      <c r="DS2" s="786"/>
      <c r="DT2" s="786"/>
      <c r="DV2" s="786">
        <f ca="1">EB70</f>
        <v>0</v>
      </c>
      <c r="DW2" s="786"/>
      <c r="DX2" s="786"/>
      <c r="DY2" s="786"/>
      <c r="DZ2" s="786"/>
      <c r="EA2" s="786"/>
      <c r="EB2" s="786"/>
      <c r="EC2" s="786"/>
      <c r="ED2" s="786"/>
      <c r="EE2" s="786"/>
      <c r="EF2" s="786"/>
      <c r="EG2" s="786"/>
      <c r="EI2" s="786">
        <f ca="1">EO70</f>
        <v>0</v>
      </c>
      <c r="EJ2" s="786"/>
      <c r="EK2" s="786"/>
      <c r="EL2" s="786"/>
      <c r="EM2" s="786"/>
      <c r="EN2" s="786"/>
      <c r="EO2" s="786"/>
      <c r="EP2" s="786"/>
      <c r="EQ2" s="786"/>
      <c r="ER2" s="786"/>
      <c r="ES2" s="786"/>
      <c r="ET2" s="786"/>
      <c r="EV2" s="786">
        <f ca="1">FB70</f>
        <v>0</v>
      </c>
      <c r="EW2" s="786"/>
      <c r="EX2" s="786"/>
      <c r="EY2" s="786"/>
      <c r="EZ2" s="786"/>
      <c r="FA2" s="786"/>
      <c r="FB2" s="786"/>
      <c r="FC2" s="786"/>
      <c r="FD2" s="786"/>
      <c r="FE2" s="786"/>
      <c r="FF2" s="786"/>
      <c r="FG2" s="786"/>
      <c r="FI2" s="786">
        <f ca="1">FO70</f>
        <v>0</v>
      </c>
      <c r="FJ2" s="786"/>
      <c r="FK2" s="786"/>
      <c r="FL2" s="786"/>
      <c r="FM2" s="786"/>
      <c r="FN2" s="786"/>
      <c r="FO2" s="786"/>
      <c r="FP2" s="786"/>
      <c r="FQ2" s="786"/>
      <c r="FR2" s="786"/>
      <c r="FS2" s="786"/>
      <c r="FT2" s="786"/>
      <c r="FV2" s="786">
        <f ca="1">GB70</f>
        <v>0</v>
      </c>
      <c r="FW2" s="786"/>
      <c r="FX2" s="786"/>
      <c r="FY2" s="786"/>
      <c r="FZ2" s="786"/>
      <c r="GA2" s="786"/>
      <c r="GB2" s="786"/>
      <c r="GC2" s="786"/>
      <c r="GD2" s="786"/>
      <c r="GE2" s="786"/>
      <c r="GF2" s="786"/>
      <c r="GG2" s="786"/>
      <c r="GI2" s="786">
        <f ca="1">GO70</f>
        <v>0</v>
      </c>
      <c r="GJ2" s="786"/>
      <c r="GK2" s="786"/>
      <c r="GL2" s="786"/>
      <c r="GM2" s="786"/>
      <c r="GN2" s="786"/>
      <c r="GO2" s="786"/>
      <c r="GP2" s="786"/>
      <c r="GQ2" s="786"/>
      <c r="GR2" s="786"/>
      <c r="GS2" s="786"/>
      <c r="GT2" s="786"/>
      <c r="GV2" s="786">
        <f ca="1">HB70</f>
        <v>0</v>
      </c>
      <c r="GW2" s="786"/>
      <c r="GX2" s="786"/>
      <c r="GY2" s="786"/>
      <c r="GZ2" s="786"/>
      <c r="HA2" s="786"/>
      <c r="HB2" s="786"/>
      <c r="HC2" s="786"/>
      <c r="HD2" s="786"/>
      <c r="HE2" s="786"/>
      <c r="HF2" s="786"/>
      <c r="HG2" s="786"/>
      <c r="HI2" s="786">
        <f ca="1">HO70</f>
        <v>0</v>
      </c>
      <c r="HJ2" s="786"/>
      <c r="HK2" s="786"/>
      <c r="HL2" s="786"/>
      <c r="HM2" s="786"/>
      <c r="HN2" s="786"/>
      <c r="HO2" s="786"/>
      <c r="HP2" s="786"/>
      <c r="HQ2" s="786"/>
      <c r="HR2" s="786"/>
      <c r="HS2" s="786"/>
      <c r="HT2" s="786"/>
      <c r="HV2" s="786">
        <f ca="1">IB70</f>
        <v>0</v>
      </c>
      <c r="HW2" s="786"/>
      <c r="HX2" s="786"/>
      <c r="HY2" s="786"/>
      <c r="HZ2" s="786"/>
      <c r="IA2" s="786"/>
      <c r="IB2" s="786"/>
      <c r="IC2" s="786"/>
      <c r="ID2" s="786"/>
      <c r="IE2" s="786"/>
      <c r="IF2" s="786"/>
      <c r="IG2" s="786"/>
      <c r="II2" s="786">
        <f ca="1">IO70</f>
        <v>0</v>
      </c>
      <c r="IJ2" s="786"/>
      <c r="IK2" s="786"/>
      <c r="IL2" s="786"/>
      <c r="IM2" s="786"/>
      <c r="IN2" s="786"/>
      <c r="IO2" s="786"/>
      <c r="IP2" s="786"/>
      <c r="IQ2" s="786"/>
      <c r="IR2" s="786"/>
      <c r="IS2" s="786"/>
      <c r="IT2" s="786"/>
      <c r="IV2" s="786">
        <f ca="1">JB70</f>
        <v>0</v>
      </c>
      <c r="IW2" s="786"/>
      <c r="IX2" s="786"/>
      <c r="IY2" s="786"/>
      <c r="IZ2" s="786"/>
      <c r="JA2" s="786"/>
      <c r="JB2" s="786"/>
      <c r="JC2" s="786"/>
      <c r="JD2" s="786"/>
      <c r="JE2" s="786"/>
      <c r="JF2" s="786"/>
      <c r="JG2" s="786"/>
      <c r="JI2" s="786">
        <f ca="1">JO70</f>
        <v>0</v>
      </c>
      <c r="JJ2" s="786"/>
      <c r="JK2" s="786"/>
      <c r="JL2" s="786"/>
      <c r="JM2" s="786"/>
      <c r="JN2" s="786"/>
      <c r="JO2" s="786"/>
      <c r="JP2" s="786"/>
      <c r="JQ2" s="786"/>
      <c r="JR2" s="786"/>
      <c r="JS2" s="786"/>
      <c r="JT2" s="786"/>
      <c r="JV2" s="786">
        <f ca="1">KB70</f>
        <v>0</v>
      </c>
      <c r="JW2" s="786"/>
      <c r="JX2" s="786"/>
      <c r="JY2" s="786"/>
      <c r="JZ2" s="786"/>
      <c r="KA2" s="786"/>
      <c r="KB2" s="786"/>
      <c r="KC2" s="786"/>
      <c r="KD2" s="786"/>
      <c r="KE2" s="786"/>
      <c r="KF2" s="786"/>
      <c r="KG2" s="786"/>
      <c r="KI2" s="786">
        <f ca="1">KO70</f>
        <v>0</v>
      </c>
      <c r="KJ2" s="786"/>
      <c r="KK2" s="786"/>
      <c r="KL2" s="786"/>
      <c r="KM2" s="786"/>
      <c r="KN2" s="786"/>
      <c r="KO2" s="786"/>
      <c r="KP2" s="786"/>
      <c r="KQ2" s="786"/>
      <c r="KR2" s="786"/>
      <c r="KS2" s="786"/>
      <c r="KT2" s="786"/>
      <c r="KV2" s="786">
        <f ca="1">LB70</f>
        <v>0</v>
      </c>
      <c r="KW2" s="786"/>
      <c r="KX2" s="786"/>
      <c r="KY2" s="786"/>
      <c r="KZ2" s="786"/>
      <c r="LA2" s="786"/>
      <c r="LB2" s="786"/>
      <c r="LC2" s="786"/>
      <c r="LD2" s="786"/>
      <c r="LE2" s="786"/>
      <c r="LF2" s="786"/>
      <c r="LG2" s="786"/>
      <c r="LI2" s="786">
        <f ca="1">LO70</f>
        <v>0</v>
      </c>
      <c r="LJ2" s="786"/>
      <c r="LK2" s="786"/>
      <c r="LL2" s="786"/>
      <c r="LM2" s="786"/>
      <c r="LN2" s="786"/>
      <c r="LO2" s="786"/>
      <c r="LP2" s="786"/>
      <c r="LQ2" s="786"/>
      <c r="LR2" s="786"/>
      <c r="LS2" s="786"/>
      <c r="LT2" s="786"/>
      <c r="LV2" s="786">
        <f ca="1">MB70</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si="0" ref="I5:I32">$B5</f>
        <v>Group A</v>
      </c>
      <c r="J5" s="439"/>
      <c r="K5" s="439"/>
      <c r="L5" s="440"/>
      <c r="M5" s="443"/>
      <c r="N5" s="444"/>
      <c r="O5" s="441"/>
      <c r="P5" s="445"/>
      <c r="Q5" s="445"/>
      <c r="R5" s="440"/>
      <c r="S5" s="440"/>
      <c r="T5" s="446"/>
      <c r="V5" s="437" t="str">
        <f t="shared" si="1" ref="V5:V32">$B5</f>
        <v>Group A</v>
      </c>
      <c r="W5" s="439"/>
      <c r="X5" s="439"/>
      <c r="Y5" s="440"/>
      <c r="Z5" s="443"/>
      <c r="AA5" s="444"/>
      <c r="AB5" s="441"/>
      <c r="AC5" s="445"/>
      <c r="AD5" s="445"/>
      <c r="AE5" s="440"/>
      <c r="AF5" s="440"/>
      <c r="AG5" s="446"/>
      <c r="AI5" s="437" t="str">
        <f t="shared" si="2" ref="AI5:AI32">$B5</f>
        <v>Group A</v>
      </c>
      <c r="AJ5" s="439"/>
      <c r="AK5" s="439"/>
      <c r="AL5" s="440"/>
      <c r="AM5" s="443"/>
      <c r="AN5" s="444"/>
      <c r="AO5" s="441"/>
      <c r="AP5" s="445"/>
      <c r="AQ5" s="445"/>
      <c r="AR5" s="440"/>
      <c r="AS5" s="440"/>
      <c r="AT5" s="446"/>
      <c r="AV5" s="437" t="str">
        <f t="shared" si="3" ref="AV5:AV32">$B5</f>
        <v>Group A</v>
      </c>
      <c r="AW5" s="439"/>
      <c r="AX5" s="439"/>
      <c r="AY5" s="440"/>
      <c r="AZ5" s="443"/>
      <c r="BA5" s="444"/>
      <c r="BB5" s="441"/>
      <c r="BC5" s="445"/>
      <c r="BD5" s="445"/>
      <c r="BE5" s="440"/>
      <c r="BF5" s="440"/>
      <c r="BG5" s="446"/>
      <c r="BI5" s="437" t="str">
        <f t="shared" si="4" ref="BI5:BI32">$B5</f>
        <v>Group A</v>
      </c>
      <c r="BJ5" s="439"/>
      <c r="BK5" s="439"/>
      <c r="BL5" s="440"/>
      <c r="BM5" s="443"/>
      <c r="BN5" s="444"/>
      <c r="BO5" s="441"/>
      <c r="BP5" s="445"/>
      <c r="BQ5" s="445"/>
      <c r="BR5" s="440"/>
      <c r="BS5" s="440"/>
      <c r="BT5" s="446"/>
      <c r="BV5" s="437" t="str">
        <f t="shared" si="5" ref="BV5:BV32">$B5</f>
        <v>Group A</v>
      </c>
      <c r="BW5" s="439"/>
      <c r="BX5" s="439"/>
      <c r="BY5" s="440"/>
      <c r="BZ5" s="443"/>
      <c r="CA5" s="444"/>
      <c r="CB5" s="441"/>
      <c r="CC5" s="445"/>
      <c r="CD5" s="445"/>
      <c r="CE5" s="440"/>
      <c r="CF5" s="440"/>
      <c r="CG5" s="446"/>
      <c r="CI5" s="437" t="str">
        <f t="shared" si="6" ref="CI5:CI32">$B5</f>
        <v>Group A</v>
      </c>
      <c r="CJ5" s="439"/>
      <c r="CK5" s="439"/>
      <c r="CL5" s="440"/>
      <c r="CM5" s="443"/>
      <c r="CN5" s="444"/>
      <c r="CO5" s="441"/>
      <c r="CP5" s="445"/>
      <c r="CQ5" s="445"/>
      <c r="CR5" s="440"/>
      <c r="CS5" s="440"/>
      <c r="CT5" s="446"/>
      <c r="CV5" s="437" t="str">
        <f t="shared" si="7" ref="CV5:CV32">$B5</f>
        <v>Group A</v>
      </c>
      <c r="CW5" s="439"/>
      <c r="CX5" s="439"/>
      <c r="CY5" s="440"/>
      <c r="CZ5" s="443"/>
      <c r="DA5" s="444"/>
      <c r="DB5" s="441"/>
      <c r="DC5" s="445"/>
      <c r="DD5" s="445"/>
      <c r="DE5" s="440"/>
      <c r="DF5" s="440"/>
      <c r="DG5" s="446"/>
      <c r="DI5" s="437" t="str">
        <f t="shared" si="8" ref="DI5:DI32">$B5</f>
        <v>Group A</v>
      </c>
      <c r="DJ5" s="439"/>
      <c r="DK5" s="439"/>
      <c r="DL5" s="440"/>
      <c r="DM5" s="443"/>
      <c r="DN5" s="444"/>
      <c r="DO5" s="441"/>
      <c r="DP5" s="445"/>
      <c r="DQ5" s="445"/>
      <c r="DR5" s="440"/>
      <c r="DS5" s="440"/>
      <c r="DT5" s="446"/>
      <c r="DV5" s="437" t="str">
        <f t="shared" si="9" ref="DV5:DV32">$B5</f>
        <v>Group A</v>
      </c>
      <c r="DW5" s="439"/>
      <c r="DX5" s="439"/>
      <c r="DY5" s="440"/>
      <c r="DZ5" s="443"/>
      <c r="EA5" s="444"/>
      <c r="EB5" s="441"/>
      <c r="EC5" s="445"/>
      <c r="ED5" s="445"/>
      <c r="EE5" s="440"/>
      <c r="EF5" s="440"/>
      <c r="EG5" s="446"/>
      <c r="EI5" s="437" t="str">
        <f t="shared" si="10" ref="EI5:EI32">$B5</f>
        <v>Group A</v>
      </c>
      <c r="EJ5" s="439"/>
      <c r="EK5" s="439"/>
      <c r="EL5" s="440"/>
      <c r="EM5" s="443"/>
      <c r="EN5" s="444"/>
      <c r="EO5" s="441"/>
      <c r="EP5" s="445"/>
      <c r="EQ5" s="445"/>
      <c r="ER5" s="440"/>
      <c r="ES5" s="440"/>
      <c r="ET5" s="446"/>
      <c r="EV5" s="437" t="str">
        <f t="shared" si="11" ref="EV5:EV32">$B5</f>
        <v>Group A</v>
      </c>
      <c r="EW5" s="439"/>
      <c r="EX5" s="439"/>
      <c r="EY5" s="440"/>
      <c r="EZ5" s="443"/>
      <c r="FA5" s="444"/>
      <c r="FB5" s="441"/>
      <c r="FC5" s="445"/>
      <c r="FD5" s="445"/>
      <c r="FE5" s="440"/>
      <c r="FF5" s="440"/>
      <c r="FG5" s="446"/>
      <c r="FI5" s="437" t="str">
        <f t="shared" si="12" ref="FI5:FI32">$B5</f>
        <v>Group A</v>
      </c>
      <c r="FJ5" s="439"/>
      <c r="FK5" s="439"/>
      <c r="FL5" s="440"/>
      <c r="FM5" s="443"/>
      <c r="FN5" s="444"/>
      <c r="FO5" s="441"/>
      <c r="FP5" s="445"/>
      <c r="FQ5" s="445"/>
      <c r="FR5" s="440"/>
      <c r="FS5" s="440"/>
      <c r="FT5" s="446"/>
      <c r="FV5" s="437" t="str">
        <f t="shared" si="13" ref="FV5:FV32">$B5</f>
        <v>Group A</v>
      </c>
      <c r="FW5" s="439"/>
      <c r="FX5" s="439"/>
      <c r="FY5" s="440"/>
      <c r="FZ5" s="443"/>
      <c r="GA5" s="444"/>
      <c r="GB5" s="441"/>
      <c r="GC5" s="445"/>
      <c r="GD5" s="445"/>
      <c r="GE5" s="440"/>
      <c r="GF5" s="440"/>
      <c r="GG5" s="446"/>
      <c r="GI5" s="437" t="str">
        <f t="shared" si="14" ref="GI5:GI32">$B5</f>
        <v>Group A</v>
      </c>
      <c r="GJ5" s="439"/>
      <c r="GK5" s="439"/>
      <c r="GL5" s="440"/>
      <c r="GM5" s="443"/>
      <c r="GN5" s="444"/>
      <c r="GO5" s="441"/>
      <c r="GP5" s="445"/>
      <c r="GQ5" s="445"/>
      <c r="GR5" s="440"/>
      <c r="GS5" s="440"/>
      <c r="GT5" s="446"/>
      <c r="GV5" s="437" t="str">
        <f t="shared" si="15" ref="GV5:GV32">$B5</f>
        <v>Group A</v>
      </c>
      <c r="GW5" s="439"/>
      <c r="GX5" s="439"/>
      <c r="GY5" s="440"/>
      <c r="GZ5" s="443"/>
      <c r="HA5" s="444"/>
      <c r="HB5" s="441"/>
      <c r="HC5" s="445"/>
      <c r="HD5" s="445"/>
      <c r="HE5" s="440"/>
      <c r="HF5" s="440"/>
      <c r="HG5" s="446"/>
      <c r="HI5" s="437" t="str">
        <f t="shared" si="16" ref="HI5:HI32">$B5</f>
        <v>Group A</v>
      </c>
      <c r="HJ5" s="439"/>
      <c r="HK5" s="439"/>
      <c r="HL5" s="440"/>
      <c r="HM5" s="443"/>
      <c r="HN5" s="444"/>
      <c r="HO5" s="441"/>
      <c r="HP5" s="445"/>
      <c r="HQ5" s="445"/>
      <c r="HR5" s="440"/>
      <c r="HS5" s="440"/>
      <c r="HT5" s="446"/>
      <c r="HV5" s="437" t="str">
        <f t="shared" si="17" ref="HV5:HV32">$B5</f>
        <v>Group A</v>
      </c>
      <c r="HW5" s="439"/>
      <c r="HX5" s="439"/>
      <c r="HY5" s="440"/>
      <c r="HZ5" s="443"/>
      <c r="IA5" s="444"/>
      <c r="IB5" s="441"/>
      <c r="IC5" s="445"/>
      <c r="ID5" s="445"/>
      <c r="IE5" s="440"/>
      <c r="IF5" s="440"/>
      <c r="IG5" s="446"/>
      <c r="II5" s="437" t="str">
        <f t="shared" si="18" ref="II5:II32">$B5</f>
        <v>Group A</v>
      </c>
      <c r="IJ5" s="439"/>
      <c r="IK5" s="439"/>
      <c r="IL5" s="440"/>
      <c r="IM5" s="443"/>
      <c r="IN5" s="444"/>
      <c r="IO5" s="441"/>
      <c r="IP5" s="445"/>
      <c r="IQ5" s="445"/>
      <c r="IR5" s="440"/>
      <c r="IS5" s="440"/>
      <c r="IT5" s="446"/>
      <c r="IV5" s="437" t="str">
        <f t="shared" si="19" ref="IV5:IV32">$B5</f>
        <v>Group A</v>
      </c>
      <c r="IW5" s="439"/>
      <c r="IX5" s="439"/>
      <c r="IY5" s="440"/>
      <c r="IZ5" s="443"/>
      <c r="JA5" s="444"/>
      <c r="JB5" s="441"/>
      <c r="JC5" s="445"/>
      <c r="JD5" s="445"/>
      <c r="JE5" s="440"/>
      <c r="JF5" s="440"/>
      <c r="JG5" s="446"/>
      <c r="JI5" s="437" t="str">
        <f t="shared" si="20" ref="JI5:JI32">$B5</f>
        <v>Group A</v>
      </c>
      <c r="JJ5" s="439"/>
      <c r="JK5" s="439"/>
      <c r="JL5" s="440"/>
      <c r="JM5" s="443"/>
      <c r="JN5" s="444"/>
      <c r="JO5" s="441"/>
      <c r="JP5" s="445"/>
      <c r="JQ5" s="445"/>
      <c r="JR5" s="440"/>
      <c r="JS5" s="440"/>
      <c r="JT5" s="446"/>
      <c r="JV5" s="437" t="str">
        <f t="shared" si="21" ref="JV5:JV32">$B5</f>
        <v>Group A</v>
      </c>
      <c r="JW5" s="439"/>
      <c r="JX5" s="439"/>
      <c r="JY5" s="440"/>
      <c r="JZ5" s="443"/>
      <c r="KA5" s="444"/>
      <c r="KB5" s="441"/>
      <c r="KC5" s="445"/>
      <c r="KD5" s="445"/>
      <c r="KE5" s="440"/>
      <c r="KF5" s="440"/>
      <c r="KG5" s="446"/>
      <c r="KI5" s="437" t="str">
        <f t="shared" si="22" ref="KI5:KI32">$B5</f>
        <v>Group A</v>
      </c>
      <c r="KJ5" s="439"/>
      <c r="KK5" s="439"/>
      <c r="KL5" s="440"/>
      <c r="KM5" s="443"/>
      <c r="KN5" s="444"/>
      <c r="KO5" s="441"/>
      <c r="KP5" s="445"/>
      <c r="KQ5" s="445"/>
      <c r="KR5" s="440"/>
      <c r="KS5" s="440"/>
      <c r="KT5" s="446"/>
      <c r="KV5" s="437" t="str">
        <f t="shared" si="23" ref="KV5:KV32">$B5</f>
        <v>Group A</v>
      </c>
      <c r="KW5" s="439"/>
      <c r="KX5" s="439"/>
      <c r="KY5" s="440"/>
      <c r="KZ5" s="443"/>
      <c r="LA5" s="444"/>
      <c r="LB5" s="441"/>
      <c r="LC5" s="445"/>
      <c r="LD5" s="445"/>
      <c r="LE5" s="440"/>
      <c r="LF5" s="440"/>
      <c r="LG5" s="446"/>
      <c r="LI5" s="437" t="str">
        <f t="shared" si="24" ref="LI5:LI32">$B5</f>
        <v>Group A</v>
      </c>
      <c r="LJ5" s="439"/>
      <c r="LK5" s="439"/>
      <c r="LL5" s="440"/>
      <c r="LM5" s="443"/>
      <c r="LN5" s="444"/>
      <c r="LO5" s="441"/>
      <c r="LP5" s="445"/>
      <c r="LQ5" s="445"/>
      <c r="LR5" s="440"/>
      <c r="LS5" s="440"/>
      <c r="LT5" s="446"/>
      <c r="LV5" s="437" t="str">
        <f t="shared" si="25" ref="LV5:LV32">$B5</f>
        <v>Group A</v>
      </c>
      <c r="LW5" s="439"/>
      <c r="LX5" s="439"/>
      <c r="LY5" s="440"/>
      <c r="LZ5" s="443"/>
      <c r="MA5" s="444"/>
      <c r="MB5" s="441"/>
      <c r="MC5" s="445"/>
      <c r="MD5" s="445"/>
      <c r="ME5" s="440"/>
      <c r="MF5" s="440"/>
      <c r="MG5" s="446"/>
    </row>
    <row r="6" spans="2:345" ht="15.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ca="1" t="shared" si="26" ref="K6:K11">$D6</f>
        <v>13</v>
      </c>
      <c r="L6" s="448" t="str">
        <f ca="1">GrpA!$D$4</f>
        <v>Scotland</v>
      </c>
      <c r="M6" s="452"/>
      <c r="N6" s="452"/>
      <c r="O6" s="453"/>
      <c r="P6" s="449" t="str">
        <f ca="1" t="shared" si="27" ref="P6:P11">IF(($F6&lt;&gt;"")*($G6&lt;&gt;"")*(M6&lt;&gt;"")*(N6&lt;&gt;""),($F6&gt;$G6)*(M6&gt;N6)+($F6=$G6)*(M6=N6)+($F6&lt;$G6)*(M6&lt;N6),"")</f>
        <v/>
      </c>
      <c r="Q6" s="449" t="str">
        <f ca="1">IF((P6&lt;&gt;""),IF(OR($F6&lt;&gt;$G6,PrSettings!$M$4="●"),(($F6-$G6)=(M6-N6))*1,0),"")</f>
        <v/>
      </c>
      <c r="R6" s="449" t="str">
        <f ca="1" t="shared" si="28" ref="R6:R11">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ca="1" t="shared" si="29" ref="X6:X11">$D6</f>
        <v>13</v>
      </c>
      <c r="Y6" s="448" t="str">
        <f ca="1">GrpA!$D$4</f>
        <v>Scotland</v>
      </c>
      <c r="Z6" s="452"/>
      <c r="AA6" s="452"/>
      <c r="AB6" s="453"/>
      <c r="AC6" s="449" t="str">
        <f ca="1" t="shared" si="30" ref="AC6:AC11">IF(($F6&lt;&gt;"")*($G6&lt;&gt;"")*(Z6&lt;&gt;"")*(AA6&lt;&gt;""),($F6&gt;$G6)*(Z6&gt;AA6)+($F6=$G6)*(Z6=AA6)+($F6&lt;$G6)*(Z6&lt;AA6),"")</f>
        <v/>
      </c>
      <c r="AD6" s="449" t="str">
        <f ca="1">IF((AC6&lt;&gt;""),IF(OR($F6&lt;&gt;$G6,PrSettings!$M$4="●"),(($F6-$G6)=(Z6-AA6))*1,0),"")</f>
        <v/>
      </c>
      <c r="AE6" s="449" t="str">
        <f ca="1" t="shared" si="31" ref="AE6:AE1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ca="1" t="shared" si="32" ref="AK6:AK11">$D6</f>
        <v>13</v>
      </c>
      <c r="AL6" s="448" t="str">
        <f ca="1">GrpA!$D$4</f>
        <v>Scotland</v>
      </c>
      <c r="AM6" s="452"/>
      <c r="AN6" s="452"/>
      <c r="AO6" s="453"/>
      <c r="AP6" s="449" t="str">
        <f ca="1" t="shared" si="33" ref="AP6:AP11">IF(($F6&lt;&gt;"")*($G6&lt;&gt;"")*(AM6&lt;&gt;"")*(AN6&lt;&gt;""),($F6&gt;$G6)*(AM6&gt;AN6)+($F6=$G6)*(AM6=AN6)+($F6&lt;$G6)*(AM6&lt;AN6),"")</f>
        <v/>
      </c>
      <c r="AQ6" s="449" t="str">
        <f ca="1">IF((AP6&lt;&gt;""),IF(OR($F6&lt;&gt;$G6,PrSettings!$M$4="●"),(($F6-$G6)=(AM6-AN6))*1,0),"")</f>
        <v/>
      </c>
      <c r="AR6" s="449" t="str">
        <f ca="1" t="shared" si="34" ref="AR6:AR11">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ca="1" t="shared" si="35" ref="AX6:AX11">$D6</f>
        <v>13</v>
      </c>
      <c r="AY6" s="448" t="str">
        <f ca="1">GrpA!$D$4</f>
        <v>Scotland</v>
      </c>
      <c r="AZ6" s="452"/>
      <c r="BA6" s="452"/>
      <c r="BB6" s="453"/>
      <c r="BC6" s="449" t="str">
        <f ca="1" t="shared" si="36" ref="BC6:BC11">IF(($F6&lt;&gt;"")*($G6&lt;&gt;"")*(AZ6&lt;&gt;"")*(BA6&lt;&gt;""),($F6&gt;$G6)*(AZ6&gt;BA6)+($F6=$G6)*(AZ6=BA6)+($F6&lt;$G6)*(AZ6&lt;BA6),"")</f>
        <v/>
      </c>
      <c r="BD6" s="449" t="str">
        <f ca="1">IF((BC6&lt;&gt;""),IF(OR($F6&lt;&gt;$G6,PrSettings!$M$4="●"),(($F6-$G6)=(AZ6-BA6))*1,0),"")</f>
        <v/>
      </c>
      <c r="BE6" s="449" t="str">
        <f ca="1" t="shared" si="37" ref="BE6:BE11">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ca="1" t="shared" si="38" ref="BK6:BK11">$D6</f>
        <v>13</v>
      </c>
      <c r="BL6" s="448" t="str">
        <f ca="1">GrpA!$D$4</f>
        <v>Scotland</v>
      </c>
      <c r="BM6" s="452"/>
      <c r="BN6" s="452"/>
      <c r="BO6" s="453"/>
      <c r="BP6" s="449" t="str">
        <f ca="1" t="shared" si="39" ref="BP6:BP11">IF(($F6&lt;&gt;"")*($G6&lt;&gt;"")*(BM6&lt;&gt;"")*(BN6&lt;&gt;""),($F6&gt;$G6)*(BM6&gt;BN6)+($F6=$G6)*(BM6=BN6)+($F6&lt;$G6)*(BM6&lt;BN6),"")</f>
        <v/>
      </c>
      <c r="BQ6" s="449" t="str">
        <f ca="1">IF((BP6&lt;&gt;""),IF(OR($F6&lt;&gt;$G6,PrSettings!$M$4="●"),(($F6-$G6)=(BM6-BN6))*1,0),"")</f>
        <v/>
      </c>
      <c r="BR6" s="449" t="str">
        <f ca="1" t="shared" si="40" ref="BR6:BR11">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ca="1" t="shared" si="41" ref="BX6:BX11">$D6</f>
        <v>13</v>
      </c>
      <c r="BY6" s="448" t="str">
        <f ca="1">GrpA!$D$4</f>
        <v>Scotland</v>
      </c>
      <c r="BZ6" s="452"/>
      <c r="CA6" s="452"/>
      <c r="CB6" s="453"/>
      <c r="CC6" s="449" t="str">
        <f ca="1" t="shared" si="42" ref="CC6:CC11">IF(($F6&lt;&gt;"")*($G6&lt;&gt;"")*(BZ6&lt;&gt;"")*(CA6&lt;&gt;""),($F6&gt;$G6)*(BZ6&gt;CA6)+($F6=$G6)*(BZ6=CA6)+($F6&lt;$G6)*(BZ6&lt;CA6),"")</f>
        <v/>
      </c>
      <c r="CD6" s="449" t="str">
        <f ca="1">IF((CC6&lt;&gt;""),IF(OR($F6&lt;&gt;$G6,PrSettings!$M$4="●"),(($F6-$G6)=(BZ6-CA6))*1,0),"")</f>
        <v/>
      </c>
      <c r="CE6" s="449" t="str">
        <f ca="1" t="shared" si="43" ref="CE6:CE11">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ca="1" t="shared" si="44" ref="CK6:CK11">$D6</f>
        <v>13</v>
      </c>
      <c r="CL6" s="448" t="str">
        <f ca="1">GrpA!$D$4</f>
        <v>Scotland</v>
      </c>
      <c r="CM6" s="452"/>
      <c r="CN6" s="452"/>
      <c r="CO6" s="453"/>
      <c r="CP6" s="449" t="str">
        <f ca="1" t="shared" si="45" ref="CP6:CP11">IF(($F6&lt;&gt;"")*($G6&lt;&gt;"")*(CM6&lt;&gt;"")*(CN6&lt;&gt;""),($F6&gt;$G6)*(CM6&gt;CN6)+($F6=$G6)*(CM6=CN6)+($F6&lt;$G6)*(CM6&lt;CN6),"")</f>
        <v/>
      </c>
      <c r="CQ6" s="449" t="str">
        <f ca="1">IF((CP6&lt;&gt;""),IF(OR($F6&lt;&gt;$G6,PrSettings!$M$4="●"),(($F6-$G6)=(CM6-CN6))*1,0),"")</f>
        <v/>
      </c>
      <c r="CR6" s="449" t="str">
        <f ca="1" t="shared" si="46" ref="CR6:CR11">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ca="1" t="shared" si="47" ref="CX6:CX11">$D6</f>
        <v>13</v>
      </c>
      <c r="CY6" s="448" t="str">
        <f ca="1">GrpA!$D$4</f>
        <v>Scotland</v>
      </c>
      <c r="CZ6" s="452"/>
      <c r="DA6" s="452"/>
      <c r="DB6" s="453"/>
      <c r="DC6" s="449" t="str">
        <f ca="1" t="shared" si="48" ref="DC6:DC11">IF(($F6&lt;&gt;"")*($G6&lt;&gt;"")*(CZ6&lt;&gt;"")*(DA6&lt;&gt;""),($F6&gt;$G6)*(CZ6&gt;DA6)+($F6=$G6)*(CZ6=DA6)+($F6&lt;$G6)*(CZ6&lt;DA6),"")</f>
        <v/>
      </c>
      <c r="DD6" s="449" t="str">
        <f ca="1">IF((DC6&lt;&gt;""),IF(OR($F6&lt;&gt;$G6,PrSettings!$M$4="●"),(($F6-$G6)=(CZ6-DA6))*1,0),"")</f>
        <v/>
      </c>
      <c r="DE6" s="449" t="str">
        <f ca="1" t="shared" si="49" ref="DE6:DE11">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ca="1" t="shared" si="50" ref="DK6:DK11">$D6</f>
        <v>13</v>
      </c>
      <c r="DL6" s="448" t="str">
        <f ca="1">GrpA!$D$4</f>
        <v>Scotland</v>
      </c>
      <c r="DM6" s="452"/>
      <c r="DN6" s="452"/>
      <c r="DO6" s="453"/>
      <c r="DP6" s="449" t="str">
        <f ca="1" t="shared" si="51" ref="DP6:DP11">IF(($F6&lt;&gt;"")*($G6&lt;&gt;"")*(DM6&lt;&gt;"")*(DN6&lt;&gt;""),($F6&gt;$G6)*(DM6&gt;DN6)+($F6=$G6)*(DM6=DN6)+($F6&lt;$G6)*(DM6&lt;DN6),"")</f>
        <v/>
      </c>
      <c r="DQ6" s="449" t="str">
        <f ca="1">IF((DP6&lt;&gt;""),IF(OR($F6&lt;&gt;$G6,PrSettings!$M$4="●"),(($F6-$G6)=(DM6-DN6))*1,0),"")</f>
        <v/>
      </c>
      <c r="DR6" s="449" t="str">
        <f ca="1" t="shared" si="52" ref="DR6:DR11">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ca="1" t="shared" si="53" ref="DX6:DX11">$D6</f>
        <v>13</v>
      </c>
      <c r="DY6" s="448" t="str">
        <f ca="1">GrpA!$D$4</f>
        <v>Scotland</v>
      </c>
      <c r="DZ6" s="452"/>
      <c r="EA6" s="452"/>
      <c r="EB6" s="453"/>
      <c r="EC6" s="449" t="str">
        <f ca="1" t="shared" si="54" ref="EC6:EC11">IF(($F6&lt;&gt;"")*($G6&lt;&gt;"")*(DZ6&lt;&gt;"")*(EA6&lt;&gt;""),($F6&gt;$G6)*(DZ6&gt;EA6)+($F6=$G6)*(DZ6=EA6)+($F6&lt;$G6)*(DZ6&lt;EA6),"")</f>
        <v/>
      </c>
      <c r="ED6" s="449" t="str">
        <f ca="1">IF((EC6&lt;&gt;""),IF(OR($F6&lt;&gt;$G6,PrSettings!$M$4="●"),(($F6-$G6)=(DZ6-EA6))*1,0),"")</f>
        <v/>
      </c>
      <c r="EE6" s="449" t="str">
        <f ca="1" t="shared" si="55" ref="EE6:EE11">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ca="1" t="shared" si="56" ref="EK6:EK11">$D6</f>
        <v>13</v>
      </c>
      <c r="EL6" s="448" t="str">
        <f ca="1">GrpA!$D$4</f>
        <v>Scotland</v>
      </c>
      <c r="EM6" s="452"/>
      <c r="EN6" s="452"/>
      <c r="EO6" s="453"/>
      <c r="EP6" s="449" t="str">
        <f ca="1" t="shared" si="57" ref="EP6:EP11">IF(($F6&lt;&gt;"")*($G6&lt;&gt;"")*(EM6&lt;&gt;"")*(EN6&lt;&gt;""),($F6&gt;$G6)*(EM6&gt;EN6)+($F6=$G6)*(EM6=EN6)+($F6&lt;$G6)*(EM6&lt;EN6),"")</f>
        <v/>
      </c>
      <c r="EQ6" s="449" t="str">
        <f ca="1">IF((EP6&lt;&gt;""),IF(OR($F6&lt;&gt;$G6,PrSettings!$M$4="●"),(($F6-$G6)=(EM6-EN6))*1,0),"")</f>
        <v/>
      </c>
      <c r="ER6" s="449" t="str">
        <f ca="1" t="shared" si="58" ref="ER6:ER11">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ca="1" t="shared" si="59" ref="EX6:EX11">$D6</f>
        <v>13</v>
      </c>
      <c r="EY6" s="448" t="str">
        <f ca="1">GrpA!$D$4</f>
        <v>Scotland</v>
      </c>
      <c r="EZ6" s="452"/>
      <c r="FA6" s="452"/>
      <c r="FB6" s="453"/>
      <c r="FC6" s="449" t="str">
        <f ca="1" t="shared" si="60" ref="FC6:FC11">IF(($F6&lt;&gt;"")*($G6&lt;&gt;"")*(EZ6&lt;&gt;"")*(FA6&lt;&gt;""),($F6&gt;$G6)*(EZ6&gt;FA6)+($F6=$G6)*(EZ6=FA6)+($F6&lt;$G6)*(EZ6&lt;FA6),"")</f>
        <v/>
      </c>
      <c r="FD6" s="449" t="str">
        <f ca="1">IF((FC6&lt;&gt;""),IF(OR($F6&lt;&gt;$G6,PrSettings!$M$4="●"),(($F6-$G6)=(EZ6-FA6))*1,0),"")</f>
        <v/>
      </c>
      <c r="FE6" s="449" t="str">
        <f ca="1" t="shared" si="61" ref="FE6:FE1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ca="1" t="shared" si="62" ref="FK6:FK11">$D6</f>
        <v>13</v>
      </c>
      <c r="FL6" s="448" t="str">
        <f ca="1">GrpA!$D$4</f>
        <v>Scotland</v>
      </c>
      <c r="FM6" s="452"/>
      <c r="FN6" s="452"/>
      <c r="FO6" s="453"/>
      <c r="FP6" s="449" t="str">
        <f ca="1" t="shared" si="63" ref="FP6:FP11">IF(($F6&lt;&gt;"")*($G6&lt;&gt;"")*(FM6&lt;&gt;"")*(FN6&lt;&gt;""),($F6&gt;$G6)*(FM6&gt;FN6)+($F6=$G6)*(FM6=FN6)+($F6&lt;$G6)*(FM6&lt;FN6),"")</f>
        <v/>
      </c>
      <c r="FQ6" s="449" t="str">
        <f ca="1">IF((FP6&lt;&gt;""),IF(OR($F6&lt;&gt;$G6,PrSettings!$M$4="●"),(($F6-$G6)=(FM6-FN6))*1,0),"")</f>
        <v/>
      </c>
      <c r="FR6" s="449" t="str">
        <f ca="1" t="shared" si="64" ref="FR6:FR11">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ca="1" t="shared" si="65" ref="FX6:FX11">$D6</f>
        <v>13</v>
      </c>
      <c r="FY6" s="448" t="str">
        <f ca="1">GrpA!$D$4</f>
        <v>Scotland</v>
      </c>
      <c r="FZ6" s="452"/>
      <c r="GA6" s="452"/>
      <c r="GB6" s="453"/>
      <c r="GC6" s="449" t="str">
        <f ca="1" t="shared" si="66" ref="GC6:GC11">IF(($F6&lt;&gt;"")*($G6&lt;&gt;"")*(FZ6&lt;&gt;"")*(GA6&lt;&gt;""),($F6&gt;$G6)*(FZ6&gt;GA6)+($F6=$G6)*(FZ6=GA6)+($F6&lt;$G6)*(FZ6&lt;GA6),"")</f>
        <v/>
      </c>
      <c r="GD6" s="449" t="str">
        <f ca="1">IF((GC6&lt;&gt;""),IF(OR($F6&lt;&gt;$G6,PrSettings!$M$4="●"),(($F6-$G6)=(FZ6-GA6))*1,0),"")</f>
        <v/>
      </c>
      <c r="GE6" s="449" t="str">
        <f ca="1" t="shared" si="67" ref="GE6:GE11">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ca="1" t="shared" si="68" ref="GK6:GK11">$D6</f>
        <v>13</v>
      </c>
      <c r="GL6" s="448" t="str">
        <f ca="1">GrpA!$D$4</f>
        <v>Scotland</v>
      </c>
      <c r="GM6" s="452"/>
      <c r="GN6" s="452"/>
      <c r="GO6" s="453"/>
      <c r="GP6" s="449" t="str">
        <f ca="1" t="shared" si="69" ref="GP6:GP11">IF(($F6&lt;&gt;"")*($G6&lt;&gt;"")*(GM6&lt;&gt;"")*(GN6&lt;&gt;""),($F6&gt;$G6)*(GM6&gt;GN6)+($F6=$G6)*(GM6=GN6)+($F6&lt;$G6)*(GM6&lt;GN6),"")</f>
        <v/>
      </c>
      <c r="GQ6" s="449" t="str">
        <f ca="1">IF((GP6&lt;&gt;""),IF(OR($F6&lt;&gt;$G6,PrSettings!$M$4="●"),(($F6-$G6)=(GM6-GN6))*1,0),"")</f>
        <v/>
      </c>
      <c r="GR6" s="449" t="str">
        <f ca="1" t="shared" si="70" ref="GR6:GR11">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ca="1" t="shared" si="71" ref="GX6:GX11">$D6</f>
        <v>13</v>
      </c>
      <c r="GY6" s="448" t="str">
        <f ca="1">GrpA!$D$4</f>
        <v>Scotland</v>
      </c>
      <c r="GZ6" s="452"/>
      <c r="HA6" s="452"/>
      <c r="HB6" s="453"/>
      <c r="HC6" s="449" t="str">
        <f ca="1" t="shared" si="72" ref="HC6:HC11">IF(($F6&lt;&gt;"")*($G6&lt;&gt;"")*(GZ6&lt;&gt;"")*(HA6&lt;&gt;""),($F6&gt;$G6)*(GZ6&gt;HA6)+($F6=$G6)*(GZ6=HA6)+($F6&lt;$G6)*(GZ6&lt;HA6),"")</f>
        <v/>
      </c>
      <c r="HD6" s="449" t="str">
        <f ca="1">IF((HC6&lt;&gt;""),IF(OR($F6&lt;&gt;$G6,PrSettings!$M$4="●"),(($F6-$G6)=(GZ6-HA6))*1,0),"")</f>
        <v/>
      </c>
      <c r="HE6" s="449" t="str">
        <f ca="1" t="shared" si="73" ref="HE6:HE11">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ca="1" t="shared" si="74" ref="HK6:HK11">$D6</f>
        <v>13</v>
      </c>
      <c r="HL6" s="448" t="str">
        <f ca="1">GrpA!$D$4</f>
        <v>Scotland</v>
      </c>
      <c r="HM6" s="452"/>
      <c r="HN6" s="452"/>
      <c r="HO6" s="453"/>
      <c r="HP6" s="449" t="str">
        <f ca="1" t="shared" si="75" ref="HP6:HP11">IF(($F6&lt;&gt;"")*($G6&lt;&gt;"")*(HM6&lt;&gt;"")*(HN6&lt;&gt;""),($F6&gt;$G6)*(HM6&gt;HN6)+($F6=$G6)*(HM6=HN6)+($F6&lt;$G6)*(HM6&lt;HN6),"")</f>
        <v/>
      </c>
      <c r="HQ6" s="449" t="str">
        <f ca="1">IF((HP6&lt;&gt;""),IF(OR($F6&lt;&gt;$G6,PrSettings!$M$4="●"),(($F6-$G6)=(HM6-HN6))*1,0),"")</f>
        <v/>
      </c>
      <c r="HR6" s="449" t="str">
        <f ca="1" t="shared" si="76" ref="HR6:HR11">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ca="1" t="shared" si="77" ref="HX6:HX11">$D6</f>
        <v>13</v>
      </c>
      <c r="HY6" s="448" t="str">
        <f ca="1">GrpA!$D$4</f>
        <v>Scotland</v>
      </c>
      <c r="HZ6" s="452"/>
      <c r="IA6" s="452"/>
      <c r="IB6" s="453"/>
      <c r="IC6" s="449" t="str">
        <f ca="1" t="shared" si="78" ref="IC6:IC11">IF(($F6&lt;&gt;"")*($G6&lt;&gt;"")*(HZ6&lt;&gt;"")*(IA6&lt;&gt;""),($F6&gt;$G6)*(HZ6&gt;IA6)+($F6=$G6)*(HZ6=IA6)+($F6&lt;$G6)*(HZ6&lt;IA6),"")</f>
        <v/>
      </c>
      <c r="ID6" s="449" t="str">
        <f ca="1">IF((IC6&lt;&gt;""),IF(OR($F6&lt;&gt;$G6,PrSettings!$M$4="●"),(($F6-$G6)=(HZ6-IA6))*1,0),"")</f>
        <v/>
      </c>
      <c r="IE6" s="449" t="str">
        <f ca="1" t="shared" si="79" ref="IE6:IE11">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ca="1" t="shared" si="80" ref="IK6:IK11">$D6</f>
        <v>13</v>
      </c>
      <c r="IL6" s="448" t="str">
        <f ca="1">GrpA!$D$4</f>
        <v>Scotland</v>
      </c>
      <c r="IM6" s="452"/>
      <c r="IN6" s="452"/>
      <c r="IO6" s="453"/>
      <c r="IP6" s="449" t="str">
        <f ca="1" t="shared" si="81" ref="IP6:IP11">IF(($F6&lt;&gt;"")*($G6&lt;&gt;"")*(IM6&lt;&gt;"")*(IN6&lt;&gt;""),($F6&gt;$G6)*(IM6&gt;IN6)+($F6=$G6)*(IM6=IN6)+($F6&lt;$G6)*(IM6&lt;IN6),"")</f>
        <v/>
      </c>
      <c r="IQ6" s="449" t="str">
        <f ca="1">IF((IP6&lt;&gt;""),IF(OR($F6&lt;&gt;$G6,PrSettings!$M$4="●"),(($F6-$G6)=(IM6-IN6))*1,0),"")</f>
        <v/>
      </c>
      <c r="IR6" s="449" t="str">
        <f ca="1" t="shared" si="82" ref="IR6:IR11">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ca="1" t="shared" si="83" ref="IX6:IX11">$D6</f>
        <v>13</v>
      </c>
      <c r="IY6" s="448" t="str">
        <f ca="1">GrpA!$D$4</f>
        <v>Scotland</v>
      </c>
      <c r="IZ6" s="452"/>
      <c r="JA6" s="452"/>
      <c r="JB6" s="453"/>
      <c r="JC6" s="449" t="str">
        <f ca="1" t="shared" si="84" ref="JC6:JC11">IF(($F6&lt;&gt;"")*($G6&lt;&gt;"")*(IZ6&lt;&gt;"")*(JA6&lt;&gt;""),($F6&gt;$G6)*(IZ6&gt;JA6)+($F6=$G6)*(IZ6=JA6)+($F6&lt;$G6)*(IZ6&lt;JA6),"")</f>
        <v/>
      </c>
      <c r="JD6" s="449" t="str">
        <f ca="1">IF((JC6&lt;&gt;""),IF(OR($F6&lt;&gt;$G6,PrSettings!$M$4="●"),(($F6-$G6)=(IZ6-JA6))*1,0),"")</f>
        <v/>
      </c>
      <c r="JE6" s="449" t="str">
        <f ca="1" t="shared" si="85" ref="JE6:JE11">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ca="1" t="shared" si="86" ref="JK6:JK11">$D6</f>
        <v>13</v>
      </c>
      <c r="JL6" s="448" t="str">
        <f ca="1">GrpA!$D$4</f>
        <v>Scotland</v>
      </c>
      <c r="JM6" s="452"/>
      <c r="JN6" s="452"/>
      <c r="JO6" s="453"/>
      <c r="JP6" s="449" t="str">
        <f ca="1" t="shared" si="87" ref="JP6:JP11">IF(($F6&lt;&gt;"")*($G6&lt;&gt;"")*(JM6&lt;&gt;"")*(JN6&lt;&gt;""),($F6&gt;$G6)*(JM6&gt;JN6)+($F6=$G6)*(JM6=JN6)+($F6&lt;$G6)*(JM6&lt;JN6),"")</f>
        <v/>
      </c>
      <c r="JQ6" s="449" t="str">
        <f ca="1">IF((JP6&lt;&gt;""),IF(OR($F6&lt;&gt;$G6,PrSettings!$M$4="●"),(($F6-$G6)=(JM6-JN6))*1,0),"")</f>
        <v/>
      </c>
      <c r="JR6" s="449" t="str">
        <f ca="1" t="shared" si="88" ref="JR6:JR11">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ca="1" t="shared" si="89" ref="JX6:JX11">$D6</f>
        <v>13</v>
      </c>
      <c r="JY6" s="448" t="str">
        <f ca="1">GrpA!$D$4</f>
        <v>Scotland</v>
      </c>
      <c r="JZ6" s="452"/>
      <c r="KA6" s="452"/>
      <c r="KB6" s="453"/>
      <c r="KC6" s="449" t="str">
        <f ca="1" t="shared" si="90" ref="KC6:KC11">IF(($F6&lt;&gt;"")*($G6&lt;&gt;"")*(JZ6&lt;&gt;"")*(KA6&lt;&gt;""),($F6&gt;$G6)*(JZ6&gt;KA6)+($F6=$G6)*(JZ6=KA6)+($F6&lt;$G6)*(JZ6&lt;KA6),"")</f>
        <v/>
      </c>
      <c r="KD6" s="449" t="str">
        <f ca="1">IF((KC6&lt;&gt;""),IF(OR($F6&lt;&gt;$G6,PrSettings!$M$4="●"),(($F6-$G6)=(JZ6-KA6))*1,0),"")</f>
        <v/>
      </c>
      <c r="KE6" s="449" t="str">
        <f ca="1" t="shared" si="91" ref="KE6:KE1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ca="1" t="shared" si="92" ref="KK6:KK11">$D6</f>
        <v>13</v>
      </c>
      <c r="KL6" s="448" t="str">
        <f ca="1">GrpA!$D$4</f>
        <v>Scotland</v>
      </c>
      <c r="KM6" s="452"/>
      <c r="KN6" s="452"/>
      <c r="KO6" s="453"/>
      <c r="KP6" s="449" t="str">
        <f ca="1" t="shared" si="93" ref="KP6:KP11">IF(($F6&lt;&gt;"")*($G6&lt;&gt;"")*(KM6&lt;&gt;"")*(KN6&lt;&gt;""),($F6&gt;$G6)*(KM6&gt;KN6)+($F6=$G6)*(KM6=KN6)+($F6&lt;$G6)*(KM6&lt;KN6),"")</f>
        <v/>
      </c>
      <c r="KQ6" s="449" t="str">
        <f ca="1">IF((KP6&lt;&gt;""),IF(OR($F6&lt;&gt;$G6,PrSettings!$M$4="●"),(($F6-$G6)=(KM6-KN6))*1,0),"")</f>
        <v/>
      </c>
      <c r="KR6" s="449" t="str">
        <f ca="1" t="shared" si="94" ref="KR6:KR11">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ca="1" t="shared" si="95" ref="KX6:KX11">$D6</f>
        <v>13</v>
      </c>
      <c r="KY6" s="448" t="str">
        <f ca="1">GrpA!$D$4</f>
        <v>Scotland</v>
      </c>
      <c r="KZ6" s="452"/>
      <c r="LA6" s="452"/>
      <c r="LB6" s="453"/>
      <c r="LC6" s="449" t="str">
        <f ca="1" t="shared" si="96" ref="LC6:LC11">IF(($F6&lt;&gt;"")*($G6&lt;&gt;"")*(KZ6&lt;&gt;"")*(LA6&lt;&gt;""),($F6&gt;$G6)*(KZ6&gt;LA6)+($F6=$G6)*(KZ6=LA6)+($F6&lt;$G6)*(KZ6&lt;LA6),"")</f>
        <v/>
      </c>
      <c r="LD6" s="449" t="str">
        <f ca="1">IF((LC6&lt;&gt;""),IF(OR($F6&lt;&gt;$G6,PrSettings!$M$4="●"),(($F6-$G6)=(KZ6-LA6))*1,0),"")</f>
        <v/>
      </c>
      <c r="LE6" s="449" t="str">
        <f ca="1" t="shared" si="97" ref="LE6:LE11">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ca="1" t="shared" si="98" ref="LK6:LK11">$D6</f>
        <v>13</v>
      </c>
      <c r="LL6" s="448" t="str">
        <f ca="1">GrpA!$D$4</f>
        <v>Scotland</v>
      </c>
      <c r="LM6" s="452"/>
      <c r="LN6" s="452"/>
      <c r="LO6" s="453"/>
      <c r="LP6" s="449" t="str">
        <f ca="1" t="shared" si="99" ref="LP6:LP11">IF(($F6&lt;&gt;"")*($G6&lt;&gt;"")*(LM6&lt;&gt;"")*(LN6&lt;&gt;""),($F6&gt;$G6)*(LM6&gt;LN6)+($F6=$G6)*(LM6=LN6)+($F6&lt;$G6)*(LM6&lt;LN6),"")</f>
        <v/>
      </c>
      <c r="LQ6" s="449" t="str">
        <f ca="1">IF((LP6&lt;&gt;""),IF(OR($F6&lt;&gt;$G6,PrSettings!$M$4="●"),(($F6-$G6)=(LM6-LN6))*1,0),"")</f>
        <v/>
      </c>
      <c r="LR6" s="449" t="str">
        <f ca="1" t="shared" si="100" ref="LR6:LR11">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ca="1" t="shared" si="101" ref="LX6:LX11">$D6</f>
        <v>13</v>
      </c>
      <c r="LY6" s="448" t="str">
        <f ca="1">GrpA!$D$4</f>
        <v>Scotland</v>
      </c>
      <c r="LZ6" s="452"/>
      <c r="MA6" s="452"/>
      <c r="MB6" s="453"/>
      <c r="MC6" s="449" t="str">
        <f ca="1" t="shared" si="102" ref="MC6:MC11">IF(($F6&lt;&gt;"")*($G6&lt;&gt;"")*(LZ6&lt;&gt;"")*(MA6&lt;&gt;""),($F6&gt;$G6)*(LZ6&gt;MA6)+($F6=$G6)*(LZ6=MA6)+($F6&lt;$G6)*(LZ6&lt;MA6),"")</f>
        <v/>
      </c>
      <c r="MD6" s="449" t="str">
        <f ca="1">IF((MC6&lt;&gt;""),IF(OR($F6&lt;&gt;$G6,PrSettings!$M$4="●"),(($F6-$G6)=(LZ6-MA6))*1,0),"")</f>
        <v/>
      </c>
      <c r="ME6" s="449" t="str">
        <f ca="1" t="shared" si="103" ref="ME6:ME11">IF((MC6&lt;&gt;""),($F6=LZ6)*($G6=MA6),"")</f>
        <v/>
      </c>
      <c r="MF6" s="449" t="str">
        <f ca="1">IF(MC6&lt;&gt;"",IF(ABS($F6-$G6)&gt;=PrSettings!$M$7,(ABS($F6-$G6-LZ6+MA6)&lt;=1)*1,IF(AND(MC6,$F6=$G6,$F6&gt;=PrSettings!$M$6),(ABS(LZ6-$F6)&lt;=1)*1,IF(AND(ABS($F6-$G6-LZ6+MA6)&lt;=1,$F6+$G6&gt;=PrSettings!$M$8),(ABS(LZ6-$F6)&lt;=1)*(ABS(MA6-$G6)&lt;=1)*1,""))),"")</f>
        <v/>
      </c>
      <c r="MG6" s="454"/>
    </row>
    <row r="7" spans="2:345" ht="15.5">
      <c r="B7" s="447">
        <f ca="1">INDEX(Groups!$C$7:$C$35,MATCH(C7,Groups!$D$7:$D$35,0))</f>
        <v>6</v>
      </c>
      <c r="C7" s="448" t="str">
        <f ca="1">GrpA!$B$5</f>
        <v>Hungary</v>
      </c>
      <c r="D7" s="449">
        <f ca="1">INDEX(Groups!$C$7:$C$35,MATCH(E7,Groups!$D$7:$D$35,0))</f>
        <v>20</v>
      </c>
      <c r="E7" s="448" t="str">
        <f ca="1">GrpA!$D$5</f>
        <v>Switzerland</v>
      </c>
      <c r="F7" s="450">
        <f ca="1">GrpA!$E$5</f>
        <v>3</v>
      </c>
      <c r="G7" s="451">
        <f ca="1">GrpA!$G$5</f>
        <v>0</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2:345" ht="15.5">
      <c r="B8" s="447">
        <f ca="1">INDEX(Groups!$C$7:$C$35,MATCH(C8,Groups!$D$7:$D$35,0))</f>
        <v>54</v>
      </c>
      <c r="C8" s="448" t="str">
        <f ca="1">GrpA!$B$6</f>
        <v>Germany</v>
      </c>
      <c r="D8" s="449">
        <f ca="1">INDEX(Groups!$C$7:$C$35,MATCH(E8,Groups!$D$7:$D$35,0))</f>
        <v>6</v>
      </c>
      <c r="E8" s="448" t="str">
        <f ca="1">GrpA!$D$6</f>
        <v>Hungary</v>
      </c>
      <c r="F8" s="450">
        <f ca="1">GrpA!$E$6</f>
        <v>2</v>
      </c>
      <c r="G8" s="451">
        <f ca="1">GrpA!$G$6</f>
        <v>2</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2:345" ht="15.5">
      <c r="B9" s="447">
        <f ca="1">INDEX(Groups!$C$7:$C$35,MATCH(C9,Groups!$D$7:$D$35,0))</f>
        <v>13</v>
      </c>
      <c r="C9" s="448" t="str">
        <f ca="1">GrpA!$B$7</f>
        <v>Scotland</v>
      </c>
      <c r="D9" s="449">
        <f ca="1">INDEX(Groups!$C$7:$C$35,MATCH(E9,Groups!$D$7:$D$35,0))</f>
        <v>20</v>
      </c>
      <c r="E9" s="448" t="str">
        <f ca="1">GrpA!$D$7</f>
        <v>Switzerland</v>
      </c>
      <c r="F9" s="450">
        <f ca="1">GrpA!$E$7</f>
        <v>1</v>
      </c>
      <c r="G9" s="451">
        <f ca="1">GrpA!$G$7</f>
        <v>0</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2:345" ht="15.5">
      <c r="B10" s="447">
        <f ca="1">INDEX(Groups!$C$7:$C$35,MATCH(C10,Groups!$D$7:$D$35,0))</f>
        <v>20</v>
      </c>
      <c r="C10" s="448" t="str">
        <f ca="1">GrpA!$B$8</f>
        <v>Switzerland</v>
      </c>
      <c r="D10" s="449">
        <f ca="1">INDEX(Groups!$C$7:$C$35,MATCH(E10,Groups!$D$7:$D$35,0))</f>
        <v>54</v>
      </c>
      <c r="E10" s="448" t="str">
        <f ca="1">GrpA!$D$8</f>
        <v>Germany</v>
      </c>
      <c r="F10" s="450">
        <f ca="1">GrpA!$E$8</f>
        <v>0</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2:345" ht="15.5">
      <c r="B11" s="447">
        <f ca="1">INDEX(Groups!$C$7:$C$35,MATCH(C11,Groups!$D$7:$D$35,0))</f>
        <v>13</v>
      </c>
      <c r="C11" s="448" t="str">
        <f ca="1">GrpA!$B$9</f>
        <v>Scotland</v>
      </c>
      <c r="D11" s="449">
        <f ca="1">INDEX(Groups!$C$7:$C$35,MATCH(E11,Groups!$D$7:$D$35,0))</f>
        <v>6</v>
      </c>
      <c r="E11" s="448" t="str">
        <f ca="1">GrpA!$D$9</f>
        <v>Hungary</v>
      </c>
      <c r="F11" s="450">
        <f ca="1">GrpA!$E$9</f>
        <v>1</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2: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2:345" ht="15.5">
      <c r="B13" s="447">
        <f ca="1">INDEX(Groups!$C$7:$C$35,MATCH(C13,Groups!$D$7:$D$35,0))</f>
        <v>3</v>
      </c>
      <c r="C13" s="448" t="str">
        <f ca="1">GrpB!$B$4</f>
        <v>Spain</v>
      </c>
      <c r="D13" s="449">
        <f ca="1">INDEX(Groups!$C$7:$C$35,MATCH(E13,Groups!$D$7:$D$35,0))</f>
        <v>14</v>
      </c>
      <c r="E13" s="448" t="str">
        <f ca="1">GrpB!$D$4</f>
        <v>Croatia</v>
      </c>
      <c r="F13" s="450">
        <f ca="1">GrpB!$E$4</f>
        <v>1</v>
      </c>
      <c r="G13" s="451">
        <f ca="1">GrpB!$G$4</f>
        <v>1</v>
      </c>
      <c r="I13" s="447">
        <f t="shared" ca="1" si="0"/>
        <v>3</v>
      </c>
      <c r="J13" s="448" t="str">
        <f ca="1">GrpB!$B$4</f>
        <v>Spain</v>
      </c>
      <c r="K13" s="449">
        <f ca="1" t="shared" si="104" ref="K13:K18">$D13</f>
        <v>14</v>
      </c>
      <c r="L13" s="448" t="str">
        <f ca="1">GrpB!$D$4</f>
        <v>Croatia</v>
      </c>
      <c r="M13" s="452"/>
      <c r="N13" s="452"/>
      <c r="O13" s="453"/>
      <c r="P13" s="449" t="str">
        <f ca="1" t="shared" si="105" ref="P13:P18">IF(($F13&lt;&gt;"")*($G13&lt;&gt;"")*(M13&lt;&gt;"")*(N13&lt;&gt;""),($F13&gt;$G13)*(M13&gt;N13)+($F13=$G13)*(M13=N13)+($F13&lt;$G13)*(M13&lt;N13),"")</f>
        <v/>
      </c>
      <c r="Q13" s="449" t="str">
        <f ca="1">IF((P13&lt;&gt;""),IF(OR($F13&lt;&gt;$G13,PrSettings!$M$4="●"),(($F13-$G13)=(M13-N13))*1,0),"")</f>
        <v/>
      </c>
      <c r="R13" s="449" t="str">
        <f ca="1" t="shared" si="106" ref="R13:R18">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ca="1" t="shared" si="107" ref="X13:X18">$D13</f>
        <v>14</v>
      </c>
      <c r="Y13" s="448" t="str">
        <f ca="1">GrpB!$D$4</f>
        <v>Croatia</v>
      </c>
      <c r="Z13" s="452"/>
      <c r="AA13" s="452"/>
      <c r="AB13" s="453"/>
      <c r="AC13" s="449" t="str">
        <f ca="1" t="shared" si="108" ref="AC13:AC18">IF(($F13&lt;&gt;"")*($G13&lt;&gt;"")*(Z13&lt;&gt;"")*(AA13&lt;&gt;""),($F13&gt;$G13)*(Z13&gt;AA13)+($F13=$G13)*(Z13=AA13)+($F13&lt;$G13)*(Z13&lt;AA13),"")</f>
        <v/>
      </c>
      <c r="AD13" s="449" t="str">
        <f ca="1">IF((AC13&lt;&gt;""),IF(OR($F13&lt;&gt;$G13,PrSettings!$M$4="●"),(($F13-$G13)=(Z13-AA13))*1,0),"")</f>
        <v/>
      </c>
      <c r="AE13" s="449" t="str">
        <f ca="1" t="shared" si="109" ref="AE13:AE18">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ca="1" t="shared" si="110" ref="AK13:AK18">$D13</f>
        <v>14</v>
      </c>
      <c r="AL13" s="448" t="str">
        <f ca="1">GrpB!$D$4</f>
        <v>Croatia</v>
      </c>
      <c r="AM13" s="452"/>
      <c r="AN13" s="452"/>
      <c r="AO13" s="453"/>
      <c r="AP13" s="449" t="str">
        <f ca="1" t="shared" si="111" ref="AP13:AP18">IF(($F13&lt;&gt;"")*($G13&lt;&gt;"")*(AM13&lt;&gt;"")*(AN13&lt;&gt;""),($F13&gt;$G13)*(AM13&gt;AN13)+($F13=$G13)*(AM13=AN13)+($F13&lt;$G13)*(AM13&lt;AN13),"")</f>
        <v/>
      </c>
      <c r="AQ13" s="449" t="str">
        <f ca="1">IF((AP13&lt;&gt;""),IF(OR($F13&lt;&gt;$G13,PrSettings!$M$4="●"),(($F13-$G13)=(AM13-AN13))*1,0),"")</f>
        <v/>
      </c>
      <c r="AR13" s="449" t="str">
        <f ca="1" t="shared" si="112" ref="AR13:AR18">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ca="1" t="shared" si="113" ref="AX13:AX18">$D13</f>
        <v>14</v>
      </c>
      <c r="AY13" s="448" t="str">
        <f ca="1">GrpB!$D$4</f>
        <v>Croatia</v>
      </c>
      <c r="AZ13" s="452"/>
      <c r="BA13" s="452"/>
      <c r="BB13" s="453"/>
      <c r="BC13" s="449" t="str">
        <f ca="1" t="shared" si="114" ref="BC13:BC18">IF(($F13&lt;&gt;"")*($G13&lt;&gt;"")*(AZ13&lt;&gt;"")*(BA13&lt;&gt;""),($F13&gt;$G13)*(AZ13&gt;BA13)+($F13=$G13)*(AZ13=BA13)+($F13&lt;$G13)*(AZ13&lt;BA13),"")</f>
        <v/>
      </c>
      <c r="BD13" s="449" t="str">
        <f ca="1">IF((BC13&lt;&gt;""),IF(OR($F13&lt;&gt;$G13,PrSettings!$M$4="●"),(($F13-$G13)=(AZ13-BA13))*1,0),"")</f>
        <v/>
      </c>
      <c r="BE13" s="449" t="str">
        <f ca="1" t="shared" si="115" ref="BE13:BE18">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ca="1" t="shared" si="116" ref="BK13:BK18">$D13</f>
        <v>14</v>
      </c>
      <c r="BL13" s="448" t="str">
        <f ca="1">GrpB!$D$4</f>
        <v>Croatia</v>
      </c>
      <c r="BM13" s="452"/>
      <c r="BN13" s="452"/>
      <c r="BO13" s="453"/>
      <c r="BP13" s="449" t="str">
        <f ca="1" t="shared" si="117" ref="BP13:BP18">IF(($F13&lt;&gt;"")*($G13&lt;&gt;"")*(BM13&lt;&gt;"")*(BN13&lt;&gt;""),($F13&gt;$G13)*(BM13&gt;BN13)+($F13=$G13)*(BM13=BN13)+($F13&lt;$G13)*(BM13&lt;BN13),"")</f>
        <v/>
      </c>
      <c r="BQ13" s="449" t="str">
        <f ca="1">IF((BP13&lt;&gt;""),IF(OR($F13&lt;&gt;$G13,PrSettings!$M$4="●"),(($F13-$G13)=(BM13-BN13))*1,0),"")</f>
        <v/>
      </c>
      <c r="BR13" s="449" t="str">
        <f ca="1" t="shared" si="118" ref="BR13:BR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ca="1" t="shared" si="119" ref="BX13:BX18">$D13</f>
        <v>14</v>
      </c>
      <c r="BY13" s="448" t="str">
        <f ca="1">GrpB!$D$4</f>
        <v>Croatia</v>
      </c>
      <c r="BZ13" s="452"/>
      <c r="CA13" s="452"/>
      <c r="CB13" s="453"/>
      <c r="CC13" s="449" t="str">
        <f ca="1" t="shared" si="120" ref="CC13:CC18">IF(($F13&lt;&gt;"")*($G13&lt;&gt;"")*(BZ13&lt;&gt;"")*(CA13&lt;&gt;""),($F13&gt;$G13)*(BZ13&gt;CA13)+($F13=$G13)*(BZ13=CA13)+($F13&lt;$G13)*(BZ13&lt;CA13),"")</f>
        <v/>
      </c>
      <c r="CD13" s="449" t="str">
        <f ca="1">IF((CC13&lt;&gt;""),IF(OR($F13&lt;&gt;$G13,PrSettings!$M$4="●"),(($F13-$G13)=(BZ13-CA13))*1,0),"")</f>
        <v/>
      </c>
      <c r="CE13" s="449" t="str">
        <f ca="1" t="shared" si="121" ref="CE13:CE18">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ca="1" t="shared" si="122" ref="CK13:CK18">$D13</f>
        <v>14</v>
      </c>
      <c r="CL13" s="448" t="str">
        <f ca="1">GrpB!$D$4</f>
        <v>Croatia</v>
      </c>
      <c r="CM13" s="452"/>
      <c r="CN13" s="452"/>
      <c r="CO13" s="453"/>
      <c r="CP13" s="449" t="str">
        <f ca="1" t="shared" si="123" ref="CP13:CP18">IF(($F13&lt;&gt;"")*($G13&lt;&gt;"")*(CM13&lt;&gt;"")*(CN13&lt;&gt;""),($F13&gt;$G13)*(CM13&gt;CN13)+($F13=$G13)*(CM13=CN13)+($F13&lt;$G13)*(CM13&lt;CN13),"")</f>
        <v/>
      </c>
      <c r="CQ13" s="449" t="str">
        <f ca="1">IF((CP13&lt;&gt;""),IF(OR($F13&lt;&gt;$G13,PrSettings!$M$4="●"),(($F13-$G13)=(CM13-CN13))*1,0),"")</f>
        <v/>
      </c>
      <c r="CR13" s="449" t="str">
        <f ca="1" t="shared" si="124" ref="CR13:CR18">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ca="1" t="shared" si="125" ref="CX13:CX18">$D13</f>
        <v>14</v>
      </c>
      <c r="CY13" s="448" t="str">
        <f ca="1">GrpB!$D$4</f>
        <v>Croatia</v>
      </c>
      <c r="CZ13" s="452"/>
      <c r="DA13" s="452"/>
      <c r="DB13" s="453"/>
      <c r="DC13" s="449" t="str">
        <f ca="1" t="shared" si="126" ref="DC13:DC18">IF(($F13&lt;&gt;"")*($G13&lt;&gt;"")*(CZ13&lt;&gt;"")*(DA13&lt;&gt;""),($F13&gt;$G13)*(CZ13&gt;DA13)+($F13=$G13)*(CZ13=DA13)+($F13&lt;$G13)*(CZ13&lt;DA13),"")</f>
        <v/>
      </c>
      <c r="DD13" s="449" t="str">
        <f ca="1">IF((DC13&lt;&gt;""),IF(OR($F13&lt;&gt;$G13,PrSettings!$M$4="●"),(($F13-$G13)=(CZ13-DA13))*1,0),"")</f>
        <v/>
      </c>
      <c r="DE13" s="449" t="str">
        <f ca="1" t="shared" si="127" ref="DE13:DE18">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ca="1" t="shared" si="128" ref="DK13:DK18">$D13</f>
        <v>14</v>
      </c>
      <c r="DL13" s="448" t="str">
        <f ca="1">GrpB!$D$4</f>
        <v>Croatia</v>
      </c>
      <c r="DM13" s="452"/>
      <c r="DN13" s="452"/>
      <c r="DO13" s="453"/>
      <c r="DP13" s="449" t="str">
        <f ca="1" t="shared" si="129" ref="DP13:DP18">IF(($F13&lt;&gt;"")*($G13&lt;&gt;"")*(DM13&lt;&gt;"")*(DN13&lt;&gt;""),($F13&gt;$G13)*(DM13&gt;DN13)+($F13=$G13)*(DM13=DN13)+($F13&lt;$G13)*(DM13&lt;DN13),"")</f>
        <v/>
      </c>
      <c r="DQ13" s="449" t="str">
        <f ca="1">IF((DP13&lt;&gt;""),IF(OR($F13&lt;&gt;$G13,PrSettings!$M$4="●"),(($F13-$G13)=(DM13-DN13))*1,0),"")</f>
        <v/>
      </c>
      <c r="DR13" s="449" t="str">
        <f ca="1" t="shared" si="130" ref="DR13:DR18">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ca="1" t="shared" si="131" ref="DX13:DX18">$D13</f>
        <v>14</v>
      </c>
      <c r="DY13" s="448" t="str">
        <f ca="1">GrpB!$D$4</f>
        <v>Croatia</v>
      </c>
      <c r="DZ13" s="452"/>
      <c r="EA13" s="452"/>
      <c r="EB13" s="453"/>
      <c r="EC13" s="449" t="str">
        <f ca="1" t="shared" si="132" ref="EC13:EC18">IF(($F13&lt;&gt;"")*($G13&lt;&gt;"")*(DZ13&lt;&gt;"")*(EA13&lt;&gt;""),($F13&gt;$G13)*(DZ13&gt;EA13)+($F13=$G13)*(DZ13=EA13)+($F13&lt;$G13)*(DZ13&lt;EA13),"")</f>
        <v/>
      </c>
      <c r="ED13" s="449" t="str">
        <f ca="1">IF((EC13&lt;&gt;""),IF(OR($F13&lt;&gt;$G13,PrSettings!$M$4="●"),(($F13-$G13)=(DZ13-EA13))*1,0),"")</f>
        <v/>
      </c>
      <c r="EE13" s="449" t="str">
        <f ca="1" t="shared" si="133" ref="EE13:EE18">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ca="1" t="shared" si="134" ref="EK13:EK18">$D13</f>
        <v>14</v>
      </c>
      <c r="EL13" s="448" t="str">
        <f ca="1">GrpB!$D$4</f>
        <v>Croatia</v>
      </c>
      <c r="EM13" s="452"/>
      <c r="EN13" s="452"/>
      <c r="EO13" s="453"/>
      <c r="EP13" s="449" t="str">
        <f ca="1" t="shared" si="135" ref="EP13:EP18">IF(($F13&lt;&gt;"")*($G13&lt;&gt;"")*(EM13&lt;&gt;"")*(EN13&lt;&gt;""),($F13&gt;$G13)*(EM13&gt;EN13)+($F13=$G13)*(EM13=EN13)+($F13&lt;$G13)*(EM13&lt;EN13),"")</f>
        <v/>
      </c>
      <c r="EQ13" s="449" t="str">
        <f ca="1">IF((EP13&lt;&gt;""),IF(OR($F13&lt;&gt;$G13,PrSettings!$M$4="●"),(($F13-$G13)=(EM13-EN13))*1,0),"")</f>
        <v/>
      </c>
      <c r="ER13" s="449" t="str">
        <f ca="1" t="shared" si="136" ref="ER13:ER18">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ca="1" t="shared" si="137" ref="EX13:EX18">$D13</f>
        <v>14</v>
      </c>
      <c r="EY13" s="448" t="str">
        <f ca="1">GrpB!$D$4</f>
        <v>Croatia</v>
      </c>
      <c r="EZ13" s="452"/>
      <c r="FA13" s="452"/>
      <c r="FB13" s="453"/>
      <c r="FC13" s="449" t="str">
        <f ca="1" t="shared" si="138" ref="FC13:FC18">IF(($F13&lt;&gt;"")*($G13&lt;&gt;"")*(EZ13&lt;&gt;"")*(FA13&lt;&gt;""),($F13&gt;$G13)*(EZ13&gt;FA13)+($F13=$G13)*(EZ13=FA13)+($F13&lt;$G13)*(EZ13&lt;FA13),"")</f>
        <v/>
      </c>
      <c r="FD13" s="449" t="str">
        <f ca="1">IF((FC13&lt;&gt;""),IF(OR($F13&lt;&gt;$G13,PrSettings!$M$4="●"),(($F13-$G13)=(EZ13-FA13))*1,0),"")</f>
        <v/>
      </c>
      <c r="FE13" s="449" t="str">
        <f ca="1" t="shared" si="139" ref="FE13:FE18">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ca="1" t="shared" si="140" ref="FK13:FK18">$D13</f>
        <v>14</v>
      </c>
      <c r="FL13" s="448" t="str">
        <f ca="1">GrpB!$D$4</f>
        <v>Croatia</v>
      </c>
      <c r="FM13" s="452"/>
      <c r="FN13" s="452"/>
      <c r="FO13" s="453"/>
      <c r="FP13" s="449" t="str">
        <f ca="1" t="shared" si="141" ref="FP13:FP18">IF(($F13&lt;&gt;"")*($G13&lt;&gt;"")*(FM13&lt;&gt;"")*(FN13&lt;&gt;""),($F13&gt;$G13)*(FM13&gt;FN13)+($F13=$G13)*(FM13=FN13)+($F13&lt;$G13)*(FM13&lt;FN13),"")</f>
        <v/>
      </c>
      <c r="FQ13" s="449" t="str">
        <f ca="1">IF((FP13&lt;&gt;""),IF(OR($F13&lt;&gt;$G13,PrSettings!$M$4="●"),(($F13-$G13)=(FM13-FN13))*1,0),"")</f>
        <v/>
      </c>
      <c r="FR13" s="449" t="str">
        <f ca="1" t="shared" si="142" ref="FR13:FR18">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ca="1" t="shared" si="143" ref="FX13:FX18">$D13</f>
        <v>14</v>
      </c>
      <c r="FY13" s="448" t="str">
        <f ca="1">GrpB!$D$4</f>
        <v>Croatia</v>
      </c>
      <c r="FZ13" s="452"/>
      <c r="GA13" s="452"/>
      <c r="GB13" s="453"/>
      <c r="GC13" s="449" t="str">
        <f ca="1" t="shared" si="144" ref="GC13:GC18">IF(($F13&lt;&gt;"")*($G13&lt;&gt;"")*(FZ13&lt;&gt;"")*(GA13&lt;&gt;""),($F13&gt;$G13)*(FZ13&gt;GA13)+($F13=$G13)*(FZ13=GA13)+($F13&lt;$G13)*(FZ13&lt;GA13),"")</f>
        <v/>
      </c>
      <c r="GD13" s="449" t="str">
        <f ca="1">IF((GC13&lt;&gt;""),IF(OR($F13&lt;&gt;$G13,PrSettings!$M$4="●"),(($F13-$G13)=(FZ13-GA13))*1,0),"")</f>
        <v/>
      </c>
      <c r="GE13" s="449" t="str">
        <f ca="1" t="shared" si="145" ref="GE13:GE18">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ca="1" t="shared" si="146" ref="GK13:GK18">$D13</f>
        <v>14</v>
      </c>
      <c r="GL13" s="448" t="str">
        <f ca="1">GrpB!$D$4</f>
        <v>Croatia</v>
      </c>
      <c r="GM13" s="452"/>
      <c r="GN13" s="452"/>
      <c r="GO13" s="453"/>
      <c r="GP13" s="449" t="str">
        <f ca="1" t="shared" si="147" ref="GP13:GP18">IF(($F13&lt;&gt;"")*($G13&lt;&gt;"")*(GM13&lt;&gt;"")*(GN13&lt;&gt;""),($F13&gt;$G13)*(GM13&gt;GN13)+($F13=$G13)*(GM13=GN13)+($F13&lt;$G13)*(GM13&lt;GN13),"")</f>
        <v/>
      </c>
      <c r="GQ13" s="449" t="str">
        <f ca="1">IF((GP13&lt;&gt;""),IF(OR($F13&lt;&gt;$G13,PrSettings!$M$4="●"),(($F13-$G13)=(GM13-GN13))*1,0),"")</f>
        <v/>
      </c>
      <c r="GR13" s="449" t="str">
        <f ca="1" t="shared" si="148" ref="GR13:GR1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ca="1" t="shared" si="149" ref="GX13:GX18">$D13</f>
        <v>14</v>
      </c>
      <c r="GY13" s="448" t="str">
        <f ca="1">GrpB!$D$4</f>
        <v>Croatia</v>
      </c>
      <c r="GZ13" s="452"/>
      <c r="HA13" s="452"/>
      <c r="HB13" s="453"/>
      <c r="HC13" s="449" t="str">
        <f ca="1" t="shared" si="150" ref="HC13:HC18">IF(($F13&lt;&gt;"")*($G13&lt;&gt;"")*(GZ13&lt;&gt;"")*(HA13&lt;&gt;""),($F13&gt;$G13)*(GZ13&gt;HA13)+($F13=$G13)*(GZ13=HA13)+($F13&lt;$G13)*(GZ13&lt;HA13),"")</f>
        <v/>
      </c>
      <c r="HD13" s="449" t="str">
        <f ca="1">IF((HC13&lt;&gt;""),IF(OR($F13&lt;&gt;$G13,PrSettings!$M$4="●"),(($F13-$G13)=(GZ13-HA13))*1,0),"")</f>
        <v/>
      </c>
      <c r="HE13" s="449" t="str">
        <f ca="1" t="shared" si="151" ref="HE13:HE18">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ca="1" t="shared" si="152" ref="HK13:HK18">$D13</f>
        <v>14</v>
      </c>
      <c r="HL13" s="448" t="str">
        <f ca="1">GrpB!$D$4</f>
        <v>Croatia</v>
      </c>
      <c r="HM13" s="452"/>
      <c r="HN13" s="452"/>
      <c r="HO13" s="453"/>
      <c r="HP13" s="449" t="str">
        <f ca="1" t="shared" si="153" ref="HP13:HP18">IF(($F13&lt;&gt;"")*($G13&lt;&gt;"")*(HM13&lt;&gt;"")*(HN13&lt;&gt;""),($F13&gt;$G13)*(HM13&gt;HN13)+($F13=$G13)*(HM13=HN13)+($F13&lt;$G13)*(HM13&lt;HN13),"")</f>
        <v/>
      </c>
      <c r="HQ13" s="449" t="str">
        <f ca="1">IF((HP13&lt;&gt;""),IF(OR($F13&lt;&gt;$G13,PrSettings!$M$4="●"),(($F13-$G13)=(HM13-HN13))*1,0),"")</f>
        <v/>
      </c>
      <c r="HR13" s="449" t="str">
        <f ca="1" t="shared" si="154" ref="HR13:HR18">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ca="1" t="shared" si="155" ref="HX13:HX18">$D13</f>
        <v>14</v>
      </c>
      <c r="HY13" s="448" t="str">
        <f ca="1">GrpB!$D$4</f>
        <v>Croatia</v>
      </c>
      <c r="HZ13" s="452"/>
      <c r="IA13" s="452"/>
      <c r="IB13" s="453"/>
      <c r="IC13" s="449" t="str">
        <f ca="1" t="shared" si="156" ref="IC13:IC18">IF(($F13&lt;&gt;"")*($G13&lt;&gt;"")*(HZ13&lt;&gt;"")*(IA13&lt;&gt;""),($F13&gt;$G13)*(HZ13&gt;IA13)+($F13=$G13)*(HZ13=IA13)+($F13&lt;$G13)*(HZ13&lt;IA13),"")</f>
        <v/>
      </c>
      <c r="ID13" s="449" t="str">
        <f ca="1">IF((IC13&lt;&gt;""),IF(OR($F13&lt;&gt;$G13,PrSettings!$M$4="●"),(($F13-$G13)=(HZ13-IA13))*1,0),"")</f>
        <v/>
      </c>
      <c r="IE13" s="449" t="str">
        <f ca="1" t="shared" si="157" ref="IE13:IE18">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ca="1" t="shared" si="158" ref="IK13:IK18">$D13</f>
        <v>14</v>
      </c>
      <c r="IL13" s="448" t="str">
        <f ca="1">GrpB!$D$4</f>
        <v>Croatia</v>
      </c>
      <c r="IM13" s="452"/>
      <c r="IN13" s="452"/>
      <c r="IO13" s="453"/>
      <c r="IP13" s="449" t="str">
        <f ca="1" t="shared" si="159" ref="IP13:IP18">IF(($F13&lt;&gt;"")*($G13&lt;&gt;"")*(IM13&lt;&gt;"")*(IN13&lt;&gt;""),($F13&gt;$G13)*(IM13&gt;IN13)+($F13=$G13)*(IM13=IN13)+($F13&lt;$G13)*(IM13&lt;IN13),"")</f>
        <v/>
      </c>
      <c r="IQ13" s="449" t="str">
        <f ca="1">IF((IP13&lt;&gt;""),IF(OR($F13&lt;&gt;$G13,PrSettings!$M$4="●"),(($F13-$G13)=(IM13-IN13))*1,0),"")</f>
        <v/>
      </c>
      <c r="IR13" s="449" t="str">
        <f ca="1" t="shared" si="160" ref="IR13:IR18">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ca="1" t="shared" si="161" ref="IX13:IX18">$D13</f>
        <v>14</v>
      </c>
      <c r="IY13" s="448" t="str">
        <f ca="1">GrpB!$D$4</f>
        <v>Croatia</v>
      </c>
      <c r="IZ13" s="452"/>
      <c r="JA13" s="452"/>
      <c r="JB13" s="453"/>
      <c r="JC13" s="449" t="str">
        <f ca="1" t="shared" si="162" ref="JC13:JC18">IF(($F13&lt;&gt;"")*($G13&lt;&gt;"")*(IZ13&lt;&gt;"")*(JA13&lt;&gt;""),($F13&gt;$G13)*(IZ13&gt;JA13)+($F13=$G13)*(IZ13=JA13)+($F13&lt;$G13)*(IZ13&lt;JA13),"")</f>
        <v/>
      </c>
      <c r="JD13" s="449" t="str">
        <f ca="1">IF((JC13&lt;&gt;""),IF(OR($F13&lt;&gt;$G13,PrSettings!$M$4="●"),(($F13-$G13)=(IZ13-JA13))*1,0),"")</f>
        <v/>
      </c>
      <c r="JE13" s="449" t="str">
        <f ca="1" t="shared" si="163" ref="JE13:JE18">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ca="1" t="shared" si="164" ref="JK13:JK18">$D13</f>
        <v>14</v>
      </c>
      <c r="JL13" s="448" t="str">
        <f ca="1">GrpB!$D$4</f>
        <v>Croatia</v>
      </c>
      <c r="JM13" s="452"/>
      <c r="JN13" s="452"/>
      <c r="JO13" s="453"/>
      <c r="JP13" s="449" t="str">
        <f ca="1" t="shared" si="165" ref="JP13:JP18">IF(($F13&lt;&gt;"")*($G13&lt;&gt;"")*(JM13&lt;&gt;"")*(JN13&lt;&gt;""),($F13&gt;$G13)*(JM13&gt;JN13)+($F13=$G13)*(JM13=JN13)+($F13&lt;$G13)*(JM13&lt;JN13),"")</f>
        <v/>
      </c>
      <c r="JQ13" s="449" t="str">
        <f ca="1">IF((JP13&lt;&gt;""),IF(OR($F13&lt;&gt;$G13,PrSettings!$M$4="●"),(($F13-$G13)=(JM13-JN13))*1,0),"")</f>
        <v/>
      </c>
      <c r="JR13" s="449" t="str">
        <f ca="1" t="shared" si="166" ref="JR13:JR18">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ca="1" t="shared" si="167" ref="JX13:JX18">$D13</f>
        <v>14</v>
      </c>
      <c r="JY13" s="448" t="str">
        <f ca="1">GrpB!$D$4</f>
        <v>Croatia</v>
      </c>
      <c r="JZ13" s="452"/>
      <c r="KA13" s="452"/>
      <c r="KB13" s="453"/>
      <c r="KC13" s="449" t="str">
        <f ca="1" t="shared" si="168" ref="KC13:KC18">IF(($F13&lt;&gt;"")*($G13&lt;&gt;"")*(JZ13&lt;&gt;"")*(KA13&lt;&gt;""),($F13&gt;$G13)*(JZ13&gt;KA13)+($F13=$G13)*(JZ13=KA13)+($F13&lt;$G13)*(JZ13&lt;KA13),"")</f>
        <v/>
      </c>
      <c r="KD13" s="449" t="str">
        <f ca="1">IF((KC13&lt;&gt;""),IF(OR($F13&lt;&gt;$G13,PrSettings!$M$4="●"),(($F13-$G13)=(JZ13-KA13))*1,0),"")</f>
        <v/>
      </c>
      <c r="KE13" s="449" t="str">
        <f ca="1" t="shared" si="169" ref="KE13:KE18">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ca="1" t="shared" si="170" ref="KK13:KK18">$D13</f>
        <v>14</v>
      </c>
      <c r="KL13" s="448" t="str">
        <f ca="1">GrpB!$D$4</f>
        <v>Croatia</v>
      </c>
      <c r="KM13" s="452"/>
      <c r="KN13" s="452"/>
      <c r="KO13" s="453"/>
      <c r="KP13" s="449" t="str">
        <f ca="1" t="shared" si="171" ref="KP13:KP18">IF(($F13&lt;&gt;"")*($G13&lt;&gt;"")*(KM13&lt;&gt;"")*(KN13&lt;&gt;""),($F13&gt;$G13)*(KM13&gt;KN13)+($F13=$G13)*(KM13=KN13)+($F13&lt;$G13)*(KM13&lt;KN13),"")</f>
        <v/>
      </c>
      <c r="KQ13" s="449" t="str">
        <f ca="1">IF((KP13&lt;&gt;""),IF(OR($F13&lt;&gt;$G13,PrSettings!$M$4="●"),(($F13-$G13)=(KM13-KN13))*1,0),"")</f>
        <v/>
      </c>
      <c r="KR13" s="449" t="str">
        <f ca="1" t="shared" si="172" ref="KR13:KR18">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ca="1" t="shared" si="173" ref="KX13:KX18">$D13</f>
        <v>14</v>
      </c>
      <c r="KY13" s="448" t="str">
        <f ca="1">GrpB!$D$4</f>
        <v>Croatia</v>
      </c>
      <c r="KZ13" s="452"/>
      <c r="LA13" s="452"/>
      <c r="LB13" s="453"/>
      <c r="LC13" s="449" t="str">
        <f ca="1" t="shared" si="174" ref="LC13:LC18">IF(($F13&lt;&gt;"")*($G13&lt;&gt;"")*(KZ13&lt;&gt;"")*(LA13&lt;&gt;""),($F13&gt;$G13)*(KZ13&gt;LA13)+($F13=$G13)*(KZ13=LA13)+($F13&lt;$G13)*(KZ13&lt;LA13),"")</f>
        <v/>
      </c>
      <c r="LD13" s="449" t="str">
        <f ca="1">IF((LC13&lt;&gt;""),IF(OR($F13&lt;&gt;$G13,PrSettings!$M$4="●"),(($F13-$G13)=(KZ13-LA13))*1,0),"")</f>
        <v/>
      </c>
      <c r="LE13" s="449" t="str">
        <f ca="1" t="shared" si="175" ref="LE13:LE18">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ca="1" t="shared" si="176" ref="LK13:LK18">$D13</f>
        <v>14</v>
      </c>
      <c r="LL13" s="448" t="str">
        <f ca="1">GrpB!$D$4</f>
        <v>Croatia</v>
      </c>
      <c r="LM13" s="452"/>
      <c r="LN13" s="452"/>
      <c r="LO13" s="453"/>
      <c r="LP13" s="449" t="str">
        <f ca="1" t="shared" si="177" ref="LP13:LP18">IF(($F13&lt;&gt;"")*($G13&lt;&gt;"")*(LM13&lt;&gt;"")*(LN13&lt;&gt;""),($F13&gt;$G13)*(LM13&gt;LN13)+($F13=$G13)*(LM13=LN13)+($F13&lt;$G13)*(LM13&lt;LN13),"")</f>
        <v/>
      </c>
      <c r="LQ13" s="449" t="str">
        <f ca="1">IF((LP13&lt;&gt;""),IF(OR($F13&lt;&gt;$G13,PrSettings!$M$4="●"),(($F13-$G13)=(LM13-LN13))*1,0),"")</f>
        <v/>
      </c>
      <c r="LR13" s="449" t="str">
        <f ca="1" t="shared" si="178" ref="LR13:LR1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ca="1" t="shared" si="179" ref="LX13:LX18">$D13</f>
        <v>14</v>
      </c>
      <c r="LY13" s="448" t="str">
        <f ca="1">GrpB!$D$4</f>
        <v>Croatia</v>
      </c>
      <c r="LZ13" s="452"/>
      <c r="MA13" s="452"/>
      <c r="MB13" s="453"/>
      <c r="MC13" s="449" t="str">
        <f ca="1" t="shared" si="180" ref="MC13:MC18">IF(($F13&lt;&gt;"")*($G13&lt;&gt;"")*(LZ13&lt;&gt;"")*(MA13&lt;&gt;""),($F13&gt;$G13)*(LZ13&gt;MA13)+($F13=$G13)*(LZ13=MA13)+($F13&lt;$G13)*(LZ13&lt;MA13),"")</f>
        <v/>
      </c>
      <c r="MD13" s="449" t="str">
        <f ca="1">IF((MC13&lt;&gt;""),IF(OR($F13&lt;&gt;$G13,PrSettings!$M$4="●"),(($F13-$G13)=(LZ13-MA13))*1,0),"")</f>
        <v/>
      </c>
      <c r="ME13" s="449" t="str">
        <f ca="1" t="shared" si="181" ref="ME13:ME18">IF((MC13&lt;&gt;""),($F13=LZ13)*($G13=MA13),"")</f>
        <v/>
      </c>
      <c r="MF13" s="449" t="str">
        <f ca="1">IF(MC13&lt;&gt;"",IF(ABS($F13-$G13)&gt;=PrSettings!$M$7,(ABS($F13-$G13-LZ13+MA13)&lt;=1)*1,IF(AND(MC13,$F13=$G13,$F13&gt;=PrSettings!$M$6),(ABS(LZ13-$F13)&lt;=1)*1,IF(AND(ABS($F13-$G13-LZ13+MA13)&lt;=1,$F13+$G13&gt;=PrSettings!$M$8),(ABS(LZ13-$F13)&lt;=1)*(ABS(MA13-$G13)&lt;=1)*1,""))),"")</f>
        <v/>
      </c>
      <c r="MG13" s="454"/>
    </row>
    <row r="14" spans="2:345" ht="15.5">
      <c r="B14" s="447">
        <f ca="1">INDEX(Groups!$C$7:$C$35,MATCH(C14,Groups!$D$7:$D$35,0))</f>
        <v>18</v>
      </c>
      <c r="C14" s="448" t="str">
        <f ca="1">GrpB!$B$5</f>
        <v>Italy</v>
      </c>
      <c r="D14" s="449">
        <f ca="1">INDEX(Groups!$C$7:$C$35,MATCH(E14,Groups!$D$7:$D$35,0))</f>
        <v>10</v>
      </c>
      <c r="E14" s="448" t="str">
        <f ca="1">GrpB!$D$5</f>
        <v>Albania</v>
      </c>
      <c r="F14" s="450">
        <f ca="1">GrpB!$E$5</f>
        <v>4</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2:345" ht="15.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2:345" ht="15.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ht="15.5">
      <c r="B17" s="447">
        <f ca="1">INDEX(Groups!$C$7:$C$35,MATCH(C17,Groups!$D$7:$D$35,0))</f>
        <v>10</v>
      </c>
      <c r="C17" s="448" t="str">
        <f ca="1">GrpB!$B$8</f>
        <v>Albania</v>
      </c>
      <c r="D17" s="449">
        <f ca="1">INDEX(Groups!$C$7:$C$35,MATCH(E17,Groups!$D$7:$D$35,0))</f>
        <v>3</v>
      </c>
      <c r="E17" s="448" t="str">
        <f ca="1">GrpB!$D$8</f>
        <v>Spain</v>
      </c>
      <c r="F17" s="450">
        <f ca="1">GrpB!$E$8</f>
        <v>1</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ht="15.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ht="15.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ca="1" t="shared" si="182" ref="K20:K25">$D20</f>
        <v>9</v>
      </c>
      <c r="L20" s="448" t="str">
        <f ca="1">GrpC!$D$4</f>
        <v>Denmark</v>
      </c>
      <c r="M20" s="452"/>
      <c r="N20" s="452"/>
      <c r="O20" s="453"/>
      <c r="P20" s="449" t="str">
        <f ca="1" t="shared" si="183" ref="P20:P25">IF(($F20&lt;&gt;"")*($G20&lt;&gt;"")*(M20&lt;&gt;"")*(N20&lt;&gt;""),($F20&gt;$G20)*(M20&gt;N20)+($F20=$G20)*(M20=N20)+($F20&lt;$G20)*(M20&lt;N20),"")</f>
        <v/>
      </c>
      <c r="Q20" s="449" t="str">
        <f ca="1">IF((P20&lt;&gt;""),IF(OR($F20&lt;&gt;$G20,PrSettings!$M$4="●"),(($F20-$G20)=(M20-N20))*1,0),"")</f>
        <v/>
      </c>
      <c r="R20" s="449" t="str">
        <f ca="1" t="shared" si="184" ref="R20:R25">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ca="1" t="shared" si="185" ref="X20:X25">$D20</f>
        <v>9</v>
      </c>
      <c r="Y20" s="448" t="str">
        <f ca="1">GrpC!$D$4</f>
        <v>Denmark</v>
      </c>
      <c r="Z20" s="452"/>
      <c r="AA20" s="452"/>
      <c r="AB20" s="453"/>
      <c r="AC20" s="449" t="str">
        <f ca="1" t="shared" si="186" ref="AC20:AC25">IF(($F20&lt;&gt;"")*($G20&lt;&gt;"")*(Z20&lt;&gt;"")*(AA20&lt;&gt;""),($F20&gt;$G20)*(Z20&gt;AA20)+($F20=$G20)*(Z20=AA20)+($F20&lt;$G20)*(Z20&lt;AA20),"")</f>
        <v/>
      </c>
      <c r="AD20" s="449" t="str">
        <f ca="1">IF((AC20&lt;&gt;""),IF(OR($F20&lt;&gt;$G20,PrSettings!$M$4="●"),(($F20-$G20)=(Z20-AA20))*1,0),"")</f>
        <v/>
      </c>
      <c r="AE20" s="449" t="str">
        <f ca="1" t="shared" si="187" ref="AE20:AE25">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ca="1" t="shared" si="188" ref="AK20:AK25">$D20</f>
        <v>9</v>
      </c>
      <c r="AL20" s="448" t="str">
        <f ca="1">GrpC!$D$4</f>
        <v>Denmark</v>
      </c>
      <c r="AM20" s="452"/>
      <c r="AN20" s="452"/>
      <c r="AO20" s="453"/>
      <c r="AP20" s="449" t="str">
        <f ca="1" t="shared" si="189" ref="AP20:AP25">IF(($F20&lt;&gt;"")*($G20&lt;&gt;"")*(AM20&lt;&gt;"")*(AN20&lt;&gt;""),($F20&gt;$G20)*(AM20&gt;AN20)+($F20=$G20)*(AM20=AN20)+($F20&lt;$G20)*(AM20&lt;AN20),"")</f>
        <v/>
      </c>
      <c r="AQ20" s="449" t="str">
        <f ca="1">IF((AP20&lt;&gt;""),IF(OR($F20&lt;&gt;$G20,PrSettings!$M$4="●"),(($F20-$G20)=(AM20-AN20))*1,0),"")</f>
        <v/>
      </c>
      <c r="AR20" s="449" t="str">
        <f ca="1" t="shared" si="190" ref="AR20:AR25">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ca="1" t="shared" si="191" ref="AX20:AX25">$D20</f>
        <v>9</v>
      </c>
      <c r="AY20" s="448" t="str">
        <f ca="1">GrpC!$D$4</f>
        <v>Denmark</v>
      </c>
      <c r="AZ20" s="452"/>
      <c r="BA20" s="452"/>
      <c r="BB20" s="453"/>
      <c r="BC20" s="449" t="str">
        <f ca="1" t="shared" si="192" ref="BC20:BC25">IF(($F20&lt;&gt;"")*($G20&lt;&gt;"")*(AZ20&lt;&gt;"")*(BA20&lt;&gt;""),($F20&gt;$G20)*(AZ20&gt;BA20)+($F20=$G20)*(AZ20=BA20)+($F20&lt;$G20)*(AZ20&lt;BA20),"")</f>
        <v/>
      </c>
      <c r="BD20" s="449" t="str">
        <f ca="1">IF((BC20&lt;&gt;""),IF(OR($F20&lt;&gt;$G20,PrSettings!$M$4="●"),(($F20-$G20)=(AZ20-BA20))*1,0),"")</f>
        <v/>
      </c>
      <c r="BE20" s="449" t="str">
        <f ca="1" t="shared" si="193" ref="BE20:BE25">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ca="1" t="shared" si="194" ref="BK20:BK25">$D20</f>
        <v>9</v>
      </c>
      <c r="BL20" s="448" t="str">
        <f ca="1">GrpC!$D$4</f>
        <v>Denmark</v>
      </c>
      <c r="BM20" s="452"/>
      <c r="BN20" s="452"/>
      <c r="BO20" s="453"/>
      <c r="BP20" s="449" t="str">
        <f ca="1" t="shared" si="195" ref="BP20:BP25">IF(($F20&lt;&gt;"")*($G20&lt;&gt;"")*(BM20&lt;&gt;"")*(BN20&lt;&gt;""),($F20&gt;$G20)*(BM20&gt;BN20)+($F20=$G20)*(BM20=BN20)+($F20&lt;$G20)*(BM20&lt;BN20),"")</f>
        <v/>
      </c>
      <c r="BQ20" s="449" t="str">
        <f ca="1">IF((BP20&lt;&gt;""),IF(OR($F20&lt;&gt;$G20,PrSettings!$M$4="●"),(($F20-$G20)=(BM20-BN20))*1,0),"")</f>
        <v/>
      </c>
      <c r="BR20" s="449" t="str">
        <f ca="1" t="shared" si="196" ref="BR20:BR25">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ca="1" t="shared" si="197" ref="BX20:BX25">$D20</f>
        <v>9</v>
      </c>
      <c r="BY20" s="448" t="str">
        <f ca="1">GrpC!$D$4</f>
        <v>Denmark</v>
      </c>
      <c r="BZ20" s="452"/>
      <c r="CA20" s="452"/>
      <c r="CB20" s="453"/>
      <c r="CC20" s="449" t="str">
        <f ca="1" t="shared" si="198" ref="CC20:CC25">IF(($F20&lt;&gt;"")*($G20&lt;&gt;"")*(BZ20&lt;&gt;"")*(CA20&lt;&gt;""),($F20&gt;$G20)*(BZ20&gt;CA20)+($F20=$G20)*(BZ20=CA20)+($F20&lt;$G20)*(BZ20&lt;CA20),"")</f>
        <v/>
      </c>
      <c r="CD20" s="449" t="str">
        <f ca="1">IF((CC20&lt;&gt;""),IF(OR($F20&lt;&gt;$G20,PrSettings!$M$4="●"),(($F20-$G20)=(BZ20-CA20))*1,0),"")</f>
        <v/>
      </c>
      <c r="CE20" s="449" t="str">
        <f ca="1" t="shared" si="199" ref="CE20:CE25">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ca="1" t="shared" si="200" ref="CK20:CK25">$D20</f>
        <v>9</v>
      </c>
      <c r="CL20" s="448" t="str">
        <f ca="1">GrpC!$D$4</f>
        <v>Denmark</v>
      </c>
      <c r="CM20" s="452"/>
      <c r="CN20" s="452"/>
      <c r="CO20" s="453"/>
      <c r="CP20" s="449" t="str">
        <f ca="1" t="shared" si="201" ref="CP20:CP25">IF(($F20&lt;&gt;"")*($G20&lt;&gt;"")*(CM20&lt;&gt;"")*(CN20&lt;&gt;""),($F20&gt;$G20)*(CM20&gt;CN20)+($F20=$G20)*(CM20=CN20)+($F20&lt;$G20)*(CM20&lt;CN20),"")</f>
        <v/>
      </c>
      <c r="CQ20" s="449" t="str">
        <f ca="1">IF((CP20&lt;&gt;""),IF(OR($F20&lt;&gt;$G20,PrSettings!$M$4="●"),(($F20-$G20)=(CM20-CN20))*1,0),"")</f>
        <v/>
      </c>
      <c r="CR20" s="449" t="str">
        <f ca="1" t="shared" si="202" ref="CR20:CR25">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ca="1" t="shared" si="203" ref="CX20:CX25">$D20</f>
        <v>9</v>
      </c>
      <c r="CY20" s="448" t="str">
        <f ca="1">GrpC!$D$4</f>
        <v>Denmark</v>
      </c>
      <c r="CZ20" s="452"/>
      <c r="DA20" s="452"/>
      <c r="DB20" s="453"/>
      <c r="DC20" s="449" t="str">
        <f ca="1" t="shared" si="204" ref="DC20:DC25">IF(($F20&lt;&gt;"")*($G20&lt;&gt;"")*(CZ20&lt;&gt;"")*(DA20&lt;&gt;""),($F20&gt;$G20)*(CZ20&gt;DA20)+($F20=$G20)*(CZ20=DA20)+($F20&lt;$G20)*(CZ20&lt;DA20),"")</f>
        <v/>
      </c>
      <c r="DD20" s="449" t="str">
        <f ca="1">IF((DC20&lt;&gt;""),IF(OR($F20&lt;&gt;$G20,PrSettings!$M$4="●"),(($F20-$G20)=(CZ20-DA20))*1,0),"")</f>
        <v/>
      </c>
      <c r="DE20" s="449" t="str">
        <f ca="1" t="shared" si="205" ref="DE20:DE2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ca="1" t="shared" si="206" ref="DK20:DK25">$D20</f>
        <v>9</v>
      </c>
      <c r="DL20" s="448" t="str">
        <f ca="1">GrpC!$D$4</f>
        <v>Denmark</v>
      </c>
      <c r="DM20" s="452"/>
      <c r="DN20" s="452"/>
      <c r="DO20" s="453"/>
      <c r="DP20" s="449" t="str">
        <f ca="1" t="shared" si="207" ref="DP20:DP25">IF(($F20&lt;&gt;"")*($G20&lt;&gt;"")*(DM20&lt;&gt;"")*(DN20&lt;&gt;""),($F20&gt;$G20)*(DM20&gt;DN20)+($F20=$G20)*(DM20=DN20)+($F20&lt;$G20)*(DM20&lt;DN20),"")</f>
        <v/>
      </c>
      <c r="DQ20" s="449" t="str">
        <f ca="1">IF((DP20&lt;&gt;""),IF(OR($F20&lt;&gt;$G20,PrSettings!$M$4="●"),(($F20-$G20)=(DM20-DN20))*1,0),"")</f>
        <v/>
      </c>
      <c r="DR20" s="449" t="str">
        <f ca="1" t="shared" si="208" ref="DR20:DR25">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ca="1" t="shared" si="209" ref="DX20:DX25">$D20</f>
        <v>9</v>
      </c>
      <c r="DY20" s="448" t="str">
        <f ca="1">GrpC!$D$4</f>
        <v>Denmark</v>
      </c>
      <c r="DZ20" s="452"/>
      <c r="EA20" s="452"/>
      <c r="EB20" s="453"/>
      <c r="EC20" s="449" t="str">
        <f ca="1" t="shared" si="210" ref="EC20:EC25">IF(($F20&lt;&gt;"")*($G20&lt;&gt;"")*(DZ20&lt;&gt;"")*(EA20&lt;&gt;""),($F20&gt;$G20)*(DZ20&gt;EA20)+($F20=$G20)*(DZ20=EA20)+($F20&lt;$G20)*(DZ20&lt;EA20),"")</f>
        <v/>
      </c>
      <c r="ED20" s="449" t="str">
        <f ca="1">IF((EC20&lt;&gt;""),IF(OR($F20&lt;&gt;$G20,PrSettings!$M$4="●"),(($F20-$G20)=(DZ20-EA20))*1,0),"")</f>
        <v/>
      </c>
      <c r="EE20" s="449" t="str">
        <f ca="1" t="shared" si="211" ref="EE20:EE25">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ca="1" t="shared" si="212" ref="EK20:EK25">$D20</f>
        <v>9</v>
      </c>
      <c r="EL20" s="448" t="str">
        <f ca="1">GrpC!$D$4</f>
        <v>Denmark</v>
      </c>
      <c r="EM20" s="452"/>
      <c r="EN20" s="452"/>
      <c r="EO20" s="453"/>
      <c r="EP20" s="449" t="str">
        <f ca="1" t="shared" si="213" ref="EP20:EP25">IF(($F20&lt;&gt;"")*($G20&lt;&gt;"")*(EM20&lt;&gt;"")*(EN20&lt;&gt;""),($F20&gt;$G20)*(EM20&gt;EN20)+($F20=$G20)*(EM20=EN20)+($F20&lt;$G20)*(EM20&lt;EN20),"")</f>
        <v/>
      </c>
      <c r="EQ20" s="449" t="str">
        <f ca="1">IF((EP20&lt;&gt;""),IF(OR($F20&lt;&gt;$G20,PrSettings!$M$4="●"),(($F20-$G20)=(EM20-EN20))*1,0),"")</f>
        <v/>
      </c>
      <c r="ER20" s="449" t="str">
        <f ca="1" t="shared" si="214" ref="ER20:ER25">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ca="1" t="shared" si="215" ref="EX20:EX25">$D20</f>
        <v>9</v>
      </c>
      <c r="EY20" s="448" t="str">
        <f ca="1">GrpC!$D$4</f>
        <v>Denmark</v>
      </c>
      <c r="EZ20" s="452"/>
      <c r="FA20" s="452"/>
      <c r="FB20" s="453"/>
      <c r="FC20" s="449" t="str">
        <f ca="1" t="shared" si="216" ref="FC20:FC25">IF(($F20&lt;&gt;"")*($G20&lt;&gt;"")*(EZ20&lt;&gt;"")*(FA20&lt;&gt;""),($F20&gt;$G20)*(EZ20&gt;FA20)+($F20=$G20)*(EZ20=FA20)+($F20&lt;$G20)*(EZ20&lt;FA20),"")</f>
        <v/>
      </c>
      <c r="FD20" s="449" t="str">
        <f ca="1">IF((FC20&lt;&gt;""),IF(OR($F20&lt;&gt;$G20,PrSettings!$M$4="●"),(($F20-$G20)=(EZ20-FA20))*1,0),"")</f>
        <v/>
      </c>
      <c r="FE20" s="449" t="str">
        <f ca="1" t="shared" si="217" ref="FE20:FE25">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ca="1" t="shared" si="218" ref="FK20:FK25">$D20</f>
        <v>9</v>
      </c>
      <c r="FL20" s="448" t="str">
        <f ca="1">GrpC!$D$4</f>
        <v>Denmark</v>
      </c>
      <c r="FM20" s="452"/>
      <c r="FN20" s="452"/>
      <c r="FO20" s="453"/>
      <c r="FP20" s="449" t="str">
        <f ca="1" t="shared" si="219" ref="FP20:FP25">IF(($F20&lt;&gt;"")*($G20&lt;&gt;"")*(FM20&lt;&gt;"")*(FN20&lt;&gt;""),($F20&gt;$G20)*(FM20&gt;FN20)+($F20=$G20)*(FM20=FN20)+($F20&lt;$G20)*(FM20&lt;FN20),"")</f>
        <v/>
      </c>
      <c r="FQ20" s="449" t="str">
        <f ca="1">IF((FP20&lt;&gt;""),IF(OR($F20&lt;&gt;$G20,PrSettings!$M$4="●"),(($F20-$G20)=(FM20-FN20))*1,0),"")</f>
        <v/>
      </c>
      <c r="FR20" s="449" t="str">
        <f ca="1" t="shared" si="220" ref="FR20:FR25">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ca="1" t="shared" si="221" ref="FX20:FX25">$D20</f>
        <v>9</v>
      </c>
      <c r="FY20" s="448" t="str">
        <f ca="1">GrpC!$D$4</f>
        <v>Denmark</v>
      </c>
      <c r="FZ20" s="452"/>
      <c r="GA20" s="452"/>
      <c r="GB20" s="453"/>
      <c r="GC20" s="449" t="str">
        <f ca="1" t="shared" si="222" ref="GC20:GC25">IF(($F20&lt;&gt;"")*($G20&lt;&gt;"")*(FZ20&lt;&gt;"")*(GA20&lt;&gt;""),($F20&gt;$G20)*(FZ20&gt;GA20)+($F20=$G20)*(FZ20=GA20)+($F20&lt;$G20)*(FZ20&lt;GA20),"")</f>
        <v/>
      </c>
      <c r="GD20" s="449" t="str">
        <f ca="1">IF((GC20&lt;&gt;""),IF(OR($F20&lt;&gt;$G20,PrSettings!$M$4="●"),(($F20-$G20)=(FZ20-GA20))*1,0),"")</f>
        <v/>
      </c>
      <c r="GE20" s="449" t="str">
        <f ca="1" t="shared" si="223" ref="GE20:GE25">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ca="1" t="shared" si="224" ref="GK20:GK25">$D20</f>
        <v>9</v>
      </c>
      <c r="GL20" s="448" t="str">
        <f ca="1">GrpC!$D$4</f>
        <v>Denmark</v>
      </c>
      <c r="GM20" s="452"/>
      <c r="GN20" s="452"/>
      <c r="GO20" s="453"/>
      <c r="GP20" s="449" t="str">
        <f ca="1" t="shared" si="225" ref="GP20:GP25">IF(($F20&lt;&gt;"")*($G20&lt;&gt;"")*(GM20&lt;&gt;"")*(GN20&lt;&gt;""),($F20&gt;$G20)*(GM20&gt;GN20)+($F20=$G20)*(GM20=GN20)+($F20&lt;$G20)*(GM20&lt;GN20),"")</f>
        <v/>
      </c>
      <c r="GQ20" s="449" t="str">
        <f ca="1">IF((GP20&lt;&gt;""),IF(OR($F20&lt;&gt;$G20,PrSettings!$M$4="●"),(($F20-$G20)=(GM20-GN20))*1,0),"")</f>
        <v/>
      </c>
      <c r="GR20" s="449" t="str">
        <f ca="1" t="shared" si="226" ref="GR20:GR25">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ca="1" t="shared" si="227" ref="GX20:GX25">$D20</f>
        <v>9</v>
      </c>
      <c r="GY20" s="448" t="str">
        <f ca="1">GrpC!$D$4</f>
        <v>Denmark</v>
      </c>
      <c r="GZ20" s="452"/>
      <c r="HA20" s="452"/>
      <c r="HB20" s="453"/>
      <c r="HC20" s="449" t="str">
        <f ca="1" t="shared" si="228" ref="HC20:HC25">IF(($F20&lt;&gt;"")*($G20&lt;&gt;"")*(GZ20&lt;&gt;"")*(HA20&lt;&gt;""),($F20&gt;$G20)*(GZ20&gt;HA20)+($F20=$G20)*(GZ20=HA20)+($F20&lt;$G20)*(GZ20&lt;HA20),"")</f>
        <v/>
      </c>
      <c r="HD20" s="449" t="str">
        <f ca="1">IF((HC20&lt;&gt;""),IF(OR($F20&lt;&gt;$G20,PrSettings!$M$4="●"),(($F20-$G20)=(GZ20-HA20))*1,0),"")</f>
        <v/>
      </c>
      <c r="HE20" s="449" t="str">
        <f ca="1" t="shared" si="229" ref="HE20:HE25">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ca="1" t="shared" si="230" ref="HK20:HK25">$D20</f>
        <v>9</v>
      </c>
      <c r="HL20" s="448" t="str">
        <f ca="1">GrpC!$D$4</f>
        <v>Denmark</v>
      </c>
      <c r="HM20" s="452"/>
      <c r="HN20" s="452"/>
      <c r="HO20" s="453"/>
      <c r="HP20" s="449" t="str">
        <f ca="1" t="shared" si="231" ref="HP20:HP25">IF(($F20&lt;&gt;"")*($G20&lt;&gt;"")*(HM20&lt;&gt;"")*(HN20&lt;&gt;""),($F20&gt;$G20)*(HM20&gt;HN20)+($F20=$G20)*(HM20=HN20)+($F20&lt;$G20)*(HM20&lt;HN20),"")</f>
        <v/>
      </c>
      <c r="HQ20" s="449" t="str">
        <f ca="1">IF((HP20&lt;&gt;""),IF(OR($F20&lt;&gt;$G20,PrSettings!$M$4="●"),(($F20-$G20)=(HM20-HN20))*1,0),"")</f>
        <v/>
      </c>
      <c r="HR20" s="449" t="str">
        <f ca="1" t="shared" si="232" ref="HR20:HR25">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ca="1" t="shared" si="233" ref="HX20:HX25">$D20</f>
        <v>9</v>
      </c>
      <c r="HY20" s="448" t="str">
        <f ca="1">GrpC!$D$4</f>
        <v>Denmark</v>
      </c>
      <c r="HZ20" s="452"/>
      <c r="IA20" s="452"/>
      <c r="IB20" s="453"/>
      <c r="IC20" s="449" t="str">
        <f ca="1" t="shared" si="234" ref="IC20:IC25">IF(($F20&lt;&gt;"")*($G20&lt;&gt;"")*(HZ20&lt;&gt;"")*(IA20&lt;&gt;""),($F20&gt;$G20)*(HZ20&gt;IA20)+($F20=$G20)*(HZ20=IA20)+($F20&lt;$G20)*(HZ20&lt;IA20),"")</f>
        <v/>
      </c>
      <c r="ID20" s="449" t="str">
        <f ca="1">IF((IC20&lt;&gt;""),IF(OR($F20&lt;&gt;$G20,PrSettings!$M$4="●"),(($F20-$G20)=(HZ20-IA20))*1,0),"")</f>
        <v/>
      </c>
      <c r="IE20" s="449" t="str">
        <f ca="1" t="shared" si="235" ref="IE20:IE2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ca="1" t="shared" si="236" ref="IK20:IK25">$D20</f>
        <v>9</v>
      </c>
      <c r="IL20" s="448" t="str">
        <f ca="1">GrpC!$D$4</f>
        <v>Denmark</v>
      </c>
      <c r="IM20" s="452"/>
      <c r="IN20" s="452"/>
      <c r="IO20" s="453"/>
      <c r="IP20" s="449" t="str">
        <f ca="1" t="shared" si="237" ref="IP20:IP25">IF(($F20&lt;&gt;"")*($G20&lt;&gt;"")*(IM20&lt;&gt;"")*(IN20&lt;&gt;""),($F20&gt;$G20)*(IM20&gt;IN20)+($F20=$G20)*(IM20=IN20)+($F20&lt;$G20)*(IM20&lt;IN20),"")</f>
        <v/>
      </c>
      <c r="IQ20" s="449" t="str">
        <f ca="1">IF((IP20&lt;&gt;""),IF(OR($F20&lt;&gt;$G20,PrSettings!$M$4="●"),(($F20-$G20)=(IM20-IN20))*1,0),"")</f>
        <v/>
      </c>
      <c r="IR20" s="449" t="str">
        <f ca="1" t="shared" si="238" ref="IR20:IR25">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ca="1" t="shared" si="239" ref="IX20:IX25">$D20</f>
        <v>9</v>
      </c>
      <c r="IY20" s="448" t="str">
        <f ca="1">GrpC!$D$4</f>
        <v>Denmark</v>
      </c>
      <c r="IZ20" s="452"/>
      <c r="JA20" s="452"/>
      <c r="JB20" s="453"/>
      <c r="JC20" s="449" t="str">
        <f ca="1" t="shared" si="240" ref="JC20:JC25">IF(($F20&lt;&gt;"")*($G20&lt;&gt;"")*(IZ20&lt;&gt;"")*(JA20&lt;&gt;""),($F20&gt;$G20)*(IZ20&gt;JA20)+($F20=$G20)*(IZ20=JA20)+($F20&lt;$G20)*(IZ20&lt;JA20),"")</f>
        <v/>
      </c>
      <c r="JD20" s="449" t="str">
        <f ca="1">IF((JC20&lt;&gt;""),IF(OR($F20&lt;&gt;$G20,PrSettings!$M$4="●"),(($F20-$G20)=(IZ20-JA20))*1,0),"")</f>
        <v/>
      </c>
      <c r="JE20" s="449" t="str">
        <f ca="1" t="shared" si="241" ref="JE20:JE25">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ca="1" t="shared" si="242" ref="JK20:JK25">$D20</f>
        <v>9</v>
      </c>
      <c r="JL20" s="448" t="str">
        <f ca="1">GrpC!$D$4</f>
        <v>Denmark</v>
      </c>
      <c r="JM20" s="452"/>
      <c r="JN20" s="452"/>
      <c r="JO20" s="453"/>
      <c r="JP20" s="449" t="str">
        <f ca="1" t="shared" si="243" ref="JP20:JP25">IF(($F20&lt;&gt;"")*($G20&lt;&gt;"")*(JM20&lt;&gt;"")*(JN20&lt;&gt;""),($F20&gt;$G20)*(JM20&gt;JN20)+($F20=$G20)*(JM20=JN20)+($F20&lt;$G20)*(JM20&lt;JN20),"")</f>
        <v/>
      </c>
      <c r="JQ20" s="449" t="str">
        <f ca="1">IF((JP20&lt;&gt;""),IF(OR($F20&lt;&gt;$G20,PrSettings!$M$4="●"),(($F20-$G20)=(JM20-JN20))*1,0),"")</f>
        <v/>
      </c>
      <c r="JR20" s="449" t="str">
        <f ca="1" t="shared" si="244" ref="JR20:JR25">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ca="1" t="shared" si="245" ref="JX20:JX25">$D20</f>
        <v>9</v>
      </c>
      <c r="JY20" s="448" t="str">
        <f ca="1">GrpC!$D$4</f>
        <v>Denmark</v>
      </c>
      <c r="JZ20" s="452"/>
      <c r="KA20" s="452"/>
      <c r="KB20" s="453"/>
      <c r="KC20" s="449" t="str">
        <f ca="1" t="shared" si="246" ref="KC20:KC25">IF(($F20&lt;&gt;"")*($G20&lt;&gt;"")*(JZ20&lt;&gt;"")*(KA20&lt;&gt;""),($F20&gt;$G20)*(JZ20&gt;KA20)+($F20=$G20)*(JZ20=KA20)+($F20&lt;$G20)*(JZ20&lt;KA20),"")</f>
        <v/>
      </c>
      <c r="KD20" s="449" t="str">
        <f ca="1">IF((KC20&lt;&gt;""),IF(OR($F20&lt;&gt;$G20,PrSettings!$M$4="●"),(($F20-$G20)=(JZ20-KA20))*1,0),"")</f>
        <v/>
      </c>
      <c r="KE20" s="449" t="str">
        <f ca="1" t="shared" si="247" ref="KE20:KE25">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ca="1" t="shared" si="248" ref="KK20:KK25">$D20</f>
        <v>9</v>
      </c>
      <c r="KL20" s="448" t="str">
        <f ca="1">GrpC!$D$4</f>
        <v>Denmark</v>
      </c>
      <c r="KM20" s="452"/>
      <c r="KN20" s="452"/>
      <c r="KO20" s="453"/>
      <c r="KP20" s="449" t="str">
        <f ca="1" t="shared" si="249" ref="KP20:KP25">IF(($F20&lt;&gt;"")*($G20&lt;&gt;"")*(KM20&lt;&gt;"")*(KN20&lt;&gt;""),($F20&gt;$G20)*(KM20&gt;KN20)+($F20=$G20)*(KM20=KN20)+($F20&lt;$G20)*(KM20&lt;KN20),"")</f>
        <v/>
      </c>
      <c r="KQ20" s="449" t="str">
        <f ca="1">IF((KP20&lt;&gt;""),IF(OR($F20&lt;&gt;$G20,PrSettings!$M$4="●"),(($F20-$G20)=(KM20-KN20))*1,0),"")</f>
        <v/>
      </c>
      <c r="KR20" s="449" t="str">
        <f ca="1" t="shared" si="250" ref="KR20:KR25">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ca="1" t="shared" si="251" ref="KX20:KX25">$D20</f>
        <v>9</v>
      </c>
      <c r="KY20" s="448" t="str">
        <f ca="1">GrpC!$D$4</f>
        <v>Denmark</v>
      </c>
      <c r="KZ20" s="452"/>
      <c r="LA20" s="452"/>
      <c r="LB20" s="453"/>
      <c r="LC20" s="449" t="str">
        <f ca="1" t="shared" si="252" ref="LC20:LC25">IF(($F20&lt;&gt;"")*($G20&lt;&gt;"")*(KZ20&lt;&gt;"")*(LA20&lt;&gt;""),($F20&gt;$G20)*(KZ20&gt;LA20)+($F20=$G20)*(KZ20=LA20)+($F20&lt;$G20)*(KZ20&lt;LA20),"")</f>
        <v/>
      </c>
      <c r="LD20" s="449" t="str">
        <f ca="1">IF((LC20&lt;&gt;""),IF(OR($F20&lt;&gt;$G20,PrSettings!$M$4="●"),(($F20-$G20)=(KZ20-LA20))*1,0),"")</f>
        <v/>
      </c>
      <c r="LE20" s="449" t="str">
        <f ca="1" t="shared" si="253" ref="LE20:LE25">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ca="1" t="shared" si="254" ref="LK20:LK25">$D20</f>
        <v>9</v>
      </c>
      <c r="LL20" s="448" t="str">
        <f ca="1">GrpC!$D$4</f>
        <v>Denmark</v>
      </c>
      <c r="LM20" s="452"/>
      <c r="LN20" s="452"/>
      <c r="LO20" s="453"/>
      <c r="LP20" s="449" t="str">
        <f ca="1" t="shared" si="255" ref="LP20:LP25">IF(($F20&lt;&gt;"")*($G20&lt;&gt;"")*(LM20&lt;&gt;"")*(LN20&lt;&gt;""),($F20&gt;$G20)*(LM20&gt;LN20)+($F20=$G20)*(LM20=LN20)+($F20&lt;$G20)*(LM20&lt;LN20),"")</f>
        <v/>
      </c>
      <c r="LQ20" s="449" t="str">
        <f ca="1">IF((LP20&lt;&gt;""),IF(OR($F20&lt;&gt;$G20,PrSettings!$M$4="●"),(($F20-$G20)=(LM20-LN20))*1,0),"")</f>
        <v/>
      </c>
      <c r="LR20" s="449" t="str">
        <f ca="1" t="shared" si="256" ref="LR20:LR25">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ca="1" t="shared" si="257" ref="LX20:LX25">$D20</f>
        <v>9</v>
      </c>
      <c r="LY20" s="448" t="str">
        <f ca="1">GrpC!$D$4</f>
        <v>Denmark</v>
      </c>
      <c r="LZ20" s="452"/>
      <c r="MA20" s="452"/>
      <c r="MB20" s="453"/>
      <c r="MC20" s="449" t="str">
        <f ca="1" t="shared" si="258" ref="MC20:MC25">IF(($F20&lt;&gt;"")*($G20&lt;&gt;"")*(LZ20&lt;&gt;"")*(MA20&lt;&gt;""),($F20&gt;$G20)*(LZ20&gt;MA20)+($F20=$G20)*(LZ20=MA20)+($F20&lt;$G20)*(LZ20&lt;MA20),"")</f>
        <v/>
      </c>
      <c r="MD20" s="449" t="str">
        <f ca="1">IF((MC20&lt;&gt;""),IF(OR($F20&lt;&gt;$G20,PrSettings!$M$4="●"),(($F20-$G20)=(LZ20-MA20))*1,0),"")</f>
        <v/>
      </c>
      <c r="ME20" s="449" t="str">
        <f ca="1" t="shared" si="259" ref="ME20:ME25">IF((MC20&lt;&gt;""),($F20=LZ20)*($G20=MA20),"")</f>
        <v/>
      </c>
      <c r="MF20" s="449" t="str">
        <f ca="1">IF(MC20&lt;&gt;"",IF(ABS($F20-$G20)&gt;=PrSettings!$M$7,(ABS($F20-$G20-LZ20+MA20)&lt;=1)*1,IF(AND(MC20,$F20=$G20,$F20&gt;=PrSettings!$M$6),(ABS(LZ20-$F20)&lt;=1)*1,IF(AND(ABS($F20-$G20-LZ20+MA20)&lt;=1,$F20+$G20&gt;=PrSettings!$M$8),(ABS(LZ20-$F20)&lt;=1)*(ABS(MA20-$G20)&lt;=1)*1,""))),"")</f>
        <v/>
      </c>
      <c r="MG20" s="454"/>
    </row>
    <row r="21" spans="2:345" ht="15.5">
      <c r="B21" s="447">
        <f ca="1">INDEX(Groups!$C$7:$C$35,MATCH(C21,Groups!$D$7:$D$35,0))</f>
        <v>19</v>
      </c>
      <c r="C21" s="448" t="str">
        <f ca="1">GrpC!$B$5</f>
        <v>Serbia</v>
      </c>
      <c r="D21" s="449">
        <f ca="1">INDEX(Groups!$C$7:$C$35,MATCH(E21,Groups!$D$7:$D$35,0))</f>
        <v>5</v>
      </c>
      <c r="E21" s="448" t="str">
        <f ca="1">GrpC!$D$5</f>
        <v>England</v>
      </c>
      <c r="F21" s="450">
        <f ca="1">GrpC!$E$5</f>
        <v>2</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ht="15.5">
      <c r="B22" s="447">
        <f ca="1">INDEX(Groups!$C$7:$C$35,MATCH(C22,Groups!$D$7:$D$35,0))</f>
        <v>15</v>
      </c>
      <c r="C22" s="448" t="str">
        <f ca="1">GrpC!$B$6</f>
        <v>Slovenia</v>
      </c>
      <c r="D22" s="449">
        <f ca="1">INDEX(Groups!$C$7:$C$35,MATCH(E22,Groups!$D$7:$D$35,0))</f>
        <v>19</v>
      </c>
      <c r="E22" s="448" t="str">
        <f ca="1">GrpC!$D$6</f>
        <v>Serbia</v>
      </c>
      <c r="F22" s="450">
        <f ca="1">GrpC!$E$6</f>
        <v>1</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ht="15.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ht="15.5">
      <c r="B24" s="447">
        <f ca="1">INDEX(Groups!$C$7:$C$35,MATCH(C24,Groups!$D$7:$D$35,0))</f>
        <v>5</v>
      </c>
      <c r="C24" s="448" t="str">
        <f ca="1">GrpC!$B$8</f>
        <v>England</v>
      </c>
      <c r="D24" s="449">
        <f ca="1">INDEX(Groups!$C$7:$C$35,MATCH(E24,Groups!$D$7:$D$35,0))</f>
        <v>15</v>
      </c>
      <c r="E24" s="448" t="str">
        <f ca="1">GrpC!$D$8</f>
        <v>Slovenia</v>
      </c>
      <c r="F24" s="450">
        <f ca="1">GrpC!$E$8</f>
        <v>4</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ht="15.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ht="15.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ca="1" t="shared" si="260" ref="K27:K32">$D27</f>
        <v>12</v>
      </c>
      <c r="L27" s="448" t="str">
        <f ca="1">GrpD!$D$4</f>
        <v>Netherlands</v>
      </c>
      <c r="M27" s="452"/>
      <c r="N27" s="452"/>
      <c r="O27" s="453"/>
      <c r="P27" s="449" t="str">
        <f ca="1" t="shared" si="261" ref="P27:P32">IF(($F27&lt;&gt;"")*($G27&lt;&gt;"")*(M27&lt;&gt;"")*(N27&lt;&gt;""),($F27&gt;$G27)*(M27&gt;N27)+($F27=$G27)*(M27=N27)+($F27&lt;$G27)*(M27&lt;N27),"")</f>
        <v/>
      </c>
      <c r="Q27" s="449" t="str">
        <f ca="1">IF((P27&lt;&gt;""),IF(OR($F27&lt;&gt;$G27,PrSettings!$M$4="●"),(($F27-$G27)=(M27-N27))*1,0),"")</f>
        <v/>
      </c>
      <c r="R27" s="449" t="str">
        <f ca="1" t="shared" si="262" ref="R27:R3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ca="1" t="shared" si="263" ref="X27:X32">$D27</f>
        <v>12</v>
      </c>
      <c r="Y27" s="448" t="str">
        <f ca="1">GrpD!$D$4</f>
        <v>Netherlands</v>
      </c>
      <c r="Z27" s="452"/>
      <c r="AA27" s="452"/>
      <c r="AB27" s="453"/>
      <c r="AC27" s="449" t="str">
        <f ca="1" t="shared" si="264" ref="AC27:AC32">IF(($F27&lt;&gt;"")*($G27&lt;&gt;"")*(Z27&lt;&gt;"")*(AA27&lt;&gt;""),($F27&gt;$G27)*(Z27&gt;AA27)+($F27=$G27)*(Z27=AA27)+($F27&lt;$G27)*(Z27&lt;AA27),"")</f>
        <v/>
      </c>
      <c r="AD27" s="449" t="str">
        <f ca="1">IF((AC27&lt;&gt;""),IF(OR($F27&lt;&gt;$G27,PrSettings!$M$4="●"),(($F27-$G27)=(Z27-AA27))*1,0),"")</f>
        <v/>
      </c>
      <c r="AE27" s="449" t="str">
        <f ca="1" t="shared" si="265" ref="AE27:AE32">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ca="1" t="shared" si="266" ref="AK27:AK32">$D27</f>
        <v>12</v>
      </c>
      <c r="AL27" s="448" t="str">
        <f ca="1">GrpD!$D$4</f>
        <v>Netherlands</v>
      </c>
      <c r="AM27" s="452"/>
      <c r="AN27" s="452"/>
      <c r="AO27" s="453"/>
      <c r="AP27" s="449" t="str">
        <f ca="1" t="shared" si="267" ref="AP27:AP32">IF(($F27&lt;&gt;"")*($G27&lt;&gt;"")*(AM27&lt;&gt;"")*(AN27&lt;&gt;""),($F27&gt;$G27)*(AM27&gt;AN27)+($F27=$G27)*(AM27=AN27)+($F27&lt;$G27)*(AM27&lt;AN27),"")</f>
        <v/>
      </c>
      <c r="AQ27" s="449" t="str">
        <f ca="1">IF((AP27&lt;&gt;""),IF(OR($F27&lt;&gt;$G27,PrSettings!$M$4="●"),(($F27-$G27)=(AM27-AN27))*1,0),"")</f>
        <v/>
      </c>
      <c r="AR27" s="449" t="str">
        <f ca="1" t="shared" si="268" ref="AR27:AR32">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ca="1" t="shared" si="269" ref="AX27:AX32">$D27</f>
        <v>12</v>
      </c>
      <c r="AY27" s="448" t="str">
        <f ca="1">GrpD!$D$4</f>
        <v>Netherlands</v>
      </c>
      <c r="AZ27" s="452"/>
      <c r="BA27" s="452"/>
      <c r="BB27" s="453"/>
      <c r="BC27" s="449" t="str">
        <f ca="1" t="shared" si="270" ref="BC27:BC32">IF(($F27&lt;&gt;"")*($G27&lt;&gt;"")*(AZ27&lt;&gt;"")*(BA27&lt;&gt;""),($F27&gt;$G27)*(AZ27&gt;BA27)+($F27=$G27)*(AZ27=BA27)+($F27&lt;$G27)*(AZ27&lt;BA27),"")</f>
        <v/>
      </c>
      <c r="BD27" s="449" t="str">
        <f ca="1">IF((BC27&lt;&gt;""),IF(OR($F27&lt;&gt;$G27,PrSettings!$M$4="●"),(($F27-$G27)=(AZ27-BA27))*1,0),"")</f>
        <v/>
      </c>
      <c r="BE27" s="449" t="str">
        <f ca="1" t="shared" si="271" ref="BE27:BE32">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ca="1" t="shared" si="272" ref="BK27:BK32">$D27</f>
        <v>12</v>
      </c>
      <c r="BL27" s="448" t="str">
        <f ca="1">GrpD!$D$4</f>
        <v>Netherlands</v>
      </c>
      <c r="BM27" s="452"/>
      <c r="BN27" s="452"/>
      <c r="BO27" s="453"/>
      <c r="BP27" s="449" t="str">
        <f ca="1" t="shared" si="273" ref="BP27:BP32">IF(($F27&lt;&gt;"")*($G27&lt;&gt;"")*(BM27&lt;&gt;"")*(BN27&lt;&gt;""),($F27&gt;$G27)*(BM27&gt;BN27)+($F27=$G27)*(BM27=BN27)+($F27&lt;$G27)*(BM27&lt;BN27),"")</f>
        <v/>
      </c>
      <c r="BQ27" s="449" t="str">
        <f ca="1">IF((BP27&lt;&gt;""),IF(OR($F27&lt;&gt;$G27,PrSettings!$M$4="●"),(($F27-$G27)=(BM27-BN27))*1,0),"")</f>
        <v/>
      </c>
      <c r="BR27" s="449" t="str">
        <f ca="1" t="shared" si="274" ref="BR27:BR32">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ca="1" t="shared" si="275" ref="BX27:BX32">$D27</f>
        <v>12</v>
      </c>
      <c r="BY27" s="448" t="str">
        <f ca="1">GrpD!$D$4</f>
        <v>Netherlands</v>
      </c>
      <c r="BZ27" s="452"/>
      <c r="CA27" s="452"/>
      <c r="CB27" s="453"/>
      <c r="CC27" s="449" t="str">
        <f ca="1" t="shared" si="276" ref="CC27:CC32">IF(($F27&lt;&gt;"")*($G27&lt;&gt;"")*(BZ27&lt;&gt;"")*(CA27&lt;&gt;""),($F27&gt;$G27)*(BZ27&gt;CA27)+($F27=$G27)*(BZ27=CA27)+($F27&lt;$G27)*(BZ27&lt;CA27),"")</f>
        <v/>
      </c>
      <c r="CD27" s="449" t="str">
        <f ca="1">IF((CC27&lt;&gt;""),IF(OR($F27&lt;&gt;$G27,PrSettings!$M$4="●"),(($F27-$G27)=(BZ27-CA27))*1,0),"")</f>
        <v/>
      </c>
      <c r="CE27" s="449" t="str">
        <f ca="1" t="shared" si="277" ref="CE27:CE32">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ca="1" t="shared" si="278" ref="CK27:CK32">$D27</f>
        <v>12</v>
      </c>
      <c r="CL27" s="448" t="str">
        <f ca="1">GrpD!$D$4</f>
        <v>Netherlands</v>
      </c>
      <c r="CM27" s="452"/>
      <c r="CN27" s="452"/>
      <c r="CO27" s="453"/>
      <c r="CP27" s="449" t="str">
        <f ca="1" t="shared" si="279" ref="CP27:CP32">IF(($F27&lt;&gt;"")*($G27&lt;&gt;"")*(CM27&lt;&gt;"")*(CN27&lt;&gt;""),($F27&gt;$G27)*(CM27&gt;CN27)+($F27=$G27)*(CM27=CN27)+($F27&lt;$G27)*(CM27&lt;CN27),"")</f>
        <v/>
      </c>
      <c r="CQ27" s="449" t="str">
        <f ca="1">IF((CP27&lt;&gt;""),IF(OR($F27&lt;&gt;$G27,PrSettings!$M$4="●"),(($F27-$G27)=(CM27-CN27))*1,0),"")</f>
        <v/>
      </c>
      <c r="CR27" s="449" t="str">
        <f ca="1" t="shared" si="280" ref="CR27:CR32">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ca="1" t="shared" si="281" ref="CX27:CX32">$D27</f>
        <v>12</v>
      </c>
      <c r="CY27" s="448" t="str">
        <f ca="1">GrpD!$D$4</f>
        <v>Netherlands</v>
      </c>
      <c r="CZ27" s="452"/>
      <c r="DA27" s="452"/>
      <c r="DB27" s="453"/>
      <c r="DC27" s="449" t="str">
        <f ca="1" t="shared" si="282" ref="DC27:DC32">IF(($F27&lt;&gt;"")*($G27&lt;&gt;"")*(CZ27&lt;&gt;"")*(DA27&lt;&gt;""),($F27&gt;$G27)*(CZ27&gt;DA27)+($F27=$G27)*(CZ27=DA27)+($F27&lt;$G27)*(CZ27&lt;DA27),"")</f>
        <v/>
      </c>
      <c r="DD27" s="449" t="str">
        <f ca="1">IF((DC27&lt;&gt;""),IF(OR($F27&lt;&gt;$G27,PrSettings!$M$4="●"),(($F27-$G27)=(CZ27-DA27))*1,0),"")</f>
        <v/>
      </c>
      <c r="DE27" s="449" t="str">
        <f ca="1" t="shared" si="283" ref="DE27:DE32">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ca="1" t="shared" si="284" ref="DK27:DK32">$D27</f>
        <v>12</v>
      </c>
      <c r="DL27" s="448" t="str">
        <f ca="1">GrpD!$D$4</f>
        <v>Netherlands</v>
      </c>
      <c r="DM27" s="452"/>
      <c r="DN27" s="452"/>
      <c r="DO27" s="453"/>
      <c r="DP27" s="449" t="str">
        <f ca="1" t="shared" si="285" ref="DP27:DP32">IF(($F27&lt;&gt;"")*($G27&lt;&gt;"")*(DM27&lt;&gt;"")*(DN27&lt;&gt;""),($F27&gt;$G27)*(DM27&gt;DN27)+($F27=$G27)*(DM27=DN27)+($F27&lt;$G27)*(DM27&lt;DN27),"")</f>
        <v/>
      </c>
      <c r="DQ27" s="449" t="str">
        <f ca="1">IF((DP27&lt;&gt;""),IF(OR($F27&lt;&gt;$G27,PrSettings!$M$4="●"),(($F27-$G27)=(DM27-DN27))*1,0),"")</f>
        <v/>
      </c>
      <c r="DR27" s="449" t="str">
        <f ca="1" t="shared" si="286" ref="DR27:DR32">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ca="1" t="shared" si="287" ref="DX27:DX32">$D27</f>
        <v>12</v>
      </c>
      <c r="DY27" s="448" t="str">
        <f ca="1">GrpD!$D$4</f>
        <v>Netherlands</v>
      </c>
      <c r="DZ27" s="452"/>
      <c r="EA27" s="452"/>
      <c r="EB27" s="453"/>
      <c r="EC27" s="449" t="str">
        <f ca="1" t="shared" si="288" ref="EC27:EC32">IF(($F27&lt;&gt;"")*($G27&lt;&gt;"")*(DZ27&lt;&gt;"")*(EA27&lt;&gt;""),($F27&gt;$G27)*(DZ27&gt;EA27)+($F27=$G27)*(DZ27=EA27)+($F27&lt;$G27)*(DZ27&lt;EA27),"")</f>
        <v/>
      </c>
      <c r="ED27" s="449" t="str">
        <f ca="1">IF((EC27&lt;&gt;""),IF(OR($F27&lt;&gt;$G27,PrSettings!$M$4="●"),(($F27-$G27)=(DZ27-EA27))*1,0),"")</f>
        <v/>
      </c>
      <c r="EE27" s="449" t="str">
        <f ca="1" t="shared" si="289" ref="EE27:EE32">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ca="1" t="shared" si="290" ref="EK27:EK32">$D27</f>
        <v>12</v>
      </c>
      <c r="EL27" s="448" t="str">
        <f ca="1">GrpD!$D$4</f>
        <v>Netherlands</v>
      </c>
      <c r="EM27" s="452"/>
      <c r="EN27" s="452"/>
      <c r="EO27" s="453"/>
      <c r="EP27" s="449" t="str">
        <f ca="1" t="shared" si="291" ref="EP27:EP32">IF(($F27&lt;&gt;"")*($G27&lt;&gt;"")*(EM27&lt;&gt;"")*(EN27&lt;&gt;""),($F27&gt;$G27)*(EM27&gt;EN27)+($F27=$G27)*(EM27=EN27)+($F27&lt;$G27)*(EM27&lt;EN27),"")</f>
        <v/>
      </c>
      <c r="EQ27" s="449" t="str">
        <f ca="1">IF((EP27&lt;&gt;""),IF(OR($F27&lt;&gt;$G27,PrSettings!$M$4="●"),(($F27-$G27)=(EM27-EN27))*1,0),"")</f>
        <v/>
      </c>
      <c r="ER27" s="449" t="str">
        <f ca="1" t="shared" si="292" ref="ER27:ER3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ca="1" t="shared" si="293" ref="EX27:EX32">$D27</f>
        <v>12</v>
      </c>
      <c r="EY27" s="448" t="str">
        <f ca="1">GrpD!$D$4</f>
        <v>Netherlands</v>
      </c>
      <c r="EZ27" s="452"/>
      <c r="FA27" s="452"/>
      <c r="FB27" s="453"/>
      <c r="FC27" s="449" t="str">
        <f ca="1" t="shared" si="294" ref="FC27:FC32">IF(($F27&lt;&gt;"")*($G27&lt;&gt;"")*(EZ27&lt;&gt;"")*(FA27&lt;&gt;""),($F27&gt;$G27)*(EZ27&gt;FA27)+($F27=$G27)*(EZ27=FA27)+($F27&lt;$G27)*(EZ27&lt;FA27),"")</f>
        <v/>
      </c>
      <c r="FD27" s="449" t="str">
        <f ca="1">IF((FC27&lt;&gt;""),IF(OR($F27&lt;&gt;$G27,PrSettings!$M$4="●"),(($F27-$G27)=(EZ27-FA27))*1,0),"")</f>
        <v/>
      </c>
      <c r="FE27" s="449" t="str">
        <f ca="1" t="shared" si="295" ref="FE27:FE32">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ca="1" t="shared" si="296" ref="FK27:FK32">$D27</f>
        <v>12</v>
      </c>
      <c r="FL27" s="448" t="str">
        <f ca="1">GrpD!$D$4</f>
        <v>Netherlands</v>
      </c>
      <c r="FM27" s="452"/>
      <c r="FN27" s="452"/>
      <c r="FO27" s="453"/>
      <c r="FP27" s="449" t="str">
        <f ca="1" t="shared" si="297" ref="FP27:FP32">IF(($F27&lt;&gt;"")*($G27&lt;&gt;"")*(FM27&lt;&gt;"")*(FN27&lt;&gt;""),($F27&gt;$G27)*(FM27&gt;FN27)+($F27=$G27)*(FM27=FN27)+($F27&lt;$G27)*(FM27&lt;FN27),"")</f>
        <v/>
      </c>
      <c r="FQ27" s="449" t="str">
        <f ca="1">IF((FP27&lt;&gt;""),IF(OR($F27&lt;&gt;$G27,PrSettings!$M$4="●"),(($F27-$G27)=(FM27-FN27))*1,0),"")</f>
        <v/>
      </c>
      <c r="FR27" s="449" t="str">
        <f ca="1" t="shared" si="298" ref="FR27:FR32">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ca="1" t="shared" si="299" ref="FX27:FX32">$D27</f>
        <v>12</v>
      </c>
      <c r="FY27" s="448" t="str">
        <f ca="1">GrpD!$D$4</f>
        <v>Netherlands</v>
      </c>
      <c r="FZ27" s="452"/>
      <c r="GA27" s="452"/>
      <c r="GB27" s="453"/>
      <c r="GC27" s="449" t="str">
        <f ca="1" t="shared" si="300" ref="GC27:GC32">IF(($F27&lt;&gt;"")*($G27&lt;&gt;"")*(FZ27&lt;&gt;"")*(GA27&lt;&gt;""),($F27&gt;$G27)*(FZ27&gt;GA27)+($F27=$G27)*(FZ27=GA27)+($F27&lt;$G27)*(FZ27&lt;GA27),"")</f>
        <v/>
      </c>
      <c r="GD27" s="449" t="str">
        <f ca="1">IF((GC27&lt;&gt;""),IF(OR($F27&lt;&gt;$G27,PrSettings!$M$4="●"),(($F27-$G27)=(FZ27-GA27))*1,0),"")</f>
        <v/>
      </c>
      <c r="GE27" s="449" t="str">
        <f ca="1" t="shared" si="301" ref="GE27:GE32">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ca="1" t="shared" si="302" ref="GK27:GK32">$D27</f>
        <v>12</v>
      </c>
      <c r="GL27" s="448" t="str">
        <f ca="1">GrpD!$D$4</f>
        <v>Netherlands</v>
      </c>
      <c r="GM27" s="452"/>
      <c r="GN27" s="452"/>
      <c r="GO27" s="453"/>
      <c r="GP27" s="449" t="str">
        <f ca="1" t="shared" si="303" ref="GP27:GP32">IF(($F27&lt;&gt;"")*($G27&lt;&gt;"")*(GM27&lt;&gt;"")*(GN27&lt;&gt;""),($F27&gt;$G27)*(GM27&gt;GN27)+($F27=$G27)*(GM27=GN27)+($F27&lt;$G27)*(GM27&lt;GN27),"")</f>
        <v/>
      </c>
      <c r="GQ27" s="449" t="str">
        <f ca="1">IF((GP27&lt;&gt;""),IF(OR($F27&lt;&gt;$G27,PrSettings!$M$4="●"),(($F27-$G27)=(GM27-GN27))*1,0),"")</f>
        <v/>
      </c>
      <c r="GR27" s="449" t="str">
        <f ca="1" t="shared" si="304" ref="GR27:GR32">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ca="1" t="shared" si="305" ref="GX27:GX32">$D27</f>
        <v>12</v>
      </c>
      <c r="GY27" s="448" t="str">
        <f ca="1">GrpD!$D$4</f>
        <v>Netherlands</v>
      </c>
      <c r="GZ27" s="452"/>
      <c r="HA27" s="452"/>
      <c r="HB27" s="453"/>
      <c r="HC27" s="449" t="str">
        <f ca="1" t="shared" si="306" ref="HC27:HC32">IF(($F27&lt;&gt;"")*($G27&lt;&gt;"")*(GZ27&lt;&gt;"")*(HA27&lt;&gt;""),($F27&gt;$G27)*(GZ27&gt;HA27)+($F27=$G27)*(GZ27=HA27)+($F27&lt;$G27)*(GZ27&lt;HA27),"")</f>
        <v/>
      </c>
      <c r="HD27" s="449" t="str">
        <f ca="1">IF((HC27&lt;&gt;""),IF(OR($F27&lt;&gt;$G27,PrSettings!$M$4="●"),(($F27-$G27)=(GZ27-HA27))*1,0),"")</f>
        <v/>
      </c>
      <c r="HE27" s="449" t="str">
        <f ca="1" t="shared" si="307" ref="HE27:HE32">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ca="1" t="shared" si="308" ref="HK27:HK32">$D27</f>
        <v>12</v>
      </c>
      <c r="HL27" s="448" t="str">
        <f ca="1">GrpD!$D$4</f>
        <v>Netherlands</v>
      </c>
      <c r="HM27" s="452"/>
      <c r="HN27" s="452"/>
      <c r="HO27" s="453"/>
      <c r="HP27" s="449" t="str">
        <f ca="1" t="shared" si="309" ref="HP27:HP32">IF(($F27&lt;&gt;"")*($G27&lt;&gt;"")*(HM27&lt;&gt;"")*(HN27&lt;&gt;""),($F27&gt;$G27)*(HM27&gt;HN27)+($F27=$G27)*(HM27=HN27)+($F27&lt;$G27)*(HM27&lt;HN27),"")</f>
        <v/>
      </c>
      <c r="HQ27" s="449" t="str">
        <f ca="1">IF((HP27&lt;&gt;""),IF(OR($F27&lt;&gt;$G27,PrSettings!$M$4="●"),(($F27-$G27)=(HM27-HN27))*1,0),"")</f>
        <v/>
      </c>
      <c r="HR27" s="449" t="str">
        <f ca="1" t="shared" si="310" ref="HR27:HR32">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ca="1" t="shared" si="311" ref="HX27:HX32">$D27</f>
        <v>12</v>
      </c>
      <c r="HY27" s="448" t="str">
        <f ca="1">GrpD!$D$4</f>
        <v>Netherlands</v>
      </c>
      <c r="HZ27" s="452"/>
      <c r="IA27" s="452"/>
      <c r="IB27" s="453"/>
      <c r="IC27" s="449" t="str">
        <f ca="1" t="shared" si="312" ref="IC27:IC32">IF(($F27&lt;&gt;"")*($G27&lt;&gt;"")*(HZ27&lt;&gt;"")*(IA27&lt;&gt;""),($F27&gt;$G27)*(HZ27&gt;IA27)+($F27=$G27)*(HZ27=IA27)+($F27&lt;$G27)*(HZ27&lt;IA27),"")</f>
        <v/>
      </c>
      <c r="ID27" s="449" t="str">
        <f ca="1">IF((IC27&lt;&gt;""),IF(OR($F27&lt;&gt;$G27,PrSettings!$M$4="●"),(($F27-$G27)=(HZ27-IA27))*1,0),"")</f>
        <v/>
      </c>
      <c r="IE27" s="449" t="str">
        <f ca="1" t="shared" si="313" ref="IE27:IE32">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ca="1" t="shared" si="314" ref="IK27:IK32">$D27</f>
        <v>12</v>
      </c>
      <c r="IL27" s="448" t="str">
        <f ca="1">GrpD!$D$4</f>
        <v>Netherlands</v>
      </c>
      <c r="IM27" s="452"/>
      <c r="IN27" s="452"/>
      <c r="IO27" s="453"/>
      <c r="IP27" s="449" t="str">
        <f ca="1" t="shared" si="315" ref="IP27:IP32">IF(($F27&lt;&gt;"")*($G27&lt;&gt;"")*(IM27&lt;&gt;"")*(IN27&lt;&gt;""),($F27&gt;$G27)*(IM27&gt;IN27)+($F27=$G27)*(IM27=IN27)+($F27&lt;$G27)*(IM27&lt;IN27),"")</f>
        <v/>
      </c>
      <c r="IQ27" s="449" t="str">
        <f ca="1">IF((IP27&lt;&gt;""),IF(OR($F27&lt;&gt;$G27,PrSettings!$M$4="●"),(($F27-$G27)=(IM27-IN27))*1,0),"")</f>
        <v/>
      </c>
      <c r="IR27" s="449" t="str">
        <f ca="1" t="shared" si="316" ref="IR27:IR32">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ca="1" t="shared" si="317" ref="IX27:IX32">$D27</f>
        <v>12</v>
      </c>
      <c r="IY27" s="448" t="str">
        <f ca="1">GrpD!$D$4</f>
        <v>Netherlands</v>
      </c>
      <c r="IZ27" s="452"/>
      <c r="JA27" s="452"/>
      <c r="JB27" s="453"/>
      <c r="JC27" s="449" t="str">
        <f ca="1" t="shared" si="318" ref="JC27:JC32">IF(($F27&lt;&gt;"")*($G27&lt;&gt;"")*(IZ27&lt;&gt;"")*(JA27&lt;&gt;""),($F27&gt;$G27)*(IZ27&gt;JA27)+($F27=$G27)*(IZ27=JA27)+($F27&lt;$G27)*(IZ27&lt;JA27),"")</f>
        <v/>
      </c>
      <c r="JD27" s="449" t="str">
        <f ca="1">IF((JC27&lt;&gt;""),IF(OR($F27&lt;&gt;$G27,PrSettings!$M$4="●"),(($F27-$G27)=(IZ27-JA27))*1,0),"")</f>
        <v/>
      </c>
      <c r="JE27" s="449" t="str">
        <f ca="1" t="shared" si="319" ref="JE27:JE32">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ca="1" t="shared" si="320" ref="JK27:JK32">$D27</f>
        <v>12</v>
      </c>
      <c r="JL27" s="448" t="str">
        <f ca="1">GrpD!$D$4</f>
        <v>Netherlands</v>
      </c>
      <c r="JM27" s="452"/>
      <c r="JN27" s="452"/>
      <c r="JO27" s="453"/>
      <c r="JP27" s="449" t="str">
        <f ca="1" t="shared" si="321" ref="JP27:JP32">IF(($F27&lt;&gt;"")*($G27&lt;&gt;"")*(JM27&lt;&gt;"")*(JN27&lt;&gt;""),($F27&gt;$G27)*(JM27&gt;JN27)+($F27=$G27)*(JM27=JN27)+($F27&lt;$G27)*(JM27&lt;JN27),"")</f>
        <v/>
      </c>
      <c r="JQ27" s="449" t="str">
        <f ca="1">IF((JP27&lt;&gt;""),IF(OR($F27&lt;&gt;$G27,PrSettings!$M$4="●"),(($F27-$G27)=(JM27-JN27))*1,0),"")</f>
        <v/>
      </c>
      <c r="JR27" s="449" t="str">
        <f ca="1" t="shared" si="322" ref="JR27:JR3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ca="1" t="shared" si="323" ref="JX27:JX32">$D27</f>
        <v>12</v>
      </c>
      <c r="JY27" s="448" t="str">
        <f ca="1">GrpD!$D$4</f>
        <v>Netherlands</v>
      </c>
      <c r="JZ27" s="452"/>
      <c r="KA27" s="452"/>
      <c r="KB27" s="453"/>
      <c r="KC27" s="449" t="str">
        <f ca="1" t="shared" si="324" ref="KC27:KC32">IF(($F27&lt;&gt;"")*($G27&lt;&gt;"")*(JZ27&lt;&gt;"")*(KA27&lt;&gt;""),($F27&gt;$G27)*(JZ27&gt;KA27)+($F27=$G27)*(JZ27=KA27)+($F27&lt;$G27)*(JZ27&lt;KA27),"")</f>
        <v/>
      </c>
      <c r="KD27" s="449" t="str">
        <f ca="1">IF((KC27&lt;&gt;""),IF(OR($F27&lt;&gt;$G27,PrSettings!$M$4="●"),(($F27-$G27)=(JZ27-KA27))*1,0),"")</f>
        <v/>
      </c>
      <c r="KE27" s="449" t="str">
        <f ca="1" t="shared" si="325" ref="KE27:KE32">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ca="1" t="shared" si="326" ref="KK27:KK32">$D27</f>
        <v>12</v>
      </c>
      <c r="KL27" s="448" t="str">
        <f ca="1">GrpD!$D$4</f>
        <v>Netherlands</v>
      </c>
      <c r="KM27" s="452"/>
      <c r="KN27" s="452"/>
      <c r="KO27" s="453"/>
      <c r="KP27" s="449" t="str">
        <f ca="1" t="shared" si="327" ref="KP27:KP32">IF(($F27&lt;&gt;"")*($G27&lt;&gt;"")*(KM27&lt;&gt;"")*(KN27&lt;&gt;""),($F27&gt;$G27)*(KM27&gt;KN27)+($F27=$G27)*(KM27=KN27)+($F27&lt;$G27)*(KM27&lt;KN27),"")</f>
        <v/>
      </c>
      <c r="KQ27" s="449" t="str">
        <f ca="1">IF((KP27&lt;&gt;""),IF(OR($F27&lt;&gt;$G27,PrSettings!$M$4="●"),(($F27-$G27)=(KM27-KN27))*1,0),"")</f>
        <v/>
      </c>
      <c r="KR27" s="449" t="str">
        <f ca="1" t="shared" si="328" ref="KR27:KR32">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ca="1" t="shared" si="329" ref="KX27:KX32">$D27</f>
        <v>12</v>
      </c>
      <c r="KY27" s="448" t="str">
        <f ca="1">GrpD!$D$4</f>
        <v>Netherlands</v>
      </c>
      <c r="KZ27" s="452"/>
      <c r="LA27" s="452"/>
      <c r="LB27" s="453"/>
      <c r="LC27" s="449" t="str">
        <f ca="1" t="shared" si="330" ref="LC27:LC32">IF(($F27&lt;&gt;"")*($G27&lt;&gt;"")*(KZ27&lt;&gt;"")*(LA27&lt;&gt;""),($F27&gt;$G27)*(KZ27&gt;LA27)+($F27=$G27)*(KZ27=LA27)+($F27&lt;$G27)*(KZ27&lt;LA27),"")</f>
        <v/>
      </c>
      <c r="LD27" s="449" t="str">
        <f ca="1">IF((LC27&lt;&gt;""),IF(OR($F27&lt;&gt;$G27,PrSettings!$M$4="●"),(($F27-$G27)=(KZ27-LA27))*1,0),"")</f>
        <v/>
      </c>
      <c r="LE27" s="449" t="str">
        <f ca="1" t="shared" si="331" ref="LE27:LE32">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ca="1" t="shared" si="332" ref="LK27:LK32">$D27</f>
        <v>12</v>
      </c>
      <c r="LL27" s="448" t="str">
        <f ca="1">GrpD!$D$4</f>
        <v>Netherlands</v>
      </c>
      <c r="LM27" s="452"/>
      <c r="LN27" s="452"/>
      <c r="LO27" s="453"/>
      <c r="LP27" s="449" t="str">
        <f ca="1" t="shared" si="333" ref="LP27:LP32">IF(($F27&lt;&gt;"")*($G27&lt;&gt;"")*(LM27&lt;&gt;"")*(LN27&lt;&gt;""),($F27&gt;$G27)*(LM27&gt;LN27)+($F27=$G27)*(LM27=LN27)+($F27&lt;$G27)*(LM27&lt;LN27),"")</f>
        <v/>
      </c>
      <c r="LQ27" s="449" t="str">
        <f ca="1">IF((LP27&lt;&gt;""),IF(OR($F27&lt;&gt;$G27,PrSettings!$M$4="●"),(($F27-$G27)=(LM27-LN27))*1,0),"")</f>
        <v/>
      </c>
      <c r="LR27" s="449" t="str">
        <f ca="1" t="shared" si="334" ref="LR27:LR32">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ca="1" t="shared" si="335" ref="LX27:LX32">$D27</f>
        <v>12</v>
      </c>
      <c r="LY27" s="448" t="str">
        <f ca="1">GrpD!$D$4</f>
        <v>Netherlands</v>
      </c>
      <c r="LZ27" s="452"/>
      <c r="MA27" s="452"/>
      <c r="MB27" s="453"/>
      <c r="MC27" s="449" t="str">
        <f ca="1" t="shared" si="336" ref="MC27:MC32">IF(($F27&lt;&gt;"")*($G27&lt;&gt;"")*(LZ27&lt;&gt;"")*(MA27&lt;&gt;""),($F27&gt;$G27)*(LZ27&gt;MA27)+($F27=$G27)*(LZ27=MA27)+($F27&lt;$G27)*(LZ27&lt;MA27),"")</f>
        <v/>
      </c>
      <c r="MD27" s="449" t="str">
        <f ca="1">IF((MC27&lt;&gt;""),IF(OR($F27&lt;&gt;$G27,PrSettings!$M$4="●"),(($F27-$G27)=(LZ27-MA27))*1,0),"")</f>
        <v/>
      </c>
      <c r="ME27" s="449" t="str">
        <f ca="1" t="shared" si="337" ref="ME27:ME32">IF((MC27&lt;&gt;""),($F27=LZ27)*($G27=MA27),"")</f>
        <v/>
      </c>
      <c r="MF27" s="449" t="str">
        <f ca="1">IF(MC27&lt;&gt;"",IF(ABS($F27-$G27)&gt;=PrSettings!$M$7,(ABS($F27-$G27-LZ27+MA27)&lt;=1)*1,IF(AND(MC27,$F27=$G27,$F27&gt;=PrSettings!$M$6),(ABS(LZ27-$F27)&lt;=1)*1,IF(AND(ABS($F27-$G27-LZ27+MA27)&lt;=1,$F27+$G27&gt;=PrSettings!$M$8),(ABS(LZ27-$F27)&lt;=1)*(ABS(MA27-$G27)&lt;=1)*1,""))),"")</f>
        <v/>
      </c>
      <c r="MG27" s="454"/>
    </row>
    <row r="28" spans="2:345" ht="15.5">
      <c r="B28" s="447">
        <f ca="1">INDEX(Groups!$C$7:$C$35,MATCH(C28,Groups!$D$7:$D$35,0))</f>
        <v>11</v>
      </c>
      <c r="C28" s="448" t="str">
        <f ca="1">GrpD!$B$5</f>
        <v>Austria</v>
      </c>
      <c r="D28" s="449">
        <f ca="1">INDEX(Groups!$C$7:$C$35,MATCH(E28,Groups!$D$7:$D$35,0))</f>
        <v>2</v>
      </c>
      <c r="E28" s="448" t="str">
        <f ca="1">GrpD!$D$5</f>
        <v>France</v>
      </c>
      <c r="F28" s="450">
        <f ca="1">GrpD!$E$5</f>
        <v>0</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ht="15.5">
      <c r="B29" s="447">
        <f ca="1">INDEX(Groups!$C$7:$C$35,MATCH(C29,Groups!$D$7:$D$35,0))</f>
        <v>26</v>
      </c>
      <c r="C29" s="448" t="str">
        <f ca="1">GrpD!$B$6</f>
        <v>Poland</v>
      </c>
      <c r="D29" s="449">
        <f ca="1">INDEX(Groups!$C$7:$C$35,MATCH(E29,Groups!$D$7:$D$35,0))</f>
        <v>11</v>
      </c>
      <c r="E29" s="448" t="str">
        <f ca="1">GrpD!$D$6</f>
        <v>Austria</v>
      </c>
      <c r="F29" s="450">
        <f ca="1">GrpD!$E$6</f>
        <v>2</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ht="15.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ht="15.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ht="15.5">
      <c r="B32" s="447">
        <f ca="1">INDEX(Groups!$C$7:$C$35,MATCH(C32,Groups!$D$7:$D$35,0))</f>
        <v>2</v>
      </c>
      <c r="C32" s="448" t="str">
        <f ca="1">GrpD!$B$9</f>
        <v>France</v>
      </c>
      <c r="D32" s="449">
        <f ca="1">INDEX(Groups!$C$7:$C$35,MATCH(E32,Groups!$D$7:$D$35,0))</f>
        <v>26</v>
      </c>
      <c r="E32" s="448" t="str">
        <f ca="1">GrpD!$D$9</f>
        <v>Poland</v>
      </c>
      <c r="F32" s="450">
        <f ca="1">GrpD!$E$9</f>
        <v>4</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2: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2:345" ht="15.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ca="1" t="shared" si="338" ref="I34:I47">$B34</f>
        <v>8</v>
      </c>
      <c r="J34" s="448" t="str">
        <f ca="1">GrpE!$B$4</f>
        <v>Romania</v>
      </c>
      <c r="K34" s="449">
        <f ca="1" t="shared" si="339" ref="K34:K39">$D34</f>
        <v>21</v>
      </c>
      <c r="L34" s="448" t="str">
        <f ca="1">GrpE!$D$4</f>
        <v>Ukraine</v>
      </c>
      <c r="M34" s="452"/>
      <c r="N34" s="452"/>
      <c r="O34" s="453"/>
      <c r="P34" s="449" t="str">
        <f ca="1" t="shared" si="340" ref="P34:P39">IF(($F34&lt;&gt;"")*($G34&lt;&gt;"")*(M34&lt;&gt;"")*(N34&lt;&gt;""),($F34&gt;$G34)*(M34&gt;N34)+($F34=$G34)*(M34=N34)+($F34&lt;$G34)*(M34&lt;N34),"")</f>
        <v/>
      </c>
      <c r="Q34" s="449" t="str">
        <f ca="1">IF((P34&lt;&gt;""),IF(OR($F34&lt;&gt;$G34,PrSettings!$M$4="●"),(($F34-$G34)=(M34-N34))*1,0),"")</f>
        <v/>
      </c>
      <c r="R34" s="449" t="str">
        <f ca="1" t="shared" si="341" ref="R34:R39">IF((P34&lt;&gt;""),($F34=M34)*($G34=N34),"")</f>
        <v/>
      </c>
      <c r="S34" s="449" t="str">
        <f ca="1">IF(P34&lt;&gt;"",IF(ABS($F34-$G34)&gt;=PrSettings!$M$7,(ABS($F34-$G34-M34+N34)&lt;=1)*1,IF(AND(P34,$F34=$G34,$F34&gt;=PrSettings!$M$6),(ABS(M34-$F34)&lt;=1)*1,IF(AND(ABS($F34-$G34-M34+N34)&lt;=1,$F34+$G34&gt;=PrSettings!$M$8),(ABS(M34-$F34)&lt;=1)*(ABS(N34-$G34)&lt;=1)*1,""))),"")</f>
        <v/>
      </c>
      <c r="T34" s="454"/>
      <c r="V34" s="447">
        <f ca="1" t="shared" si="342" ref="V34:V47">$B34</f>
        <v>8</v>
      </c>
      <c r="W34" s="448" t="str">
        <f ca="1">GrpE!$B$4</f>
        <v>Romania</v>
      </c>
      <c r="X34" s="449">
        <f ca="1" t="shared" si="343" ref="X34:X39">$D34</f>
        <v>21</v>
      </c>
      <c r="Y34" s="448" t="str">
        <f ca="1">GrpE!$D$4</f>
        <v>Ukraine</v>
      </c>
      <c r="Z34" s="452"/>
      <c r="AA34" s="452"/>
      <c r="AB34" s="453"/>
      <c r="AC34" s="449" t="str">
        <f ca="1" t="shared" si="344" ref="AC34:AC39">IF(($F34&lt;&gt;"")*($G34&lt;&gt;"")*(Z34&lt;&gt;"")*(AA34&lt;&gt;""),($F34&gt;$G34)*(Z34&gt;AA34)+($F34=$G34)*(Z34=AA34)+($F34&lt;$G34)*(Z34&lt;AA34),"")</f>
        <v/>
      </c>
      <c r="AD34" s="449" t="str">
        <f ca="1">IF((AC34&lt;&gt;""),IF(OR($F34&lt;&gt;$G34,PrSettings!$M$4="●"),(($F34-$G34)=(Z34-AA34))*1,0),"")</f>
        <v/>
      </c>
      <c r="AE34" s="449" t="str">
        <f ca="1" t="shared" si="345" ref="AE34:AE39">IF((AC34&lt;&gt;""),($F34=Z34)*($G34=AA34),"")</f>
        <v/>
      </c>
      <c r="AF34" s="449" t="str">
        <f ca="1">IF(AC34&lt;&gt;"",IF(ABS($F34-$G34)&gt;=PrSettings!$M$7,(ABS($F34-$G34-Z34+AA34)&lt;=1)*1,IF(AND(AC34,$F34=$G34,$F34&gt;=PrSettings!$M$6),(ABS(Z34-$F34)&lt;=1)*1,IF(AND(ABS($F34-$G34-Z34+AA34)&lt;=1,$F34+$G34&gt;=PrSettings!$M$8),(ABS(Z34-$F34)&lt;=1)*(ABS(AA34-$G34)&lt;=1)*1,""))),"")</f>
        <v/>
      </c>
      <c r="AG34" s="454"/>
      <c r="AI34" s="447">
        <f ca="1" t="shared" si="346" ref="AI34:AI47">$B34</f>
        <v>8</v>
      </c>
      <c r="AJ34" s="448" t="str">
        <f ca="1">GrpE!$B$4</f>
        <v>Romania</v>
      </c>
      <c r="AK34" s="449">
        <f ca="1" t="shared" si="347" ref="AK34:AK39">$D34</f>
        <v>21</v>
      </c>
      <c r="AL34" s="448" t="str">
        <f ca="1">GrpE!$D$4</f>
        <v>Ukraine</v>
      </c>
      <c r="AM34" s="452"/>
      <c r="AN34" s="452"/>
      <c r="AO34" s="453"/>
      <c r="AP34" s="449" t="str">
        <f ca="1" t="shared" si="348" ref="AP34:AP39">IF(($F34&lt;&gt;"")*($G34&lt;&gt;"")*(AM34&lt;&gt;"")*(AN34&lt;&gt;""),($F34&gt;$G34)*(AM34&gt;AN34)+($F34=$G34)*(AM34=AN34)+($F34&lt;$G34)*(AM34&lt;AN34),"")</f>
        <v/>
      </c>
      <c r="AQ34" s="449" t="str">
        <f ca="1">IF((AP34&lt;&gt;""),IF(OR($F34&lt;&gt;$G34,PrSettings!$M$4="●"),(($F34-$G34)=(AM34-AN34))*1,0),"")</f>
        <v/>
      </c>
      <c r="AR34" s="449" t="str">
        <f ca="1" t="shared" si="349" ref="AR34:AR39">IF((AP34&lt;&gt;""),($F34=AM34)*($G34=AN34),"")</f>
        <v/>
      </c>
      <c r="AS34" s="449" t="str">
        <f ca="1">IF(AP34&lt;&gt;"",IF(ABS($F34-$G34)&gt;=PrSettings!$M$7,(ABS($F34-$G34-AM34+AN34)&lt;=1)*1,IF(AND(AP34,$F34=$G34,$F34&gt;=PrSettings!$M$6),(ABS(AM34-$F34)&lt;=1)*1,IF(AND(ABS($F34-$G34-AM34+AN34)&lt;=1,$F34+$G34&gt;=PrSettings!$M$8),(ABS(AM34-$F34)&lt;=1)*(ABS(AN34-$G34)&lt;=1)*1,""))),"")</f>
        <v/>
      </c>
      <c r="AT34" s="454"/>
      <c r="AV34" s="447">
        <f ca="1" t="shared" si="350" ref="AV34:AV47">$B34</f>
        <v>8</v>
      </c>
      <c r="AW34" s="448" t="str">
        <f ca="1">GrpE!$B$4</f>
        <v>Romania</v>
      </c>
      <c r="AX34" s="449">
        <f ca="1" t="shared" si="351" ref="AX34:AX39">$D34</f>
        <v>21</v>
      </c>
      <c r="AY34" s="448" t="str">
        <f ca="1">GrpE!$D$4</f>
        <v>Ukraine</v>
      </c>
      <c r="AZ34" s="452"/>
      <c r="BA34" s="452"/>
      <c r="BB34" s="453"/>
      <c r="BC34" s="449" t="str">
        <f ca="1" t="shared" si="352" ref="BC34:BC39">IF(($F34&lt;&gt;"")*($G34&lt;&gt;"")*(AZ34&lt;&gt;"")*(BA34&lt;&gt;""),($F34&gt;$G34)*(AZ34&gt;BA34)+($F34=$G34)*(AZ34=BA34)+($F34&lt;$G34)*(AZ34&lt;BA34),"")</f>
        <v/>
      </c>
      <c r="BD34" s="449" t="str">
        <f ca="1">IF((BC34&lt;&gt;""),IF(OR($F34&lt;&gt;$G34,PrSettings!$M$4="●"),(($F34-$G34)=(AZ34-BA34))*1,0),"")</f>
        <v/>
      </c>
      <c r="BE34" s="449" t="str">
        <f ca="1" t="shared" si="353" ref="BE34:BE39">IF((BC34&lt;&gt;""),($F34=AZ34)*($G34=BA34),"")</f>
        <v/>
      </c>
      <c r="BF34" s="449" t="str">
        <f ca="1">IF(BC34&lt;&gt;"",IF(ABS($F34-$G34)&gt;=PrSettings!$M$7,(ABS($F34-$G34-AZ34+BA34)&lt;=1)*1,IF(AND(BC34,$F34=$G34,$F34&gt;=PrSettings!$M$6),(ABS(AZ34-$F34)&lt;=1)*1,IF(AND(ABS($F34-$G34-AZ34+BA34)&lt;=1,$F34+$G34&gt;=PrSettings!$M$8),(ABS(AZ34-$F34)&lt;=1)*(ABS(BA34-$G34)&lt;=1)*1,""))),"")</f>
        <v/>
      </c>
      <c r="BG34" s="454"/>
      <c r="BI34" s="447">
        <f ca="1" t="shared" si="354" ref="BI34:BI47">$B34</f>
        <v>8</v>
      </c>
      <c r="BJ34" s="448" t="str">
        <f ca="1">GrpE!$B$4</f>
        <v>Romania</v>
      </c>
      <c r="BK34" s="449">
        <f ca="1" t="shared" si="355" ref="BK34:BK39">$D34</f>
        <v>21</v>
      </c>
      <c r="BL34" s="448" t="str">
        <f ca="1">GrpE!$D$4</f>
        <v>Ukraine</v>
      </c>
      <c r="BM34" s="452"/>
      <c r="BN34" s="452"/>
      <c r="BO34" s="453"/>
      <c r="BP34" s="449" t="str">
        <f ca="1" t="shared" si="356" ref="BP34:BP39">IF(($F34&lt;&gt;"")*($G34&lt;&gt;"")*(BM34&lt;&gt;"")*(BN34&lt;&gt;""),($F34&gt;$G34)*(BM34&gt;BN34)+($F34=$G34)*(BM34=BN34)+($F34&lt;$G34)*(BM34&lt;BN34),"")</f>
        <v/>
      </c>
      <c r="BQ34" s="449" t="str">
        <f ca="1">IF((BP34&lt;&gt;""),IF(OR($F34&lt;&gt;$G34,PrSettings!$M$4="●"),(($F34-$G34)=(BM34-BN34))*1,0),"")</f>
        <v/>
      </c>
      <c r="BR34" s="449" t="str">
        <f ca="1" t="shared" si="357" ref="BR34:BR39">IF((BP34&lt;&gt;""),($F34=BM34)*($G34=BN34),"")</f>
        <v/>
      </c>
      <c r="BS34" s="449" t="str">
        <f ca="1">IF(BP34&lt;&gt;"",IF(ABS($F34-$G34)&gt;=PrSettings!$M$7,(ABS($F34-$G34-BM34+BN34)&lt;=1)*1,IF(AND(BP34,$F34=$G34,$F34&gt;=PrSettings!$M$6),(ABS(BM34-$F34)&lt;=1)*1,IF(AND(ABS($F34-$G34-BM34+BN34)&lt;=1,$F34+$G34&gt;=PrSettings!$M$8),(ABS(BM34-$F34)&lt;=1)*(ABS(BN34-$G34)&lt;=1)*1,""))),"")</f>
        <v/>
      </c>
      <c r="BT34" s="454"/>
      <c r="BV34" s="447">
        <f ca="1" t="shared" si="358" ref="BV34:BV47">$B34</f>
        <v>8</v>
      </c>
      <c r="BW34" s="448" t="str">
        <f ca="1">GrpE!$B$4</f>
        <v>Romania</v>
      </c>
      <c r="BX34" s="449">
        <f ca="1" t="shared" si="359" ref="BX34:BX39">$D34</f>
        <v>21</v>
      </c>
      <c r="BY34" s="448" t="str">
        <f ca="1">GrpE!$D$4</f>
        <v>Ukraine</v>
      </c>
      <c r="BZ34" s="452"/>
      <c r="CA34" s="452"/>
      <c r="CB34" s="453"/>
      <c r="CC34" s="449" t="str">
        <f ca="1" t="shared" si="360" ref="CC34:CC39">IF(($F34&lt;&gt;"")*($G34&lt;&gt;"")*(BZ34&lt;&gt;"")*(CA34&lt;&gt;""),($F34&gt;$G34)*(BZ34&gt;CA34)+($F34=$G34)*(BZ34=CA34)+($F34&lt;$G34)*(BZ34&lt;CA34),"")</f>
        <v/>
      </c>
      <c r="CD34" s="449" t="str">
        <f ca="1">IF((CC34&lt;&gt;""),IF(OR($F34&lt;&gt;$G34,PrSettings!$M$4="●"),(($F34-$G34)=(BZ34-CA34))*1,0),"")</f>
        <v/>
      </c>
      <c r="CE34" s="449" t="str">
        <f ca="1" t="shared" si="361" ref="CE34:CE39">IF((CC34&lt;&gt;""),($F34=BZ34)*($G34=CA34),"")</f>
        <v/>
      </c>
      <c r="CF34" s="449" t="str">
        <f ca="1">IF(CC34&lt;&gt;"",IF(ABS($F34-$G34)&gt;=PrSettings!$M$7,(ABS($F34-$G34-BZ34+CA34)&lt;=1)*1,IF(AND(CC34,$F34=$G34,$F34&gt;=PrSettings!$M$6),(ABS(BZ34-$F34)&lt;=1)*1,IF(AND(ABS($F34-$G34-BZ34+CA34)&lt;=1,$F34+$G34&gt;=PrSettings!$M$8),(ABS(BZ34-$F34)&lt;=1)*(ABS(CA34-$G34)&lt;=1)*1,""))),"")</f>
        <v/>
      </c>
      <c r="CG34" s="454"/>
      <c r="CI34" s="447">
        <f ca="1" t="shared" si="362" ref="CI34:CI47">$B34</f>
        <v>8</v>
      </c>
      <c r="CJ34" s="448" t="str">
        <f ca="1">GrpE!$B$4</f>
        <v>Romania</v>
      </c>
      <c r="CK34" s="449">
        <f ca="1" t="shared" si="363" ref="CK34:CK39">$D34</f>
        <v>21</v>
      </c>
      <c r="CL34" s="448" t="str">
        <f ca="1">GrpE!$D$4</f>
        <v>Ukraine</v>
      </c>
      <c r="CM34" s="452"/>
      <c r="CN34" s="452"/>
      <c r="CO34" s="453"/>
      <c r="CP34" s="449" t="str">
        <f ca="1" t="shared" si="364" ref="CP34:CP39">IF(($F34&lt;&gt;"")*($G34&lt;&gt;"")*(CM34&lt;&gt;"")*(CN34&lt;&gt;""),($F34&gt;$G34)*(CM34&gt;CN34)+($F34=$G34)*(CM34=CN34)+($F34&lt;$G34)*(CM34&lt;CN34),"")</f>
        <v/>
      </c>
      <c r="CQ34" s="449" t="str">
        <f ca="1">IF((CP34&lt;&gt;""),IF(OR($F34&lt;&gt;$G34,PrSettings!$M$4="●"),(($F34-$G34)=(CM34-CN34))*1,0),"")</f>
        <v/>
      </c>
      <c r="CR34" s="449" t="str">
        <f ca="1" t="shared" si="365" ref="CR34:CR39">IF((CP34&lt;&gt;""),($F34=CM34)*($G34=CN34),"")</f>
        <v/>
      </c>
      <c r="CS34" s="449" t="str">
        <f ca="1">IF(CP34&lt;&gt;"",IF(ABS($F34-$G34)&gt;=PrSettings!$M$7,(ABS($F34-$G34-CM34+CN34)&lt;=1)*1,IF(AND(CP34,$F34=$G34,$F34&gt;=PrSettings!$M$6),(ABS(CM34-$F34)&lt;=1)*1,IF(AND(ABS($F34-$G34-CM34+CN34)&lt;=1,$F34+$G34&gt;=PrSettings!$M$8),(ABS(CM34-$F34)&lt;=1)*(ABS(CN34-$G34)&lt;=1)*1,""))),"")</f>
        <v/>
      </c>
      <c r="CT34" s="454"/>
      <c r="CV34" s="447">
        <f ca="1" t="shared" si="366" ref="CV34:CV47">$B34</f>
        <v>8</v>
      </c>
      <c r="CW34" s="448" t="str">
        <f ca="1">GrpE!$B$4</f>
        <v>Romania</v>
      </c>
      <c r="CX34" s="449">
        <f ca="1" t="shared" si="367" ref="CX34:CX39">$D34</f>
        <v>21</v>
      </c>
      <c r="CY34" s="448" t="str">
        <f ca="1">GrpE!$D$4</f>
        <v>Ukraine</v>
      </c>
      <c r="CZ34" s="452"/>
      <c r="DA34" s="452"/>
      <c r="DB34" s="453"/>
      <c r="DC34" s="449" t="str">
        <f ca="1" t="shared" si="368" ref="DC34:DC39">IF(($F34&lt;&gt;"")*($G34&lt;&gt;"")*(CZ34&lt;&gt;"")*(DA34&lt;&gt;""),($F34&gt;$G34)*(CZ34&gt;DA34)+($F34=$G34)*(CZ34=DA34)+($F34&lt;$G34)*(CZ34&lt;DA34),"")</f>
        <v/>
      </c>
      <c r="DD34" s="449" t="str">
        <f ca="1">IF((DC34&lt;&gt;""),IF(OR($F34&lt;&gt;$G34,PrSettings!$M$4="●"),(($F34-$G34)=(CZ34-DA34))*1,0),"")</f>
        <v/>
      </c>
      <c r="DE34" s="449" t="str">
        <f ca="1" t="shared" si="369" ref="DE34:DE39">IF((DC34&lt;&gt;""),($F34=CZ34)*($G34=DA34),"")</f>
        <v/>
      </c>
      <c r="DF34" s="449" t="str">
        <f ca="1">IF(DC34&lt;&gt;"",IF(ABS($F34-$G34)&gt;=PrSettings!$M$7,(ABS($F34-$G34-CZ34+DA34)&lt;=1)*1,IF(AND(DC34,$F34=$G34,$F34&gt;=PrSettings!$M$6),(ABS(CZ34-$F34)&lt;=1)*1,IF(AND(ABS($F34-$G34-CZ34+DA34)&lt;=1,$F34+$G34&gt;=PrSettings!$M$8),(ABS(CZ34-$F34)&lt;=1)*(ABS(DA34-$G34)&lt;=1)*1,""))),"")</f>
        <v/>
      </c>
      <c r="DG34" s="454"/>
      <c r="DI34" s="447">
        <f ca="1" t="shared" si="370" ref="DI34:DI47">$B34</f>
        <v>8</v>
      </c>
      <c r="DJ34" s="448" t="str">
        <f ca="1">GrpE!$B$4</f>
        <v>Romania</v>
      </c>
      <c r="DK34" s="449">
        <f ca="1" t="shared" si="371" ref="DK34:DK39">$D34</f>
        <v>21</v>
      </c>
      <c r="DL34" s="448" t="str">
        <f ca="1">GrpE!$D$4</f>
        <v>Ukraine</v>
      </c>
      <c r="DM34" s="452"/>
      <c r="DN34" s="452"/>
      <c r="DO34" s="453"/>
      <c r="DP34" s="449" t="str">
        <f ca="1" t="shared" si="372" ref="DP34:DP39">IF(($F34&lt;&gt;"")*($G34&lt;&gt;"")*(DM34&lt;&gt;"")*(DN34&lt;&gt;""),($F34&gt;$G34)*(DM34&gt;DN34)+($F34=$G34)*(DM34=DN34)+($F34&lt;$G34)*(DM34&lt;DN34),"")</f>
        <v/>
      </c>
      <c r="DQ34" s="449" t="str">
        <f ca="1">IF((DP34&lt;&gt;""),IF(OR($F34&lt;&gt;$G34,PrSettings!$M$4="●"),(($F34-$G34)=(DM34-DN34))*1,0),"")</f>
        <v/>
      </c>
      <c r="DR34" s="449" t="str">
        <f ca="1" t="shared" si="373" ref="DR34:DR39">IF((DP34&lt;&gt;""),($F34=DM34)*($G34=DN34),"")</f>
        <v/>
      </c>
      <c r="DS34" s="449" t="str">
        <f ca="1">IF(DP34&lt;&gt;"",IF(ABS($F34-$G34)&gt;=PrSettings!$M$7,(ABS($F34-$G34-DM34+DN34)&lt;=1)*1,IF(AND(DP34,$F34=$G34,$F34&gt;=PrSettings!$M$6),(ABS(DM34-$F34)&lt;=1)*1,IF(AND(ABS($F34-$G34-DM34+DN34)&lt;=1,$F34+$G34&gt;=PrSettings!$M$8),(ABS(DM34-$F34)&lt;=1)*(ABS(DN34-$G34)&lt;=1)*1,""))),"")</f>
        <v/>
      </c>
      <c r="DT34" s="454"/>
      <c r="DV34" s="447">
        <f ca="1" t="shared" si="374" ref="DV34:DV47">$B34</f>
        <v>8</v>
      </c>
      <c r="DW34" s="448" t="str">
        <f ca="1">GrpE!$B$4</f>
        <v>Romania</v>
      </c>
      <c r="DX34" s="449">
        <f ca="1" t="shared" si="375" ref="DX34:DX39">$D34</f>
        <v>21</v>
      </c>
      <c r="DY34" s="448" t="str">
        <f ca="1">GrpE!$D$4</f>
        <v>Ukraine</v>
      </c>
      <c r="DZ34" s="452"/>
      <c r="EA34" s="452"/>
      <c r="EB34" s="453"/>
      <c r="EC34" s="449" t="str">
        <f ca="1" t="shared" si="376" ref="EC34:EC39">IF(($F34&lt;&gt;"")*($G34&lt;&gt;"")*(DZ34&lt;&gt;"")*(EA34&lt;&gt;""),($F34&gt;$G34)*(DZ34&gt;EA34)+($F34=$G34)*(DZ34=EA34)+($F34&lt;$G34)*(DZ34&lt;EA34),"")</f>
        <v/>
      </c>
      <c r="ED34" s="449" t="str">
        <f ca="1">IF((EC34&lt;&gt;""),IF(OR($F34&lt;&gt;$G34,PrSettings!$M$4="●"),(($F34-$G34)=(DZ34-EA34))*1,0),"")</f>
        <v/>
      </c>
      <c r="EE34" s="449" t="str">
        <f ca="1" t="shared" si="377" ref="EE34:EE39">IF((EC34&lt;&gt;""),($F34=DZ34)*($G34=EA34),"")</f>
        <v/>
      </c>
      <c r="EF34" s="449" t="str">
        <f ca="1">IF(EC34&lt;&gt;"",IF(ABS($F34-$G34)&gt;=PrSettings!$M$7,(ABS($F34-$G34-DZ34+EA34)&lt;=1)*1,IF(AND(EC34,$F34=$G34,$F34&gt;=PrSettings!$M$6),(ABS(DZ34-$F34)&lt;=1)*1,IF(AND(ABS($F34-$G34-DZ34+EA34)&lt;=1,$F34+$G34&gt;=PrSettings!$M$8),(ABS(DZ34-$F34)&lt;=1)*(ABS(EA34-$G34)&lt;=1)*1,""))),"")</f>
        <v/>
      </c>
      <c r="EG34" s="454"/>
      <c r="EI34" s="447">
        <f ca="1" t="shared" si="378" ref="EI34:EI47">$B34</f>
        <v>8</v>
      </c>
      <c r="EJ34" s="448" t="str">
        <f ca="1">GrpE!$B$4</f>
        <v>Romania</v>
      </c>
      <c r="EK34" s="449">
        <f ca="1" t="shared" si="379" ref="EK34:EK39">$D34</f>
        <v>21</v>
      </c>
      <c r="EL34" s="448" t="str">
        <f ca="1">GrpE!$D$4</f>
        <v>Ukraine</v>
      </c>
      <c r="EM34" s="452"/>
      <c r="EN34" s="452"/>
      <c r="EO34" s="453"/>
      <c r="EP34" s="449" t="str">
        <f ca="1" t="shared" si="380" ref="EP34:EP39">IF(($F34&lt;&gt;"")*($G34&lt;&gt;"")*(EM34&lt;&gt;"")*(EN34&lt;&gt;""),($F34&gt;$G34)*(EM34&gt;EN34)+($F34=$G34)*(EM34=EN34)+($F34&lt;$G34)*(EM34&lt;EN34),"")</f>
        <v/>
      </c>
      <c r="EQ34" s="449" t="str">
        <f ca="1">IF((EP34&lt;&gt;""),IF(OR($F34&lt;&gt;$G34,PrSettings!$M$4="●"),(($F34-$G34)=(EM34-EN34))*1,0),"")</f>
        <v/>
      </c>
      <c r="ER34" s="449" t="str">
        <f ca="1" t="shared" si="381" ref="ER34:ER39">IF((EP34&lt;&gt;""),($F34=EM34)*($G34=EN34),"")</f>
        <v/>
      </c>
      <c r="ES34" s="449" t="str">
        <f ca="1">IF(EP34&lt;&gt;"",IF(ABS($F34-$G34)&gt;=PrSettings!$M$7,(ABS($F34-$G34-EM34+EN34)&lt;=1)*1,IF(AND(EP34,$F34=$G34,$F34&gt;=PrSettings!$M$6),(ABS(EM34-$F34)&lt;=1)*1,IF(AND(ABS($F34-$G34-EM34+EN34)&lt;=1,$F34+$G34&gt;=PrSettings!$M$8),(ABS(EM34-$F34)&lt;=1)*(ABS(EN34-$G34)&lt;=1)*1,""))),"")</f>
        <v/>
      </c>
      <c r="ET34" s="454"/>
      <c r="EV34" s="447">
        <f ca="1" t="shared" si="382" ref="EV34:EV47">$B34</f>
        <v>8</v>
      </c>
      <c r="EW34" s="448" t="str">
        <f ca="1">GrpE!$B$4</f>
        <v>Romania</v>
      </c>
      <c r="EX34" s="449">
        <f ca="1" t="shared" si="383" ref="EX34:EX39">$D34</f>
        <v>21</v>
      </c>
      <c r="EY34" s="448" t="str">
        <f ca="1">GrpE!$D$4</f>
        <v>Ukraine</v>
      </c>
      <c r="EZ34" s="452"/>
      <c r="FA34" s="452"/>
      <c r="FB34" s="453"/>
      <c r="FC34" s="449" t="str">
        <f ca="1" t="shared" si="384" ref="FC34:FC39">IF(($F34&lt;&gt;"")*($G34&lt;&gt;"")*(EZ34&lt;&gt;"")*(FA34&lt;&gt;""),($F34&gt;$G34)*(EZ34&gt;FA34)+($F34=$G34)*(EZ34=FA34)+($F34&lt;$G34)*(EZ34&lt;FA34),"")</f>
        <v/>
      </c>
      <c r="FD34" s="449" t="str">
        <f ca="1">IF((FC34&lt;&gt;""),IF(OR($F34&lt;&gt;$G34,PrSettings!$M$4="●"),(($F34-$G34)=(EZ34-FA34))*1,0),"")</f>
        <v/>
      </c>
      <c r="FE34" s="449" t="str">
        <f ca="1" t="shared" si="385" ref="FE34:FE39">IF((FC34&lt;&gt;""),($F34=EZ34)*($G34=FA34),"")</f>
        <v/>
      </c>
      <c r="FF34" s="449" t="str">
        <f ca="1">IF(FC34&lt;&gt;"",IF(ABS($F34-$G34)&gt;=PrSettings!$M$7,(ABS($F34-$G34-EZ34+FA34)&lt;=1)*1,IF(AND(FC34,$F34=$G34,$F34&gt;=PrSettings!$M$6),(ABS(EZ34-$F34)&lt;=1)*1,IF(AND(ABS($F34-$G34-EZ34+FA34)&lt;=1,$F34+$G34&gt;=PrSettings!$M$8),(ABS(EZ34-$F34)&lt;=1)*(ABS(FA34-$G34)&lt;=1)*1,""))),"")</f>
        <v/>
      </c>
      <c r="FG34" s="454"/>
      <c r="FI34" s="447">
        <f ca="1" t="shared" si="386" ref="FI34:FI47">$B34</f>
        <v>8</v>
      </c>
      <c r="FJ34" s="448" t="str">
        <f ca="1">GrpE!$B$4</f>
        <v>Romania</v>
      </c>
      <c r="FK34" s="449">
        <f ca="1" t="shared" si="387" ref="FK34:FK39">$D34</f>
        <v>21</v>
      </c>
      <c r="FL34" s="448" t="str">
        <f ca="1">GrpE!$D$4</f>
        <v>Ukraine</v>
      </c>
      <c r="FM34" s="452"/>
      <c r="FN34" s="452"/>
      <c r="FO34" s="453"/>
      <c r="FP34" s="449" t="str">
        <f ca="1" t="shared" si="388" ref="FP34:FP39">IF(($F34&lt;&gt;"")*($G34&lt;&gt;"")*(FM34&lt;&gt;"")*(FN34&lt;&gt;""),($F34&gt;$G34)*(FM34&gt;FN34)+($F34=$G34)*(FM34=FN34)+($F34&lt;$G34)*(FM34&lt;FN34),"")</f>
        <v/>
      </c>
      <c r="FQ34" s="449" t="str">
        <f ca="1">IF((FP34&lt;&gt;""),IF(OR($F34&lt;&gt;$G34,PrSettings!$M$4="●"),(($F34-$G34)=(FM34-FN34))*1,0),"")</f>
        <v/>
      </c>
      <c r="FR34" s="449" t="str">
        <f ca="1" t="shared" si="389" ref="FR34:FR39">IF((FP34&lt;&gt;""),($F34=FM34)*($G34=FN34),"")</f>
        <v/>
      </c>
      <c r="FS34" s="449" t="str">
        <f ca="1">IF(FP34&lt;&gt;"",IF(ABS($F34-$G34)&gt;=PrSettings!$M$7,(ABS($F34-$G34-FM34+FN34)&lt;=1)*1,IF(AND(FP34,$F34=$G34,$F34&gt;=PrSettings!$M$6),(ABS(FM34-$F34)&lt;=1)*1,IF(AND(ABS($F34-$G34-FM34+FN34)&lt;=1,$F34+$G34&gt;=PrSettings!$M$8),(ABS(FM34-$F34)&lt;=1)*(ABS(FN34-$G34)&lt;=1)*1,""))),"")</f>
        <v/>
      </c>
      <c r="FT34" s="454"/>
      <c r="FV34" s="447">
        <f ca="1" t="shared" si="390" ref="FV34:FV47">$B34</f>
        <v>8</v>
      </c>
      <c r="FW34" s="448" t="str">
        <f ca="1">GrpE!$B$4</f>
        <v>Romania</v>
      </c>
      <c r="FX34" s="449">
        <f ca="1" t="shared" si="391" ref="FX34:FX39">$D34</f>
        <v>21</v>
      </c>
      <c r="FY34" s="448" t="str">
        <f ca="1">GrpE!$D$4</f>
        <v>Ukraine</v>
      </c>
      <c r="FZ34" s="452"/>
      <c r="GA34" s="452"/>
      <c r="GB34" s="453"/>
      <c r="GC34" s="449" t="str">
        <f ca="1" t="shared" si="392" ref="GC34:GC39">IF(($F34&lt;&gt;"")*($G34&lt;&gt;"")*(FZ34&lt;&gt;"")*(GA34&lt;&gt;""),($F34&gt;$G34)*(FZ34&gt;GA34)+($F34=$G34)*(FZ34=GA34)+($F34&lt;$G34)*(FZ34&lt;GA34),"")</f>
        <v/>
      </c>
      <c r="GD34" s="449" t="str">
        <f ca="1">IF((GC34&lt;&gt;""),IF(OR($F34&lt;&gt;$G34,PrSettings!$M$4="●"),(($F34-$G34)=(FZ34-GA34))*1,0),"")</f>
        <v/>
      </c>
      <c r="GE34" s="449" t="str">
        <f ca="1" t="shared" si="393" ref="GE34:GE39">IF((GC34&lt;&gt;""),($F34=FZ34)*($G34=GA34),"")</f>
        <v/>
      </c>
      <c r="GF34" s="449" t="str">
        <f ca="1">IF(GC34&lt;&gt;"",IF(ABS($F34-$G34)&gt;=PrSettings!$M$7,(ABS($F34-$G34-FZ34+GA34)&lt;=1)*1,IF(AND(GC34,$F34=$G34,$F34&gt;=PrSettings!$M$6),(ABS(FZ34-$F34)&lt;=1)*1,IF(AND(ABS($F34-$G34-FZ34+GA34)&lt;=1,$F34+$G34&gt;=PrSettings!$M$8),(ABS(FZ34-$F34)&lt;=1)*(ABS(GA34-$G34)&lt;=1)*1,""))),"")</f>
        <v/>
      </c>
      <c r="GG34" s="454"/>
      <c r="GI34" s="447">
        <f ca="1" t="shared" si="394" ref="GI34:GI47">$B34</f>
        <v>8</v>
      </c>
      <c r="GJ34" s="448" t="str">
        <f ca="1">GrpE!$B$4</f>
        <v>Romania</v>
      </c>
      <c r="GK34" s="449">
        <f ca="1" t="shared" si="395" ref="GK34:GK39">$D34</f>
        <v>21</v>
      </c>
      <c r="GL34" s="448" t="str">
        <f ca="1">GrpE!$D$4</f>
        <v>Ukraine</v>
      </c>
      <c r="GM34" s="452"/>
      <c r="GN34" s="452"/>
      <c r="GO34" s="453"/>
      <c r="GP34" s="449" t="str">
        <f ca="1" t="shared" si="396" ref="GP34:GP39">IF(($F34&lt;&gt;"")*($G34&lt;&gt;"")*(GM34&lt;&gt;"")*(GN34&lt;&gt;""),($F34&gt;$G34)*(GM34&gt;GN34)+($F34=$G34)*(GM34=GN34)+($F34&lt;$G34)*(GM34&lt;GN34),"")</f>
        <v/>
      </c>
      <c r="GQ34" s="449" t="str">
        <f ca="1">IF((GP34&lt;&gt;""),IF(OR($F34&lt;&gt;$G34,PrSettings!$M$4="●"),(($F34-$G34)=(GM34-GN34))*1,0),"")</f>
        <v/>
      </c>
      <c r="GR34" s="449" t="str">
        <f ca="1" t="shared" si="397" ref="GR34:GR39">IF((GP34&lt;&gt;""),($F34=GM34)*($G34=GN34),"")</f>
        <v/>
      </c>
      <c r="GS34" s="449" t="str">
        <f ca="1">IF(GP34&lt;&gt;"",IF(ABS($F34-$G34)&gt;=PrSettings!$M$7,(ABS($F34-$G34-GM34+GN34)&lt;=1)*1,IF(AND(GP34,$F34=$G34,$F34&gt;=PrSettings!$M$6),(ABS(GM34-$F34)&lt;=1)*1,IF(AND(ABS($F34-$G34-GM34+GN34)&lt;=1,$F34+$G34&gt;=PrSettings!$M$8),(ABS(GM34-$F34)&lt;=1)*(ABS(GN34-$G34)&lt;=1)*1,""))),"")</f>
        <v/>
      </c>
      <c r="GT34" s="454"/>
      <c r="GV34" s="447">
        <f ca="1" t="shared" si="398" ref="GV34:GV47">$B34</f>
        <v>8</v>
      </c>
      <c r="GW34" s="448" t="str">
        <f ca="1">GrpE!$B$4</f>
        <v>Romania</v>
      </c>
      <c r="GX34" s="449">
        <f ca="1" t="shared" si="399" ref="GX34:GX39">$D34</f>
        <v>21</v>
      </c>
      <c r="GY34" s="448" t="str">
        <f ca="1">GrpE!$D$4</f>
        <v>Ukraine</v>
      </c>
      <c r="GZ34" s="452"/>
      <c r="HA34" s="452"/>
      <c r="HB34" s="453"/>
      <c r="HC34" s="449" t="str">
        <f ca="1" t="shared" si="400" ref="HC34:HC39">IF(($F34&lt;&gt;"")*($G34&lt;&gt;"")*(GZ34&lt;&gt;"")*(HA34&lt;&gt;""),($F34&gt;$G34)*(GZ34&gt;HA34)+($F34=$G34)*(GZ34=HA34)+($F34&lt;$G34)*(GZ34&lt;HA34),"")</f>
        <v/>
      </c>
      <c r="HD34" s="449" t="str">
        <f ca="1">IF((HC34&lt;&gt;""),IF(OR($F34&lt;&gt;$G34,PrSettings!$M$4="●"),(($F34-$G34)=(GZ34-HA34))*1,0),"")</f>
        <v/>
      </c>
      <c r="HE34" s="449" t="str">
        <f ca="1" t="shared" si="401" ref="HE34:HE39">IF((HC34&lt;&gt;""),($F34=GZ34)*($G34=HA34),"")</f>
        <v/>
      </c>
      <c r="HF34" s="449" t="str">
        <f ca="1">IF(HC34&lt;&gt;"",IF(ABS($F34-$G34)&gt;=PrSettings!$M$7,(ABS($F34-$G34-GZ34+HA34)&lt;=1)*1,IF(AND(HC34,$F34=$G34,$F34&gt;=PrSettings!$M$6),(ABS(GZ34-$F34)&lt;=1)*1,IF(AND(ABS($F34-$G34-GZ34+HA34)&lt;=1,$F34+$G34&gt;=PrSettings!$M$8),(ABS(GZ34-$F34)&lt;=1)*(ABS(HA34-$G34)&lt;=1)*1,""))),"")</f>
        <v/>
      </c>
      <c r="HG34" s="454"/>
      <c r="HI34" s="447">
        <f ca="1" t="shared" si="402" ref="HI34:HI47">$B34</f>
        <v>8</v>
      </c>
      <c r="HJ34" s="448" t="str">
        <f ca="1">GrpE!$B$4</f>
        <v>Romania</v>
      </c>
      <c r="HK34" s="449">
        <f ca="1" t="shared" si="403" ref="HK34:HK39">$D34</f>
        <v>21</v>
      </c>
      <c r="HL34" s="448" t="str">
        <f ca="1">GrpE!$D$4</f>
        <v>Ukraine</v>
      </c>
      <c r="HM34" s="452"/>
      <c r="HN34" s="452"/>
      <c r="HO34" s="453"/>
      <c r="HP34" s="449" t="str">
        <f ca="1" t="shared" si="404" ref="HP34:HP39">IF(($F34&lt;&gt;"")*($G34&lt;&gt;"")*(HM34&lt;&gt;"")*(HN34&lt;&gt;""),($F34&gt;$G34)*(HM34&gt;HN34)+($F34=$G34)*(HM34=HN34)+($F34&lt;$G34)*(HM34&lt;HN34),"")</f>
        <v/>
      </c>
      <c r="HQ34" s="449" t="str">
        <f ca="1">IF((HP34&lt;&gt;""),IF(OR($F34&lt;&gt;$G34,PrSettings!$M$4="●"),(($F34-$G34)=(HM34-HN34))*1,0),"")</f>
        <v/>
      </c>
      <c r="HR34" s="449" t="str">
        <f ca="1" t="shared" si="405" ref="HR34:HR39">IF((HP34&lt;&gt;""),($F34=HM34)*($G34=HN34),"")</f>
        <v/>
      </c>
      <c r="HS34" s="449" t="str">
        <f ca="1">IF(HP34&lt;&gt;"",IF(ABS($F34-$G34)&gt;=PrSettings!$M$7,(ABS($F34-$G34-HM34+HN34)&lt;=1)*1,IF(AND(HP34,$F34=$G34,$F34&gt;=PrSettings!$M$6),(ABS(HM34-$F34)&lt;=1)*1,IF(AND(ABS($F34-$G34-HM34+HN34)&lt;=1,$F34+$G34&gt;=PrSettings!$M$8),(ABS(HM34-$F34)&lt;=1)*(ABS(HN34-$G34)&lt;=1)*1,""))),"")</f>
        <v/>
      </c>
      <c r="HT34" s="454"/>
      <c r="HV34" s="447">
        <f ca="1" t="shared" si="406" ref="HV34:HV47">$B34</f>
        <v>8</v>
      </c>
      <c r="HW34" s="448" t="str">
        <f ca="1">GrpE!$B$4</f>
        <v>Romania</v>
      </c>
      <c r="HX34" s="449">
        <f ca="1" t="shared" si="407" ref="HX34:HX39">$D34</f>
        <v>21</v>
      </c>
      <c r="HY34" s="448" t="str">
        <f ca="1">GrpE!$D$4</f>
        <v>Ukraine</v>
      </c>
      <c r="HZ34" s="452"/>
      <c r="IA34" s="452"/>
      <c r="IB34" s="453"/>
      <c r="IC34" s="449" t="str">
        <f ca="1" t="shared" si="408" ref="IC34:IC39">IF(($F34&lt;&gt;"")*($G34&lt;&gt;"")*(HZ34&lt;&gt;"")*(IA34&lt;&gt;""),($F34&gt;$G34)*(HZ34&gt;IA34)+($F34=$G34)*(HZ34=IA34)+($F34&lt;$G34)*(HZ34&lt;IA34),"")</f>
        <v/>
      </c>
      <c r="ID34" s="449" t="str">
        <f ca="1">IF((IC34&lt;&gt;""),IF(OR($F34&lt;&gt;$G34,PrSettings!$M$4="●"),(($F34-$G34)=(HZ34-IA34))*1,0),"")</f>
        <v/>
      </c>
      <c r="IE34" s="449" t="str">
        <f ca="1" t="shared" si="409" ref="IE34:IE39">IF((IC34&lt;&gt;""),($F34=HZ34)*($G34=IA34),"")</f>
        <v/>
      </c>
      <c r="IF34" s="449" t="str">
        <f ca="1">IF(IC34&lt;&gt;"",IF(ABS($F34-$G34)&gt;=PrSettings!$M$7,(ABS($F34-$G34-HZ34+IA34)&lt;=1)*1,IF(AND(IC34,$F34=$G34,$F34&gt;=PrSettings!$M$6),(ABS(HZ34-$F34)&lt;=1)*1,IF(AND(ABS($F34-$G34-HZ34+IA34)&lt;=1,$F34+$G34&gt;=PrSettings!$M$8),(ABS(HZ34-$F34)&lt;=1)*(ABS(IA34-$G34)&lt;=1)*1,""))),"")</f>
        <v/>
      </c>
      <c r="IG34" s="454"/>
      <c r="II34" s="447">
        <f ca="1" t="shared" si="410" ref="II34:II47">$B34</f>
        <v>8</v>
      </c>
      <c r="IJ34" s="448" t="str">
        <f ca="1">GrpE!$B$4</f>
        <v>Romania</v>
      </c>
      <c r="IK34" s="449">
        <f ca="1" t="shared" si="411" ref="IK34:IK39">$D34</f>
        <v>21</v>
      </c>
      <c r="IL34" s="448" t="str">
        <f ca="1">GrpE!$D$4</f>
        <v>Ukraine</v>
      </c>
      <c r="IM34" s="452"/>
      <c r="IN34" s="452"/>
      <c r="IO34" s="453"/>
      <c r="IP34" s="449" t="str">
        <f ca="1" t="shared" si="412" ref="IP34:IP39">IF(($F34&lt;&gt;"")*($G34&lt;&gt;"")*(IM34&lt;&gt;"")*(IN34&lt;&gt;""),($F34&gt;$G34)*(IM34&gt;IN34)+($F34=$G34)*(IM34=IN34)+($F34&lt;$G34)*(IM34&lt;IN34),"")</f>
        <v/>
      </c>
      <c r="IQ34" s="449" t="str">
        <f ca="1">IF((IP34&lt;&gt;""),IF(OR($F34&lt;&gt;$G34,PrSettings!$M$4="●"),(($F34-$G34)=(IM34-IN34))*1,0),"")</f>
        <v/>
      </c>
      <c r="IR34" s="449" t="str">
        <f ca="1" t="shared" si="413" ref="IR34:IR39">IF((IP34&lt;&gt;""),($F34=IM34)*($G34=IN34),"")</f>
        <v/>
      </c>
      <c r="IS34" s="449" t="str">
        <f ca="1">IF(IP34&lt;&gt;"",IF(ABS($F34-$G34)&gt;=PrSettings!$M$7,(ABS($F34-$G34-IM34+IN34)&lt;=1)*1,IF(AND(IP34,$F34=$G34,$F34&gt;=PrSettings!$M$6),(ABS(IM34-$F34)&lt;=1)*1,IF(AND(ABS($F34-$G34-IM34+IN34)&lt;=1,$F34+$G34&gt;=PrSettings!$M$8),(ABS(IM34-$F34)&lt;=1)*(ABS(IN34-$G34)&lt;=1)*1,""))),"")</f>
        <v/>
      </c>
      <c r="IT34" s="454"/>
      <c r="IV34" s="447">
        <f ca="1" t="shared" si="414" ref="IV34:IV47">$B34</f>
        <v>8</v>
      </c>
      <c r="IW34" s="448" t="str">
        <f ca="1">GrpE!$B$4</f>
        <v>Romania</v>
      </c>
      <c r="IX34" s="449">
        <f ca="1" t="shared" si="415" ref="IX34:IX39">$D34</f>
        <v>21</v>
      </c>
      <c r="IY34" s="448" t="str">
        <f ca="1">GrpE!$D$4</f>
        <v>Ukraine</v>
      </c>
      <c r="IZ34" s="452"/>
      <c r="JA34" s="452"/>
      <c r="JB34" s="453"/>
      <c r="JC34" s="449" t="str">
        <f ca="1" t="shared" si="416" ref="JC34:JC39">IF(($F34&lt;&gt;"")*($G34&lt;&gt;"")*(IZ34&lt;&gt;"")*(JA34&lt;&gt;""),($F34&gt;$G34)*(IZ34&gt;JA34)+($F34=$G34)*(IZ34=JA34)+($F34&lt;$G34)*(IZ34&lt;JA34),"")</f>
        <v/>
      </c>
      <c r="JD34" s="449" t="str">
        <f ca="1">IF((JC34&lt;&gt;""),IF(OR($F34&lt;&gt;$G34,PrSettings!$M$4="●"),(($F34-$G34)=(IZ34-JA34))*1,0),"")</f>
        <v/>
      </c>
      <c r="JE34" s="449" t="str">
        <f ca="1" t="shared" si="417" ref="JE34:JE39">IF((JC34&lt;&gt;""),($F34=IZ34)*($G34=JA34),"")</f>
        <v/>
      </c>
      <c r="JF34" s="449" t="str">
        <f ca="1">IF(JC34&lt;&gt;"",IF(ABS($F34-$G34)&gt;=PrSettings!$M$7,(ABS($F34-$G34-IZ34+JA34)&lt;=1)*1,IF(AND(JC34,$F34=$G34,$F34&gt;=PrSettings!$M$6),(ABS(IZ34-$F34)&lt;=1)*1,IF(AND(ABS($F34-$G34-IZ34+JA34)&lt;=1,$F34+$G34&gt;=PrSettings!$M$8),(ABS(IZ34-$F34)&lt;=1)*(ABS(JA34-$G34)&lt;=1)*1,""))),"")</f>
        <v/>
      </c>
      <c r="JG34" s="454"/>
      <c r="JI34" s="447">
        <f ca="1" t="shared" si="418" ref="JI34:JI47">$B34</f>
        <v>8</v>
      </c>
      <c r="JJ34" s="448" t="str">
        <f ca="1">GrpE!$B$4</f>
        <v>Romania</v>
      </c>
      <c r="JK34" s="449">
        <f ca="1" t="shared" si="419" ref="JK34:JK39">$D34</f>
        <v>21</v>
      </c>
      <c r="JL34" s="448" t="str">
        <f ca="1">GrpE!$D$4</f>
        <v>Ukraine</v>
      </c>
      <c r="JM34" s="452"/>
      <c r="JN34" s="452"/>
      <c r="JO34" s="453"/>
      <c r="JP34" s="449" t="str">
        <f ca="1" t="shared" si="420" ref="JP34:JP39">IF(($F34&lt;&gt;"")*($G34&lt;&gt;"")*(JM34&lt;&gt;"")*(JN34&lt;&gt;""),($F34&gt;$G34)*(JM34&gt;JN34)+($F34=$G34)*(JM34=JN34)+($F34&lt;$G34)*(JM34&lt;JN34),"")</f>
        <v/>
      </c>
      <c r="JQ34" s="449" t="str">
        <f ca="1">IF((JP34&lt;&gt;""),IF(OR($F34&lt;&gt;$G34,PrSettings!$M$4="●"),(($F34-$G34)=(JM34-JN34))*1,0),"")</f>
        <v/>
      </c>
      <c r="JR34" s="449" t="str">
        <f ca="1" t="shared" si="421" ref="JR34:JR39">IF((JP34&lt;&gt;""),($F34=JM34)*($G34=JN34),"")</f>
        <v/>
      </c>
      <c r="JS34" s="449" t="str">
        <f ca="1">IF(JP34&lt;&gt;"",IF(ABS($F34-$G34)&gt;=PrSettings!$M$7,(ABS($F34-$G34-JM34+JN34)&lt;=1)*1,IF(AND(JP34,$F34=$G34,$F34&gt;=PrSettings!$M$6),(ABS(JM34-$F34)&lt;=1)*1,IF(AND(ABS($F34-$G34-JM34+JN34)&lt;=1,$F34+$G34&gt;=PrSettings!$M$8),(ABS(JM34-$F34)&lt;=1)*(ABS(JN34-$G34)&lt;=1)*1,""))),"")</f>
        <v/>
      </c>
      <c r="JT34" s="454"/>
      <c r="JV34" s="447">
        <f ca="1" t="shared" si="422" ref="JV34:JV47">$B34</f>
        <v>8</v>
      </c>
      <c r="JW34" s="448" t="str">
        <f ca="1">GrpE!$B$4</f>
        <v>Romania</v>
      </c>
      <c r="JX34" s="449">
        <f ca="1" t="shared" si="423" ref="JX34:JX39">$D34</f>
        <v>21</v>
      </c>
      <c r="JY34" s="448" t="str">
        <f ca="1">GrpE!$D$4</f>
        <v>Ukraine</v>
      </c>
      <c r="JZ34" s="452"/>
      <c r="KA34" s="452"/>
      <c r="KB34" s="453"/>
      <c r="KC34" s="449" t="str">
        <f ca="1" t="shared" si="424" ref="KC34:KC39">IF(($F34&lt;&gt;"")*($G34&lt;&gt;"")*(JZ34&lt;&gt;"")*(KA34&lt;&gt;""),($F34&gt;$G34)*(JZ34&gt;KA34)+($F34=$G34)*(JZ34=KA34)+($F34&lt;$G34)*(JZ34&lt;KA34),"")</f>
        <v/>
      </c>
      <c r="KD34" s="449" t="str">
        <f ca="1">IF((KC34&lt;&gt;""),IF(OR($F34&lt;&gt;$G34,PrSettings!$M$4="●"),(($F34-$G34)=(JZ34-KA34))*1,0),"")</f>
        <v/>
      </c>
      <c r="KE34" s="449" t="str">
        <f ca="1" t="shared" si="425" ref="KE34:KE39">IF((KC34&lt;&gt;""),($F34=JZ34)*($G34=KA34),"")</f>
        <v/>
      </c>
      <c r="KF34" s="449" t="str">
        <f ca="1">IF(KC34&lt;&gt;"",IF(ABS($F34-$G34)&gt;=PrSettings!$M$7,(ABS($F34-$G34-JZ34+KA34)&lt;=1)*1,IF(AND(KC34,$F34=$G34,$F34&gt;=PrSettings!$M$6),(ABS(JZ34-$F34)&lt;=1)*1,IF(AND(ABS($F34-$G34-JZ34+KA34)&lt;=1,$F34+$G34&gt;=PrSettings!$M$8),(ABS(JZ34-$F34)&lt;=1)*(ABS(KA34-$G34)&lt;=1)*1,""))),"")</f>
        <v/>
      </c>
      <c r="KG34" s="454"/>
      <c r="KI34" s="447">
        <f ca="1" t="shared" si="426" ref="KI34:KI47">$B34</f>
        <v>8</v>
      </c>
      <c r="KJ34" s="448" t="str">
        <f ca="1">GrpE!$B$4</f>
        <v>Romania</v>
      </c>
      <c r="KK34" s="449">
        <f ca="1" t="shared" si="427" ref="KK34:KK39">$D34</f>
        <v>21</v>
      </c>
      <c r="KL34" s="448" t="str">
        <f ca="1">GrpE!$D$4</f>
        <v>Ukraine</v>
      </c>
      <c r="KM34" s="452"/>
      <c r="KN34" s="452"/>
      <c r="KO34" s="453"/>
      <c r="KP34" s="449" t="str">
        <f ca="1" t="shared" si="428" ref="KP34:KP39">IF(($F34&lt;&gt;"")*($G34&lt;&gt;"")*(KM34&lt;&gt;"")*(KN34&lt;&gt;""),($F34&gt;$G34)*(KM34&gt;KN34)+($F34=$G34)*(KM34=KN34)+($F34&lt;$G34)*(KM34&lt;KN34),"")</f>
        <v/>
      </c>
      <c r="KQ34" s="449" t="str">
        <f ca="1">IF((KP34&lt;&gt;""),IF(OR($F34&lt;&gt;$G34,PrSettings!$M$4="●"),(($F34-$G34)=(KM34-KN34))*1,0),"")</f>
        <v/>
      </c>
      <c r="KR34" s="449" t="str">
        <f ca="1" t="shared" si="429" ref="KR34:KR39">IF((KP34&lt;&gt;""),($F34=KM34)*($G34=KN34),"")</f>
        <v/>
      </c>
      <c r="KS34" s="449" t="str">
        <f ca="1">IF(KP34&lt;&gt;"",IF(ABS($F34-$G34)&gt;=PrSettings!$M$7,(ABS($F34-$G34-KM34+KN34)&lt;=1)*1,IF(AND(KP34,$F34=$G34,$F34&gt;=PrSettings!$M$6),(ABS(KM34-$F34)&lt;=1)*1,IF(AND(ABS($F34-$G34-KM34+KN34)&lt;=1,$F34+$G34&gt;=PrSettings!$M$8),(ABS(KM34-$F34)&lt;=1)*(ABS(KN34-$G34)&lt;=1)*1,""))),"")</f>
        <v/>
      </c>
      <c r="KT34" s="454"/>
      <c r="KV34" s="447">
        <f ca="1" t="shared" si="430" ref="KV34:KV47">$B34</f>
        <v>8</v>
      </c>
      <c r="KW34" s="448" t="str">
        <f ca="1">GrpE!$B$4</f>
        <v>Romania</v>
      </c>
      <c r="KX34" s="449">
        <f ca="1" t="shared" si="431" ref="KX34:KX39">$D34</f>
        <v>21</v>
      </c>
      <c r="KY34" s="448" t="str">
        <f ca="1">GrpE!$D$4</f>
        <v>Ukraine</v>
      </c>
      <c r="KZ34" s="452"/>
      <c r="LA34" s="452"/>
      <c r="LB34" s="453"/>
      <c r="LC34" s="449" t="str">
        <f ca="1" t="shared" si="432" ref="LC34:LC39">IF(($F34&lt;&gt;"")*($G34&lt;&gt;"")*(KZ34&lt;&gt;"")*(LA34&lt;&gt;""),($F34&gt;$G34)*(KZ34&gt;LA34)+($F34=$G34)*(KZ34=LA34)+($F34&lt;$G34)*(KZ34&lt;LA34),"")</f>
        <v/>
      </c>
      <c r="LD34" s="449" t="str">
        <f ca="1">IF((LC34&lt;&gt;""),IF(OR($F34&lt;&gt;$G34,PrSettings!$M$4="●"),(($F34-$G34)=(KZ34-LA34))*1,0),"")</f>
        <v/>
      </c>
      <c r="LE34" s="449" t="str">
        <f ca="1" t="shared" si="433" ref="LE34:LE39">IF((LC34&lt;&gt;""),($F34=KZ34)*($G34=LA34),"")</f>
        <v/>
      </c>
      <c r="LF34" s="449" t="str">
        <f ca="1">IF(LC34&lt;&gt;"",IF(ABS($F34-$G34)&gt;=PrSettings!$M$7,(ABS($F34-$G34-KZ34+LA34)&lt;=1)*1,IF(AND(LC34,$F34=$G34,$F34&gt;=PrSettings!$M$6),(ABS(KZ34-$F34)&lt;=1)*1,IF(AND(ABS($F34-$G34-KZ34+LA34)&lt;=1,$F34+$G34&gt;=PrSettings!$M$8),(ABS(KZ34-$F34)&lt;=1)*(ABS(LA34-$G34)&lt;=1)*1,""))),"")</f>
        <v/>
      </c>
      <c r="LG34" s="454"/>
      <c r="LI34" s="447">
        <f ca="1" t="shared" si="434" ref="LI34:LI47">$B34</f>
        <v>8</v>
      </c>
      <c r="LJ34" s="448" t="str">
        <f ca="1">GrpE!$B$4</f>
        <v>Romania</v>
      </c>
      <c r="LK34" s="449">
        <f ca="1" t="shared" si="435" ref="LK34:LK39">$D34</f>
        <v>21</v>
      </c>
      <c r="LL34" s="448" t="str">
        <f ca="1">GrpE!$D$4</f>
        <v>Ukraine</v>
      </c>
      <c r="LM34" s="452"/>
      <c r="LN34" s="452"/>
      <c r="LO34" s="453"/>
      <c r="LP34" s="449" t="str">
        <f ca="1" t="shared" si="436" ref="LP34:LP39">IF(($F34&lt;&gt;"")*($G34&lt;&gt;"")*(LM34&lt;&gt;"")*(LN34&lt;&gt;""),($F34&gt;$G34)*(LM34&gt;LN34)+($F34=$G34)*(LM34=LN34)+($F34&lt;$G34)*(LM34&lt;LN34),"")</f>
        <v/>
      </c>
      <c r="LQ34" s="449" t="str">
        <f ca="1">IF((LP34&lt;&gt;""),IF(OR($F34&lt;&gt;$G34,PrSettings!$M$4="●"),(($F34-$G34)=(LM34-LN34))*1,0),"")</f>
        <v/>
      </c>
      <c r="LR34" s="449" t="str">
        <f ca="1" t="shared" si="437" ref="LR34:LR39">IF((LP34&lt;&gt;""),($F34=LM34)*($G34=LN34),"")</f>
        <v/>
      </c>
      <c r="LS34" s="449" t="str">
        <f ca="1">IF(LP34&lt;&gt;"",IF(ABS($F34-$G34)&gt;=PrSettings!$M$7,(ABS($F34-$G34-LM34+LN34)&lt;=1)*1,IF(AND(LP34,$F34=$G34,$F34&gt;=PrSettings!$M$6),(ABS(LM34-$F34)&lt;=1)*1,IF(AND(ABS($F34-$G34-LM34+LN34)&lt;=1,$F34+$G34&gt;=PrSettings!$M$8),(ABS(LM34-$F34)&lt;=1)*(ABS(LN34-$G34)&lt;=1)*1,""))),"")</f>
        <v/>
      </c>
      <c r="LT34" s="454"/>
      <c r="LV34" s="447">
        <f ca="1" t="shared" si="438" ref="LV34:LV47">$B34</f>
        <v>8</v>
      </c>
      <c r="LW34" s="448" t="str">
        <f ca="1">GrpE!$B$4</f>
        <v>Romania</v>
      </c>
      <c r="LX34" s="449">
        <f ca="1" t="shared" si="439" ref="LX34:LX39">$D34</f>
        <v>21</v>
      </c>
      <c r="LY34" s="448" t="str">
        <f ca="1">GrpE!$D$4</f>
        <v>Ukraine</v>
      </c>
      <c r="LZ34" s="452"/>
      <c r="MA34" s="452"/>
      <c r="MB34" s="453"/>
      <c r="MC34" s="449" t="str">
        <f ca="1" t="shared" si="440" ref="MC34:MC39">IF(($F34&lt;&gt;"")*($G34&lt;&gt;"")*(LZ34&lt;&gt;"")*(MA34&lt;&gt;""),($F34&gt;$G34)*(LZ34&gt;MA34)+($F34=$G34)*(LZ34=MA34)+($F34&lt;$G34)*(LZ34&lt;MA34),"")</f>
        <v/>
      </c>
      <c r="MD34" s="449" t="str">
        <f ca="1">IF((MC34&lt;&gt;""),IF(OR($F34&lt;&gt;$G34,PrSettings!$M$4="●"),(($F34-$G34)=(LZ34-MA34))*1,0),"")</f>
        <v/>
      </c>
      <c r="ME34" s="449" t="str">
        <f ca="1" t="shared" si="441" ref="ME34:ME39">IF((MC34&lt;&gt;""),($F34=LZ34)*($G34=MA34),"")</f>
        <v/>
      </c>
      <c r="MF34" s="449" t="str">
        <f ca="1">IF(MC34&lt;&gt;"",IF(ABS($F34-$G34)&gt;=PrSettings!$M$7,(ABS($F34-$G34-LZ34+MA34)&lt;=1)*1,IF(AND(MC34,$F34=$G34,$F34&gt;=PrSettings!$M$6),(ABS(LZ34-$F34)&lt;=1)*1,IF(AND(ABS($F34-$G34-LZ34+MA34)&lt;=1,$F34+$G34&gt;=PrSettings!$M$8),(ABS(LZ34-$F34)&lt;=1)*(ABS(MA34-$G34)&lt;=1)*1,""))),"")</f>
        <v/>
      </c>
      <c r="MG34" s="454"/>
    </row>
    <row r="35" spans="2:345" ht="15.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2:345" ht="15.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2:345" ht="15.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2:345" ht="15.5">
      <c r="B38" s="447">
        <f ca="1">INDEX(Groups!$C$7:$C$35,MATCH(C38,Groups!$D$7:$D$35,0))</f>
        <v>16</v>
      </c>
      <c r="C38" s="448" t="str">
        <f ca="1">GrpE!$B$8</f>
        <v>Slovakia</v>
      </c>
      <c r="D38" s="449">
        <f ca="1">INDEX(Groups!$C$7:$C$35,MATCH(E38,Groups!$D$7:$D$35,0))</f>
        <v>8</v>
      </c>
      <c r="E38" s="448" t="str">
        <f ca="1">GrpE!$D$8</f>
        <v>Romania</v>
      </c>
      <c r="F38" s="450">
        <f ca="1">GrpE!$E$8</f>
        <v>2</v>
      </c>
      <c r="G38" s="451">
        <f ca="1">GrpE!$G$8</f>
        <v>2</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2:345" ht="15.5">
      <c r="B39" s="447">
        <f ca="1">INDEX(Groups!$C$7:$C$35,MATCH(C39,Groups!$D$7:$D$35,0))</f>
        <v>21</v>
      </c>
      <c r="C39" s="448" t="str">
        <f ca="1">GrpE!$B$9</f>
        <v>Ukraine</v>
      </c>
      <c r="D39" s="449">
        <f ca="1">INDEX(Groups!$C$7:$C$35,MATCH(E39,Groups!$D$7:$D$35,0))</f>
        <v>4</v>
      </c>
      <c r="E39" s="448" t="str">
        <f ca="1">GrpE!$D$9</f>
        <v>Belgium</v>
      </c>
      <c r="F39" s="450">
        <f ca="1">GrpE!$E$9</f>
        <v>2</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2: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2:345" ht="15.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ca="1" t="shared" si="442" ref="K41:K46">$D41</f>
        <v>34</v>
      </c>
      <c r="L41" s="448" t="str">
        <f ca="1">GrpF!$D$4</f>
        <v>Georgia</v>
      </c>
      <c r="M41" s="452"/>
      <c r="N41" s="452"/>
      <c r="O41" s="453"/>
      <c r="P41" s="449" t="str">
        <f ca="1" t="shared" si="443" ref="P41:P46">IF(($F41&lt;&gt;"")*($G41&lt;&gt;"")*(M41&lt;&gt;"")*(N41&lt;&gt;""),($F41&gt;$G41)*(M41&gt;N41)+($F41=$G41)*(M41=N41)+($F41&lt;$G41)*(M41&lt;N41),"")</f>
        <v/>
      </c>
      <c r="Q41" s="449" t="str">
        <f ca="1">IF((P41&lt;&gt;""),IF(OR($F41&lt;&gt;$G41,PrSettings!$M$4="●"),(($F41-$G41)=(M41-N41))*1,0),"")</f>
        <v/>
      </c>
      <c r="R41" s="449" t="str">
        <f ca="1" t="shared" si="444" ref="R41:R46">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ca="1" t="shared" si="445" ref="X41:X46">$D41</f>
        <v>34</v>
      </c>
      <c r="Y41" s="448" t="str">
        <f ca="1">GrpF!$D$4</f>
        <v>Georgia</v>
      </c>
      <c r="Z41" s="452"/>
      <c r="AA41" s="452"/>
      <c r="AB41" s="453"/>
      <c r="AC41" s="449" t="str">
        <f ca="1" t="shared" si="446" ref="AC41:AC46">IF(($F41&lt;&gt;"")*($G41&lt;&gt;"")*(Z41&lt;&gt;"")*(AA41&lt;&gt;""),($F41&gt;$G41)*(Z41&gt;AA41)+($F41=$G41)*(Z41=AA41)+($F41&lt;$G41)*(Z41&lt;AA41),"")</f>
        <v/>
      </c>
      <c r="AD41" s="449" t="str">
        <f ca="1">IF((AC41&lt;&gt;""),IF(OR($F41&lt;&gt;$G41,PrSettings!$M$4="●"),(($F41-$G41)=(Z41-AA41))*1,0),"")</f>
        <v/>
      </c>
      <c r="AE41" s="449" t="str">
        <f ca="1" t="shared" si="447" ref="AE41:AE46">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ca="1" t="shared" si="448" ref="AK41:AK46">$D41</f>
        <v>34</v>
      </c>
      <c r="AL41" s="448" t="str">
        <f ca="1">GrpF!$D$4</f>
        <v>Georgia</v>
      </c>
      <c r="AM41" s="452"/>
      <c r="AN41" s="452"/>
      <c r="AO41" s="453"/>
      <c r="AP41" s="449" t="str">
        <f ca="1" t="shared" si="449" ref="AP41:AP46">IF(($F41&lt;&gt;"")*($G41&lt;&gt;"")*(AM41&lt;&gt;"")*(AN41&lt;&gt;""),($F41&gt;$G41)*(AM41&gt;AN41)+($F41=$G41)*(AM41=AN41)+($F41&lt;$G41)*(AM41&lt;AN41),"")</f>
        <v/>
      </c>
      <c r="AQ41" s="449" t="str">
        <f ca="1">IF((AP41&lt;&gt;""),IF(OR($F41&lt;&gt;$G41,PrSettings!$M$4="●"),(($F41-$G41)=(AM41-AN41))*1,0),"")</f>
        <v/>
      </c>
      <c r="AR41" s="449" t="str">
        <f ca="1" t="shared" si="450" ref="AR41:AR46">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ca="1" t="shared" si="451" ref="AX41:AX46">$D41</f>
        <v>34</v>
      </c>
      <c r="AY41" s="448" t="str">
        <f ca="1">GrpF!$D$4</f>
        <v>Georgia</v>
      </c>
      <c r="AZ41" s="452"/>
      <c r="BA41" s="452"/>
      <c r="BB41" s="453"/>
      <c r="BC41" s="449" t="str">
        <f ca="1" t="shared" si="452" ref="BC41:BC46">IF(($F41&lt;&gt;"")*($G41&lt;&gt;"")*(AZ41&lt;&gt;"")*(BA41&lt;&gt;""),($F41&gt;$G41)*(AZ41&gt;BA41)+($F41=$G41)*(AZ41=BA41)+($F41&lt;$G41)*(AZ41&lt;BA41),"")</f>
        <v/>
      </c>
      <c r="BD41" s="449" t="str">
        <f ca="1">IF((BC41&lt;&gt;""),IF(OR($F41&lt;&gt;$G41,PrSettings!$M$4="●"),(($F41-$G41)=(AZ41-BA41))*1,0),"")</f>
        <v/>
      </c>
      <c r="BE41" s="449" t="str">
        <f ca="1" t="shared" si="453" ref="BE41:BE46">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ca="1" t="shared" si="454" ref="BK41:BK46">$D41</f>
        <v>34</v>
      </c>
      <c r="BL41" s="448" t="str">
        <f ca="1">GrpF!$D$4</f>
        <v>Georgia</v>
      </c>
      <c r="BM41" s="452"/>
      <c r="BN41" s="452"/>
      <c r="BO41" s="453"/>
      <c r="BP41" s="449" t="str">
        <f ca="1" t="shared" si="455" ref="BP41:BP46">IF(($F41&lt;&gt;"")*($G41&lt;&gt;"")*(BM41&lt;&gt;"")*(BN41&lt;&gt;""),($F41&gt;$G41)*(BM41&gt;BN41)+($F41=$G41)*(BM41=BN41)+($F41&lt;$G41)*(BM41&lt;BN41),"")</f>
        <v/>
      </c>
      <c r="BQ41" s="449" t="str">
        <f ca="1">IF((BP41&lt;&gt;""),IF(OR($F41&lt;&gt;$G41,PrSettings!$M$4="●"),(($F41-$G41)=(BM41-BN41))*1,0),"")</f>
        <v/>
      </c>
      <c r="BR41" s="449" t="str">
        <f ca="1" t="shared" si="456" ref="BR41:BR4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ca="1" t="shared" si="457" ref="BX41:BX46">$D41</f>
        <v>34</v>
      </c>
      <c r="BY41" s="448" t="str">
        <f ca="1">GrpF!$D$4</f>
        <v>Georgia</v>
      </c>
      <c r="BZ41" s="452"/>
      <c r="CA41" s="452"/>
      <c r="CB41" s="453"/>
      <c r="CC41" s="449" t="str">
        <f ca="1" t="shared" si="458" ref="CC41:CC46">IF(($F41&lt;&gt;"")*($G41&lt;&gt;"")*(BZ41&lt;&gt;"")*(CA41&lt;&gt;""),($F41&gt;$G41)*(BZ41&gt;CA41)+($F41=$G41)*(BZ41=CA41)+($F41&lt;$G41)*(BZ41&lt;CA41),"")</f>
        <v/>
      </c>
      <c r="CD41" s="449" t="str">
        <f ca="1">IF((CC41&lt;&gt;""),IF(OR($F41&lt;&gt;$G41,PrSettings!$M$4="●"),(($F41-$G41)=(BZ41-CA41))*1,0),"")</f>
        <v/>
      </c>
      <c r="CE41" s="449" t="str">
        <f ca="1" t="shared" si="459" ref="CE41:CE46">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ca="1" t="shared" si="460" ref="CK41:CK46">$D41</f>
        <v>34</v>
      </c>
      <c r="CL41" s="448" t="str">
        <f ca="1">GrpF!$D$4</f>
        <v>Georgia</v>
      </c>
      <c r="CM41" s="452"/>
      <c r="CN41" s="452"/>
      <c r="CO41" s="453"/>
      <c r="CP41" s="449" t="str">
        <f ca="1" t="shared" si="461" ref="CP41:CP46">IF(($F41&lt;&gt;"")*($G41&lt;&gt;"")*(CM41&lt;&gt;"")*(CN41&lt;&gt;""),($F41&gt;$G41)*(CM41&gt;CN41)+($F41=$G41)*(CM41=CN41)+($F41&lt;$G41)*(CM41&lt;CN41),"")</f>
        <v/>
      </c>
      <c r="CQ41" s="449" t="str">
        <f ca="1">IF((CP41&lt;&gt;""),IF(OR($F41&lt;&gt;$G41,PrSettings!$M$4="●"),(($F41-$G41)=(CM41-CN41))*1,0),"")</f>
        <v/>
      </c>
      <c r="CR41" s="449" t="str">
        <f ca="1" t="shared" si="462" ref="CR41:CR46">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ca="1" t="shared" si="463" ref="CX41:CX46">$D41</f>
        <v>34</v>
      </c>
      <c r="CY41" s="448" t="str">
        <f ca="1">GrpF!$D$4</f>
        <v>Georgia</v>
      </c>
      <c r="CZ41" s="452"/>
      <c r="DA41" s="452"/>
      <c r="DB41" s="453"/>
      <c r="DC41" s="449" t="str">
        <f ca="1" t="shared" si="464" ref="DC41:DC46">IF(($F41&lt;&gt;"")*($G41&lt;&gt;"")*(CZ41&lt;&gt;"")*(DA41&lt;&gt;""),($F41&gt;$G41)*(CZ41&gt;DA41)+($F41=$G41)*(CZ41=DA41)+($F41&lt;$G41)*(CZ41&lt;DA41),"")</f>
        <v/>
      </c>
      <c r="DD41" s="449" t="str">
        <f ca="1">IF((DC41&lt;&gt;""),IF(OR($F41&lt;&gt;$G41,PrSettings!$M$4="●"),(($F41-$G41)=(CZ41-DA41))*1,0),"")</f>
        <v/>
      </c>
      <c r="DE41" s="449" t="str">
        <f ca="1" t="shared" si="465" ref="DE41:DE46">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ca="1" t="shared" si="466" ref="DK41:DK46">$D41</f>
        <v>34</v>
      </c>
      <c r="DL41" s="448" t="str">
        <f ca="1">GrpF!$D$4</f>
        <v>Georgia</v>
      </c>
      <c r="DM41" s="452"/>
      <c r="DN41" s="452"/>
      <c r="DO41" s="453"/>
      <c r="DP41" s="449" t="str">
        <f ca="1" t="shared" si="467" ref="DP41:DP46">IF(($F41&lt;&gt;"")*($G41&lt;&gt;"")*(DM41&lt;&gt;"")*(DN41&lt;&gt;""),($F41&gt;$G41)*(DM41&gt;DN41)+($F41=$G41)*(DM41=DN41)+($F41&lt;$G41)*(DM41&lt;DN41),"")</f>
        <v/>
      </c>
      <c r="DQ41" s="449" t="str">
        <f ca="1">IF((DP41&lt;&gt;""),IF(OR($F41&lt;&gt;$G41,PrSettings!$M$4="●"),(($F41-$G41)=(DM41-DN41))*1,0),"")</f>
        <v/>
      </c>
      <c r="DR41" s="449" t="str">
        <f ca="1" t="shared" si="468" ref="DR41:DR46">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ca="1" t="shared" si="469" ref="DX41:DX46">$D41</f>
        <v>34</v>
      </c>
      <c r="DY41" s="448" t="str">
        <f ca="1">GrpF!$D$4</f>
        <v>Georgia</v>
      </c>
      <c r="DZ41" s="452"/>
      <c r="EA41" s="452"/>
      <c r="EB41" s="453"/>
      <c r="EC41" s="449" t="str">
        <f ca="1" t="shared" si="470" ref="EC41:EC46">IF(($F41&lt;&gt;"")*($G41&lt;&gt;"")*(DZ41&lt;&gt;"")*(EA41&lt;&gt;""),($F41&gt;$G41)*(DZ41&gt;EA41)+($F41=$G41)*(DZ41=EA41)+($F41&lt;$G41)*(DZ41&lt;EA41),"")</f>
        <v/>
      </c>
      <c r="ED41" s="449" t="str">
        <f ca="1">IF((EC41&lt;&gt;""),IF(OR($F41&lt;&gt;$G41,PrSettings!$M$4="●"),(($F41-$G41)=(DZ41-EA41))*1,0),"")</f>
        <v/>
      </c>
      <c r="EE41" s="449" t="str">
        <f ca="1" t="shared" si="471" ref="EE41:EE46">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ca="1" t="shared" si="472" ref="EK41:EK46">$D41</f>
        <v>34</v>
      </c>
      <c r="EL41" s="448" t="str">
        <f ca="1">GrpF!$D$4</f>
        <v>Georgia</v>
      </c>
      <c r="EM41" s="452"/>
      <c r="EN41" s="452"/>
      <c r="EO41" s="453"/>
      <c r="EP41" s="449" t="str">
        <f ca="1" t="shared" si="473" ref="EP41:EP46">IF(($F41&lt;&gt;"")*($G41&lt;&gt;"")*(EM41&lt;&gt;"")*(EN41&lt;&gt;""),($F41&gt;$G41)*(EM41&gt;EN41)+($F41=$G41)*(EM41=EN41)+($F41&lt;$G41)*(EM41&lt;EN41),"")</f>
        <v/>
      </c>
      <c r="EQ41" s="449" t="str">
        <f ca="1">IF((EP41&lt;&gt;""),IF(OR($F41&lt;&gt;$G41,PrSettings!$M$4="●"),(($F41-$G41)=(EM41-EN41))*1,0),"")</f>
        <v/>
      </c>
      <c r="ER41" s="449" t="str">
        <f ca="1" t="shared" si="474" ref="ER41:ER46">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ca="1" t="shared" si="475" ref="EX41:EX46">$D41</f>
        <v>34</v>
      </c>
      <c r="EY41" s="448" t="str">
        <f ca="1">GrpF!$D$4</f>
        <v>Georgia</v>
      </c>
      <c r="EZ41" s="452"/>
      <c r="FA41" s="452"/>
      <c r="FB41" s="453"/>
      <c r="FC41" s="449" t="str">
        <f ca="1" t="shared" si="476" ref="FC41:FC46">IF(($F41&lt;&gt;"")*($G41&lt;&gt;"")*(EZ41&lt;&gt;"")*(FA41&lt;&gt;""),($F41&gt;$G41)*(EZ41&gt;FA41)+($F41=$G41)*(EZ41=FA41)+($F41&lt;$G41)*(EZ41&lt;FA41),"")</f>
        <v/>
      </c>
      <c r="FD41" s="449" t="str">
        <f ca="1">IF((FC41&lt;&gt;""),IF(OR($F41&lt;&gt;$G41,PrSettings!$M$4="●"),(($F41-$G41)=(EZ41-FA41))*1,0),"")</f>
        <v/>
      </c>
      <c r="FE41" s="449" t="str">
        <f ca="1" t="shared" si="477" ref="FE41:FE46">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ca="1" t="shared" si="478" ref="FK41:FK46">$D41</f>
        <v>34</v>
      </c>
      <c r="FL41" s="448" t="str">
        <f ca="1">GrpF!$D$4</f>
        <v>Georgia</v>
      </c>
      <c r="FM41" s="452"/>
      <c r="FN41" s="452"/>
      <c r="FO41" s="453"/>
      <c r="FP41" s="449" t="str">
        <f ca="1" t="shared" si="479" ref="FP41:FP46">IF(($F41&lt;&gt;"")*($G41&lt;&gt;"")*(FM41&lt;&gt;"")*(FN41&lt;&gt;""),($F41&gt;$G41)*(FM41&gt;FN41)+($F41=$G41)*(FM41=FN41)+($F41&lt;$G41)*(FM41&lt;FN41),"")</f>
        <v/>
      </c>
      <c r="FQ41" s="449" t="str">
        <f ca="1">IF((FP41&lt;&gt;""),IF(OR($F41&lt;&gt;$G41,PrSettings!$M$4="●"),(($F41-$G41)=(FM41-FN41))*1,0),"")</f>
        <v/>
      </c>
      <c r="FR41" s="449" t="str">
        <f ca="1" t="shared" si="480" ref="FR41:FR46">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ca="1" t="shared" si="481" ref="FX41:FX46">$D41</f>
        <v>34</v>
      </c>
      <c r="FY41" s="448" t="str">
        <f ca="1">GrpF!$D$4</f>
        <v>Georgia</v>
      </c>
      <c r="FZ41" s="452"/>
      <c r="GA41" s="452"/>
      <c r="GB41" s="453"/>
      <c r="GC41" s="449" t="str">
        <f ca="1" t="shared" si="482" ref="GC41:GC46">IF(($F41&lt;&gt;"")*($G41&lt;&gt;"")*(FZ41&lt;&gt;"")*(GA41&lt;&gt;""),($F41&gt;$G41)*(FZ41&gt;GA41)+($F41=$G41)*(FZ41=GA41)+($F41&lt;$G41)*(FZ41&lt;GA41),"")</f>
        <v/>
      </c>
      <c r="GD41" s="449" t="str">
        <f ca="1">IF((GC41&lt;&gt;""),IF(OR($F41&lt;&gt;$G41,PrSettings!$M$4="●"),(($F41-$G41)=(FZ41-GA41))*1,0),"")</f>
        <v/>
      </c>
      <c r="GE41" s="449" t="str">
        <f ca="1" t="shared" si="483" ref="GE41:GE46">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ca="1" t="shared" si="484" ref="GK41:GK46">$D41</f>
        <v>34</v>
      </c>
      <c r="GL41" s="448" t="str">
        <f ca="1">GrpF!$D$4</f>
        <v>Georgia</v>
      </c>
      <c r="GM41" s="452"/>
      <c r="GN41" s="452"/>
      <c r="GO41" s="453"/>
      <c r="GP41" s="449" t="str">
        <f ca="1" t="shared" si="485" ref="GP41:GP46">IF(($F41&lt;&gt;"")*($G41&lt;&gt;"")*(GM41&lt;&gt;"")*(GN41&lt;&gt;""),($F41&gt;$G41)*(GM41&gt;GN41)+($F41=$G41)*(GM41=GN41)+($F41&lt;$G41)*(GM41&lt;GN41),"")</f>
        <v/>
      </c>
      <c r="GQ41" s="449" t="str">
        <f ca="1">IF((GP41&lt;&gt;""),IF(OR($F41&lt;&gt;$G41,PrSettings!$M$4="●"),(($F41-$G41)=(GM41-GN41))*1,0),"")</f>
        <v/>
      </c>
      <c r="GR41" s="449" t="str">
        <f ca="1" t="shared" si="486" ref="GR41:GR4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ca="1" t="shared" si="487" ref="GX41:GX46">$D41</f>
        <v>34</v>
      </c>
      <c r="GY41" s="448" t="str">
        <f ca="1">GrpF!$D$4</f>
        <v>Georgia</v>
      </c>
      <c r="GZ41" s="452"/>
      <c r="HA41" s="452"/>
      <c r="HB41" s="453"/>
      <c r="HC41" s="449" t="str">
        <f ca="1" t="shared" si="488" ref="HC41:HC46">IF(($F41&lt;&gt;"")*($G41&lt;&gt;"")*(GZ41&lt;&gt;"")*(HA41&lt;&gt;""),($F41&gt;$G41)*(GZ41&gt;HA41)+($F41=$G41)*(GZ41=HA41)+($F41&lt;$G41)*(GZ41&lt;HA41),"")</f>
        <v/>
      </c>
      <c r="HD41" s="449" t="str">
        <f ca="1">IF((HC41&lt;&gt;""),IF(OR($F41&lt;&gt;$G41,PrSettings!$M$4="●"),(($F41-$G41)=(GZ41-HA41))*1,0),"")</f>
        <v/>
      </c>
      <c r="HE41" s="449" t="str">
        <f ca="1" t="shared" si="489" ref="HE41:HE46">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ca="1" t="shared" si="490" ref="HK41:HK46">$D41</f>
        <v>34</v>
      </c>
      <c r="HL41" s="448" t="str">
        <f ca="1">GrpF!$D$4</f>
        <v>Georgia</v>
      </c>
      <c r="HM41" s="452"/>
      <c r="HN41" s="452"/>
      <c r="HO41" s="453"/>
      <c r="HP41" s="449" t="str">
        <f ca="1" t="shared" si="491" ref="HP41:HP46">IF(($F41&lt;&gt;"")*($G41&lt;&gt;"")*(HM41&lt;&gt;"")*(HN41&lt;&gt;""),($F41&gt;$G41)*(HM41&gt;HN41)+($F41=$G41)*(HM41=HN41)+($F41&lt;$G41)*(HM41&lt;HN41),"")</f>
        <v/>
      </c>
      <c r="HQ41" s="449" t="str">
        <f ca="1">IF((HP41&lt;&gt;""),IF(OR($F41&lt;&gt;$G41,PrSettings!$M$4="●"),(($F41-$G41)=(HM41-HN41))*1,0),"")</f>
        <v/>
      </c>
      <c r="HR41" s="449" t="str">
        <f ca="1" t="shared" si="492" ref="HR41:HR46">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ca="1" t="shared" si="493" ref="HX41:HX46">$D41</f>
        <v>34</v>
      </c>
      <c r="HY41" s="448" t="str">
        <f ca="1">GrpF!$D$4</f>
        <v>Georgia</v>
      </c>
      <c r="HZ41" s="452"/>
      <c r="IA41" s="452"/>
      <c r="IB41" s="453"/>
      <c r="IC41" s="449" t="str">
        <f ca="1" t="shared" si="494" ref="IC41:IC46">IF(($F41&lt;&gt;"")*($G41&lt;&gt;"")*(HZ41&lt;&gt;"")*(IA41&lt;&gt;""),($F41&gt;$G41)*(HZ41&gt;IA41)+($F41=$G41)*(HZ41=IA41)+($F41&lt;$G41)*(HZ41&lt;IA41),"")</f>
        <v/>
      </c>
      <c r="ID41" s="449" t="str">
        <f ca="1">IF((IC41&lt;&gt;""),IF(OR($F41&lt;&gt;$G41,PrSettings!$M$4="●"),(($F41-$G41)=(HZ41-IA41))*1,0),"")</f>
        <v/>
      </c>
      <c r="IE41" s="449" t="str">
        <f ca="1" t="shared" si="495" ref="IE41:IE46">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ca="1" t="shared" si="496" ref="IK41:IK46">$D41</f>
        <v>34</v>
      </c>
      <c r="IL41" s="448" t="str">
        <f ca="1">GrpF!$D$4</f>
        <v>Georgia</v>
      </c>
      <c r="IM41" s="452"/>
      <c r="IN41" s="452"/>
      <c r="IO41" s="453"/>
      <c r="IP41" s="449" t="str">
        <f ca="1" t="shared" si="497" ref="IP41:IP46">IF(($F41&lt;&gt;"")*($G41&lt;&gt;"")*(IM41&lt;&gt;"")*(IN41&lt;&gt;""),($F41&gt;$G41)*(IM41&gt;IN41)+($F41=$G41)*(IM41=IN41)+($F41&lt;$G41)*(IM41&lt;IN41),"")</f>
        <v/>
      </c>
      <c r="IQ41" s="449" t="str">
        <f ca="1">IF((IP41&lt;&gt;""),IF(OR($F41&lt;&gt;$G41,PrSettings!$M$4="●"),(($F41-$G41)=(IM41-IN41))*1,0),"")</f>
        <v/>
      </c>
      <c r="IR41" s="449" t="str">
        <f ca="1" t="shared" si="498" ref="IR41:IR46">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ca="1" t="shared" si="499" ref="IX41:IX46">$D41</f>
        <v>34</v>
      </c>
      <c r="IY41" s="448" t="str">
        <f ca="1">GrpF!$D$4</f>
        <v>Georgia</v>
      </c>
      <c r="IZ41" s="452"/>
      <c r="JA41" s="452"/>
      <c r="JB41" s="453"/>
      <c r="JC41" s="449" t="str">
        <f ca="1" t="shared" si="500" ref="JC41:JC46">IF(($F41&lt;&gt;"")*($G41&lt;&gt;"")*(IZ41&lt;&gt;"")*(JA41&lt;&gt;""),($F41&gt;$G41)*(IZ41&gt;JA41)+($F41=$G41)*(IZ41=JA41)+($F41&lt;$G41)*(IZ41&lt;JA41),"")</f>
        <v/>
      </c>
      <c r="JD41" s="449" t="str">
        <f ca="1">IF((JC41&lt;&gt;""),IF(OR($F41&lt;&gt;$G41,PrSettings!$M$4="●"),(($F41-$G41)=(IZ41-JA41))*1,0),"")</f>
        <v/>
      </c>
      <c r="JE41" s="449" t="str">
        <f ca="1" t="shared" si="501" ref="JE41:JE46">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ca="1" t="shared" si="502" ref="JK41:JK46">$D41</f>
        <v>34</v>
      </c>
      <c r="JL41" s="448" t="str">
        <f ca="1">GrpF!$D$4</f>
        <v>Georgia</v>
      </c>
      <c r="JM41" s="452"/>
      <c r="JN41" s="452"/>
      <c r="JO41" s="453"/>
      <c r="JP41" s="449" t="str">
        <f ca="1" t="shared" si="503" ref="JP41:JP46">IF(($F41&lt;&gt;"")*($G41&lt;&gt;"")*(JM41&lt;&gt;"")*(JN41&lt;&gt;""),($F41&gt;$G41)*(JM41&gt;JN41)+($F41=$G41)*(JM41=JN41)+($F41&lt;$G41)*(JM41&lt;JN41),"")</f>
        <v/>
      </c>
      <c r="JQ41" s="449" t="str">
        <f ca="1">IF((JP41&lt;&gt;""),IF(OR($F41&lt;&gt;$G41,PrSettings!$M$4="●"),(($F41-$G41)=(JM41-JN41))*1,0),"")</f>
        <v/>
      </c>
      <c r="JR41" s="449" t="str">
        <f ca="1" t="shared" si="504" ref="JR41:JR46">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ca="1" t="shared" si="505" ref="JX41:JX46">$D41</f>
        <v>34</v>
      </c>
      <c r="JY41" s="448" t="str">
        <f ca="1">GrpF!$D$4</f>
        <v>Georgia</v>
      </c>
      <c r="JZ41" s="452"/>
      <c r="KA41" s="452"/>
      <c r="KB41" s="453"/>
      <c r="KC41" s="449" t="str">
        <f ca="1" t="shared" si="506" ref="KC41:KC46">IF(($F41&lt;&gt;"")*($G41&lt;&gt;"")*(JZ41&lt;&gt;"")*(KA41&lt;&gt;""),($F41&gt;$G41)*(JZ41&gt;KA41)+($F41=$G41)*(JZ41=KA41)+($F41&lt;$G41)*(JZ41&lt;KA41),"")</f>
        <v/>
      </c>
      <c r="KD41" s="449" t="str">
        <f ca="1">IF((KC41&lt;&gt;""),IF(OR($F41&lt;&gt;$G41,PrSettings!$M$4="●"),(($F41-$G41)=(JZ41-KA41))*1,0),"")</f>
        <v/>
      </c>
      <c r="KE41" s="449" t="str">
        <f ca="1" t="shared" si="507" ref="KE41:KE46">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ca="1" t="shared" si="508" ref="KK41:KK46">$D41</f>
        <v>34</v>
      </c>
      <c r="KL41" s="448" t="str">
        <f ca="1">GrpF!$D$4</f>
        <v>Georgia</v>
      </c>
      <c r="KM41" s="452"/>
      <c r="KN41" s="452"/>
      <c r="KO41" s="453"/>
      <c r="KP41" s="449" t="str">
        <f ca="1" t="shared" si="509" ref="KP41:KP46">IF(($F41&lt;&gt;"")*($G41&lt;&gt;"")*(KM41&lt;&gt;"")*(KN41&lt;&gt;""),($F41&gt;$G41)*(KM41&gt;KN41)+($F41=$G41)*(KM41=KN41)+($F41&lt;$G41)*(KM41&lt;KN41),"")</f>
        <v/>
      </c>
      <c r="KQ41" s="449" t="str">
        <f ca="1">IF((KP41&lt;&gt;""),IF(OR($F41&lt;&gt;$G41,PrSettings!$M$4="●"),(($F41-$G41)=(KM41-KN41))*1,0),"")</f>
        <v/>
      </c>
      <c r="KR41" s="449" t="str">
        <f ca="1" t="shared" si="510" ref="KR41:KR46">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ca="1" t="shared" si="511" ref="KX41:KX46">$D41</f>
        <v>34</v>
      </c>
      <c r="KY41" s="448" t="str">
        <f ca="1">GrpF!$D$4</f>
        <v>Georgia</v>
      </c>
      <c r="KZ41" s="452"/>
      <c r="LA41" s="452"/>
      <c r="LB41" s="453"/>
      <c r="LC41" s="449" t="str">
        <f ca="1" t="shared" si="512" ref="LC41:LC46">IF(($F41&lt;&gt;"")*($G41&lt;&gt;"")*(KZ41&lt;&gt;"")*(LA41&lt;&gt;""),($F41&gt;$G41)*(KZ41&gt;LA41)+($F41=$G41)*(KZ41=LA41)+($F41&lt;$G41)*(KZ41&lt;LA41),"")</f>
        <v/>
      </c>
      <c r="LD41" s="449" t="str">
        <f ca="1">IF((LC41&lt;&gt;""),IF(OR($F41&lt;&gt;$G41,PrSettings!$M$4="●"),(($F41-$G41)=(KZ41-LA41))*1,0),"")</f>
        <v/>
      </c>
      <c r="LE41" s="449" t="str">
        <f ca="1" t="shared" si="513" ref="LE41:LE46">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ca="1" t="shared" si="514" ref="LK41:LK46">$D41</f>
        <v>34</v>
      </c>
      <c r="LL41" s="448" t="str">
        <f ca="1">GrpF!$D$4</f>
        <v>Georgia</v>
      </c>
      <c r="LM41" s="452"/>
      <c r="LN41" s="452"/>
      <c r="LO41" s="453"/>
      <c r="LP41" s="449" t="str">
        <f ca="1" t="shared" si="515" ref="LP41:LP46">IF(($F41&lt;&gt;"")*($G41&lt;&gt;"")*(LM41&lt;&gt;"")*(LN41&lt;&gt;""),($F41&gt;$G41)*(LM41&gt;LN41)+($F41=$G41)*(LM41=LN41)+($F41&lt;$G41)*(LM41&lt;LN41),"")</f>
        <v/>
      </c>
      <c r="LQ41" s="449" t="str">
        <f ca="1">IF((LP41&lt;&gt;""),IF(OR($F41&lt;&gt;$G41,PrSettings!$M$4="●"),(($F41-$G41)=(LM41-LN41))*1,0),"")</f>
        <v/>
      </c>
      <c r="LR41" s="449" t="str">
        <f ca="1" t="shared" si="516" ref="LR41:LR4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ca="1" t="shared" si="517" ref="LX41:LX46">$D41</f>
        <v>34</v>
      </c>
      <c r="LY41" s="448" t="str">
        <f ca="1">GrpF!$D$4</f>
        <v>Georgia</v>
      </c>
      <c r="LZ41" s="452"/>
      <c r="MA41" s="452"/>
      <c r="MB41" s="453"/>
      <c r="MC41" s="449" t="str">
        <f ca="1" t="shared" si="518" ref="MC41:MC46">IF(($F41&lt;&gt;"")*($G41&lt;&gt;"")*(LZ41&lt;&gt;"")*(MA41&lt;&gt;""),($F41&gt;$G41)*(LZ41&gt;MA41)+($F41=$G41)*(LZ41=MA41)+($F41&lt;$G41)*(LZ41&lt;MA41),"")</f>
        <v/>
      </c>
      <c r="MD41" s="449" t="str">
        <f ca="1">IF((MC41&lt;&gt;""),IF(OR($F41&lt;&gt;$G41,PrSettings!$M$4="●"),(($F41-$G41)=(LZ41-MA41))*1,0),"")</f>
        <v/>
      </c>
      <c r="ME41" s="449" t="str">
        <f ca="1" t="shared" si="519" ref="ME41:ME46">IF((MC41&lt;&gt;""),($F41=LZ41)*($G41=MA41),"")</f>
        <v/>
      </c>
      <c r="MF41" s="449" t="str">
        <f ca="1">IF(MC41&lt;&gt;"",IF(ABS($F41-$G41)&gt;=PrSettings!$M$7,(ABS($F41-$G41-LZ41+MA41)&lt;=1)*1,IF(AND(MC41,$F41=$G41,$F41&gt;=PrSettings!$M$6),(ABS(LZ41-$F41)&lt;=1)*1,IF(AND(ABS($F41-$G41-LZ41+MA41)&lt;=1,$F41+$G41&gt;=PrSettings!$M$8),(ABS(LZ41-$F41)&lt;=1)*(ABS(MA41-$G41)&lt;=1)*1,""))),"")</f>
        <v/>
      </c>
      <c r="MG41" s="454"/>
    </row>
    <row r="42" spans="2:345" ht="15.5">
      <c r="B42" s="447">
        <f ca="1">INDEX(Groups!$C$7:$C$35,MATCH(C42,Groups!$D$7:$D$35,0))</f>
        <v>1</v>
      </c>
      <c r="C42" s="448" t="str">
        <f ca="1">GrpF!$B$5</f>
        <v>Portugal</v>
      </c>
      <c r="D42" s="449">
        <f ca="1">INDEX(Groups!$C$7:$C$35,MATCH(E42,Groups!$D$7:$D$35,0))</f>
        <v>17</v>
      </c>
      <c r="E42" s="448" t="str">
        <f ca="1">GrpF!$D$5</f>
        <v>Czechia</v>
      </c>
      <c r="F42" s="450">
        <f ca="1">GrpF!$E$5</f>
        <v>1</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2:345" ht="15.5">
      <c r="B43" s="447">
        <f ca="1">INDEX(Groups!$C$7:$C$35,MATCH(C43,Groups!$D$7:$D$35,0))</f>
        <v>34</v>
      </c>
      <c r="C43" s="448" t="str">
        <f ca="1">GrpF!$B$6</f>
        <v>Georgia</v>
      </c>
      <c r="D43" s="449">
        <f ca="1">INDEX(Groups!$C$7:$C$35,MATCH(E43,Groups!$D$7:$D$35,0))</f>
        <v>17</v>
      </c>
      <c r="E43" s="448" t="str">
        <f ca="1">GrpF!$D$6</f>
        <v>Czechia</v>
      </c>
      <c r="F43" s="450">
        <f ca="1">GrpF!$E$6</f>
        <v>1</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2:345" ht="15.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2:345" ht="15.5">
      <c r="B45" s="447">
        <f ca="1">INDEX(Groups!$C$7:$C$35,MATCH(C45,Groups!$D$7:$D$35,0))</f>
        <v>34</v>
      </c>
      <c r="C45" s="448" t="str">
        <f ca="1">GrpF!$B$8</f>
        <v>Georgia</v>
      </c>
      <c r="D45" s="449">
        <f ca="1">INDEX(Groups!$C$7:$C$35,MATCH(E45,Groups!$D$7:$D$35,0))</f>
        <v>1</v>
      </c>
      <c r="E45" s="448" t="str">
        <f ca="1">GrpF!$D$8</f>
        <v>Portugal</v>
      </c>
      <c r="F45" s="450">
        <f ca="1">GrpF!$E$8</f>
        <v>1</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2:345" ht="15.5">
      <c r="B46" s="447">
        <f ca="1">INDEX(Groups!$C$7:$C$35,MATCH(C46,Groups!$D$7:$D$35,0))</f>
        <v>17</v>
      </c>
      <c r="C46" s="448" t="str">
        <f ca="1">GrpF!$B$9</f>
        <v>Czechia</v>
      </c>
      <c r="D46" s="449">
        <f ca="1">INDEX(Groups!$C$7:$C$35,MATCH(E46,Groups!$D$7:$D$35,0))</f>
        <v>7</v>
      </c>
      <c r="E46" s="448" t="str">
        <f ca="1">GrpF!$D$9</f>
        <v>Türkiye</v>
      </c>
      <c r="F46" s="450">
        <f ca="1">GrpF!$E$9</f>
        <v>1</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ht="15.5">
      <c r="A48" s="428"/>
      <c r="B48" s="447">
        <f ca="1">IF(C48="","",INDEX(Groups!$C$7:$C$35,MATCH(C48,Groups!$D$7:$D$35,0)))</f>
        <v>14</v>
      </c>
      <c r="C48" s="448" t="str">
        <f ca="1">INDIRECT("'"&amp;References!$A$1&amp;"'!"&amp;"$B$54")</f>
        <v>Croatia</v>
      </c>
      <c r="D48" s="449">
        <f ca="1">IF(E48="","",INDEX(Groups!$C$7:$C$35,MATCH(E48,Groups!$D$7:$D$35,0)))</f>
        <v>13</v>
      </c>
      <c r="E48" s="448" t="str">
        <f ca="1">INDIRECT("'"&amp;References!$A$1&amp;"'!"&amp;"$C$54")</f>
        <v>Scotland</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14</v>
      </c>
      <c r="J48" s="448" t="str">
        <f ca="1">$C48</f>
        <v>Croatia</v>
      </c>
      <c r="K48" s="449">
        <f ca="1">$D48</f>
        <v>13</v>
      </c>
      <c r="L48" s="448" t="str">
        <f ca="1">$E48</f>
        <v>Scotland</v>
      </c>
      <c r="M48" s="452"/>
      <c r="N48" s="452"/>
      <c r="O48" s="539"/>
      <c r="P48" s="449" t="str">
        <f ca="1" t="shared" si="520" ref="P48:P55">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ca="1" t="shared" si="521" ref="T48:T55">IF(OR(($C48&lt;&gt;"")*(I48&lt;&gt;""),($E48&lt;&gt;"")*(K48&lt;&gt;"")),($B48=I48)*1+($D48=K48)*1,"")</f>
        <v>2</v>
      </c>
      <c r="V48" s="447">
        <f ca="1">$B48</f>
        <v>14</v>
      </c>
      <c r="W48" s="448" t="str">
        <f ca="1">$C48</f>
        <v>Croatia</v>
      </c>
      <c r="X48" s="449">
        <f ca="1">$D48</f>
        <v>13</v>
      </c>
      <c r="Y48" s="448" t="str">
        <f ca="1">$E48</f>
        <v>Scotland</v>
      </c>
      <c r="Z48" s="452"/>
      <c r="AA48" s="452"/>
      <c r="AB48" s="539"/>
      <c r="AC48" s="449" t="str">
        <f ca="1" t="shared" si="522" ref="AC48:AC55">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ca="1" t="shared" si="523" ref="AG48:AG55">IF(OR(($C48&lt;&gt;"")*(V48&lt;&gt;""),($E48&lt;&gt;"")*(X48&lt;&gt;"")),($B48=V48)*1+($D48=X48)*1,"")</f>
        <v>2</v>
      </c>
      <c r="AI48" s="447">
        <f ca="1">$B48</f>
        <v>14</v>
      </c>
      <c r="AJ48" s="448" t="str">
        <f ca="1">$C48</f>
        <v>Croatia</v>
      </c>
      <c r="AK48" s="449">
        <f ca="1">$D48</f>
        <v>13</v>
      </c>
      <c r="AL48" s="448" t="str">
        <f ca="1">$E48</f>
        <v>Scotland</v>
      </c>
      <c r="AM48" s="452"/>
      <c r="AN48" s="452"/>
      <c r="AO48" s="539"/>
      <c r="AP48" s="449" t="str">
        <f ca="1" t="shared" si="524" ref="AP48:AP55">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ca="1" t="shared" si="525" ref="AT48:AT55">IF(OR(($C48&lt;&gt;"")*(AI48&lt;&gt;""),($E48&lt;&gt;"")*(AK48&lt;&gt;"")),($B48=AI48)*1+($D48=AK48)*1,"")</f>
        <v>2</v>
      </c>
      <c r="AV48" s="447">
        <f ca="1">$B48</f>
        <v>14</v>
      </c>
      <c r="AW48" s="448" t="str">
        <f ca="1">$C48</f>
        <v>Croatia</v>
      </c>
      <c r="AX48" s="449">
        <f ca="1">$D48</f>
        <v>13</v>
      </c>
      <c r="AY48" s="448" t="str">
        <f ca="1">$E48</f>
        <v>Scotland</v>
      </c>
      <c r="AZ48" s="452"/>
      <c r="BA48" s="452"/>
      <c r="BB48" s="539"/>
      <c r="BC48" s="449" t="str">
        <f ca="1" t="shared" si="526" ref="BC48:BC55">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ca="1" t="shared" si="527" ref="BG48:BG55">IF(OR(($C48&lt;&gt;"")*(AV48&lt;&gt;""),($E48&lt;&gt;"")*(AX48&lt;&gt;"")),($B48=AV48)*1+($D48=AX48)*1,"")</f>
        <v>2</v>
      </c>
      <c r="BI48" s="447">
        <f ca="1">$B48</f>
        <v>14</v>
      </c>
      <c r="BJ48" s="448" t="str">
        <f ca="1">$C48</f>
        <v>Croatia</v>
      </c>
      <c r="BK48" s="449">
        <f ca="1">$D48</f>
        <v>13</v>
      </c>
      <c r="BL48" s="448" t="str">
        <f ca="1">$E48</f>
        <v>Scotland</v>
      </c>
      <c r="BM48" s="452"/>
      <c r="BN48" s="452"/>
      <c r="BO48" s="539"/>
      <c r="BP48" s="449" t="str">
        <f ca="1" t="shared" si="528" ref="BP48:BP55">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ca="1" t="shared" si="529" ref="BT48:BT55">IF(OR(($C48&lt;&gt;"")*(BI48&lt;&gt;""),($E48&lt;&gt;"")*(BK48&lt;&gt;"")),($B48=BI48)*1+($D48=BK48)*1,"")</f>
        <v>2</v>
      </c>
      <c r="BV48" s="447">
        <f ca="1">$B48</f>
        <v>14</v>
      </c>
      <c r="BW48" s="448" t="str">
        <f ca="1">$C48</f>
        <v>Croatia</v>
      </c>
      <c r="BX48" s="449">
        <f ca="1">$D48</f>
        <v>13</v>
      </c>
      <c r="BY48" s="448" t="str">
        <f ca="1">$E48</f>
        <v>Scotland</v>
      </c>
      <c r="BZ48" s="452"/>
      <c r="CA48" s="452"/>
      <c r="CB48" s="539"/>
      <c r="CC48" s="449" t="str">
        <f ca="1" t="shared" si="530" ref="CC48:CC55">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ca="1" t="shared" si="531" ref="CG48:CG55">IF(OR(($C48&lt;&gt;"")*(BV48&lt;&gt;""),($E48&lt;&gt;"")*(BX48&lt;&gt;"")),($B48=BV48)*1+($D48=BX48)*1,"")</f>
        <v>2</v>
      </c>
      <c r="CI48" s="447">
        <f ca="1">$B48</f>
        <v>14</v>
      </c>
      <c r="CJ48" s="448" t="str">
        <f ca="1">$C48</f>
        <v>Croatia</v>
      </c>
      <c r="CK48" s="449">
        <f ca="1">$D48</f>
        <v>13</v>
      </c>
      <c r="CL48" s="448" t="str">
        <f ca="1">$E48</f>
        <v>Scotland</v>
      </c>
      <c r="CM48" s="452"/>
      <c r="CN48" s="452"/>
      <c r="CO48" s="539"/>
      <c r="CP48" s="449" t="str">
        <f ca="1" t="shared" si="532" ref="CP48:CP55">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ca="1" t="shared" si="533" ref="CT48:CT55">IF(OR(($C48&lt;&gt;"")*(CI48&lt;&gt;""),($E48&lt;&gt;"")*(CK48&lt;&gt;"")),($B48=CI48)*1+($D48=CK48)*1,"")</f>
        <v>2</v>
      </c>
      <c r="CV48" s="447">
        <f ca="1">$B48</f>
        <v>14</v>
      </c>
      <c r="CW48" s="448" t="str">
        <f ca="1">$C48</f>
        <v>Croatia</v>
      </c>
      <c r="CX48" s="449">
        <f ca="1">$D48</f>
        <v>13</v>
      </c>
      <c r="CY48" s="448" t="str">
        <f ca="1">$E48</f>
        <v>Scotland</v>
      </c>
      <c r="CZ48" s="452"/>
      <c r="DA48" s="452"/>
      <c r="DB48" s="539"/>
      <c r="DC48" s="449" t="str">
        <f ca="1" t="shared" si="534" ref="DC48:DC55">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ca="1" t="shared" si="535" ref="DG48:DG55">IF(OR(($C48&lt;&gt;"")*(CV48&lt;&gt;""),($E48&lt;&gt;"")*(CX48&lt;&gt;"")),($B48=CV48)*1+($D48=CX48)*1,"")</f>
        <v>2</v>
      </c>
      <c r="DI48" s="447">
        <f ca="1">$B48</f>
        <v>14</v>
      </c>
      <c r="DJ48" s="448" t="str">
        <f ca="1">$C48</f>
        <v>Croatia</v>
      </c>
      <c r="DK48" s="449">
        <f ca="1">$D48</f>
        <v>13</v>
      </c>
      <c r="DL48" s="448" t="str">
        <f ca="1">$E48</f>
        <v>Scotland</v>
      </c>
      <c r="DM48" s="452"/>
      <c r="DN48" s="452"/>
      <c r="DO48" s="539"/>
      <c r="DP48" s="449" t="str">
        <f ca="1" t="shared" si="536" ref="DP48:DP55">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ca="1" t="shared" si="537" ref="DT48:DT55">IF(OR(($C48&lt;&gt;"")*(DI48&lt;&gt;""),($E48&lt;&gt;"")*(DK48&lt;&gt;"")),($B48=DI48)*1+($D48=DK48)*1,"")</f>
        <v>2</v>
      </c>
      <c r="DV48" s="447">
        <f ca="1">$B48</f>
        <v>14</v>
      </c>
      <c r="DW48" s="448" t="str">
        <f ca="1">$C48</f>
        <v>Croatia</v>
      </c>
      <c r="DX48" s="449">
        <f ca="1">$D48</f>
        <v>13</v>
      </c>
      <c r="DY48" s="448" t="str">
        <f ca="1">$E48</f>
        <v>Scotland</v>
      </c>
      <c r="DZ48" s="452"/>
      <c r="EA48" s="452"/>
      <c r="EB48" s="539"/>
      <c r="EC48" s="449" t="str">
        <f ca="1" t="shared" si="538" ref="EC48:EC55">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ca="1" t="shared" si="539" ref="EG48:EG55">IF(OR(($C48&lt;&gt;"")*(DV48&lt;&gt;""),($E48&lt;&gt;"")*(DX48&lt;&gt;"")),($B48=DV48)*1+($D48=DX48)*1,"")</f>
        <v>2</v>
      </c>
      <c r="EI48" s="447">
        <f ca="1">$B48</f>
        <v>14</v>
      </c>
      <c r="EJ48" s="448" t="str">
        <f ca="1">$C48</f>
        <v>Croatia</v>
      </c>
      <c r="EK48" s="449">
        <f ca="1">$D48</f>
        <v>13</v>
      </c>
      <c r="EL48" s="448" t="str">
        <f ca="1">$E48</f>
        <v>Scotland</v>
      </c>
      <c r="EM48" s="452"/>
      <c r="EN48" s="452"/>
      <c r="EO48" s="539"/>
      <c r="EP48" s="449" t="str">
        <f ca="1" t="shared" si="540" ref="EP48:EP55">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ca="1" t="shared" si="541" ref="ET48:ET55">IF(OR(($C48&lt;&gt;"")*(EI48&lt;&gt;""),($E48&lt;&gt;"")*(EK48&lt;&gt;"")),($B48=EI48)*1+($D48=EK48)*1,"")</f>
        <v>2</v>
      </c>
      <c r="EV48" s="447">
        <f ca="1">$B48</f>
        <v>14</v>
      </c>
      <c r="EW48" s="448" t="str">
        <f ca="1">$C48</f>
        <v>Croatia</v>
      </c>
      <c r="EX48" s="449">
        <f ca="1">$D48</f>
        <v>13</v>
      </c>
      <c r="EY48" s="448" t="str">
        <f ca="1">$E48</f>
        <v>Scotland</v>
      </c>
      <c r="EZ48" s="452"/>
      <c r="FA48" s="452"/>
      <c r="FB48" s="539"/>
      <c r="FC48" s="449" t="str">
        <f ca="1" t="shared" si="542" ref="FC48:FC55">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ca="1" t="shared" si="543" ref="FG48:FG55">IF(OR(($C48&lt;&gt;"")*(EV48&lt;&gt;""),($E48&lt;&gt;"")*(EX48&lt;&gt;"")),($B48=EV48)*1+($D48=EX48)*1,"")</f>
        <v>2</v>
      </c>
      <c r="FI48" s="447">
        <f ca="1">$B48</f>
        <v>14</v>
      </c>
      <c r="FJ48" s="448" t="str">
        <f ca="1">$C48</f>
        <v>Croatia</v>
      </c>
      <c r="FK48" s="449">
        <f ca="1">$D48</f>
        <v>13</v>
      </c>
      <c r="FL48" s="448" t="str">
        <f ca="1">$E48</f>
        <v>Scotland</v>
      </c>
      <c r="FM48" s="452"/>
      <c r="FN48" s="452"/>
      <c r="FO48" s="539"/>
      <c r="FP48" s="449" t="str">
        <f ca="1" t="shared" si="544" ref="FP48:FP55">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ca="1" t="shared" si="545" ref="FT48:FT55">IF(OR(($C48&lt;&gt;"")*(FI48&lt;&gt;""),($E48&lt;&gt;"")*(FK48&lt;&gt;"")),($B48=FI48)*1+($D48=FK48)*1,"")</f>
        <v>2</v>
      </c>
      <c r="FV48" s="447">
        <f ca="1">$B48</f>
        <v>14</v>
      </c>
      <c r="FW48" s="448" t="str">
        <f ca="1">$C48</f>
        <v>Croatia</v>
      </c>
      <c r="FX48" s="449">
        <f ca="1">$D48</f>
        <v>13</v>
      </c>
      <c r="FY48" s="448" t="str">
        <f ca="1">$E48</f>
        <v>Scotland</v>
      </c>
      <c r="FZ48" s="452"/>
      <c r="GA48" s="452"/>
      <c r="GB48" s="539"/>
      <c r="GC48" s="449" t="str">
        <f ca="1" t="shared" si="546" ref="GC48:GC55">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ca="1" t="shared" si="547" ref="GG48:GG55">IF(OR(($C48&lt;&gt;"")*(FV48&lt;&gt;""),($E48&lt;&gt;"")*(FX48&lt;&gt;"")),($B48=FV48)*1+($D48=FX48)*1,"")</f>
        <v>2</v>
      </c>
      <c r="GI48" s="447">
        <f ca="1">$B48</f>
        <v>14</v>
      </c>
      <c r="GJ48" s="448" t="str">
        <f ca="1">$C48</f>
        <v>Croatia</v>
      </c>
      <c r="GK48" s="449">
        <f ca="1">$D48</f>
        <v>13</v>
      </c>
      <c r="GL48" s="448" t="str">
        <f ca="1">$E48</f>
        <v>Scotland</v>
      </c>
      <c r="GM48" s="452"/>
      <c r="GN48" s="452"/>
      <c r="GO48" s="539"/>
      <c r="GP48" s="449" t="str">
        <f ca="1" t="shared" si="548" ref="GP48:GP55">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ca="1" t="shared" si="549" ref="GT48:GT55">IF(OR(($C48&lt;&gt;"")*(GI48&lt;&gt;""),($E48&lt;&gt;"")*(GK48&lt;&gt;"")),($B48=GI48)*1+($D48=GK48)*1,"")</f>
        <v>2</v>
      </c>
      <c r="GV48" s="447">
        <f ca="1">$B48</f>
        <v>14</v>
      </c>
      <c r="GW48" s="448" t="str">
        <f ca="1">$C48</f>
        <v>Croatia</v>
      </c>
      <c r="GX48" s="449">
        <f ca="1">$D48</f>
        <v>13</v>
      </c>
      <c r="GY48" s="448" t="str">
        <f ca="1">$E48</f>
        <v>Scotland</v>
      </c>
      <c r="GZ48" s="452"/>
      <c r="HA48" s="452"/>
      <c r="HB48" s="539"/>
      <c r="HC48" s="449" t="str">
        <f ca="1" t="shared" si="550" ref="HC48:HC55">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ca="1" t="shared" si="551" ref="HG48:HG55">IF(OR(($C48&lt;&gt;"")*(GV48&lt;&gt;""),($E48&lt;&gt;"")*(GX48&lt;&gt;"")),($B48=GV48)*1+($D48=GX48)*1,"")</f>
        <v>2</v>
      </c>
      <c r="HI48" s="447">
        <f ca="1">$B48</f>
        <v>14</v>
      </c>
      <c r="HJ48" s="448" t="str">
        <f ca="1">$C48</f>
        <v>Croatia</v>
      </c>
      <c r="HK48" s="449">
        <f ca="1">$D48</f>
        <v>13</v>
      </c>
      <c r="HL48" s="448" t="str">
        <f ca="1">$E48</f>
        <v>Scotland</v>
      </c>
      <c r="HM48" s="452"/>
      <c r="HN48" s="452"/>
      <c r="HO48" s="539"/>
      <c r="HP48" s="449" t="str">
        <f ca="1" t="shared" si="552" ref="HP48:HP55">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ca="1" t="shared" si="553" ref="HT48:HT55">IF(OR(($C48&lt;&gt;"")*(HI48&lt;&gt;""),($E48&lt;&gt;"")*(HK48&lt;&gt;"")),($B48=HI48)*1+($D48=HK48)*1,"")</f>
        <v>2</v>
      </c>
      <c r="HV48" s="447">
        <f ca="1">$B48</f>
        <v>14</v>
      </c>
      <c r="HW48" s="448" t="str">
        <f ca="1">$C48</f>
        <v>Croatia</v>
      </c>
      <c r="HX48" s="449">
        <f ca="1">$D48</f>
        <v>13</v>
      </c>
      <c r="HY48" s="448" t="str">
        <f ca="1">$E48</f>
        <v>Scotland</v>
      </c>
      <c r="HZ48" s="452"/>
      <c r="IA48" s="452"/>
      <c r="IB48" s="539"/>
      <c r="IC48" s="449" t="str">
        <f ca="1" t="shared" si="554" ref="IC48:IC55">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ca="1" t="shared" si="555" ref="IG48:IG55">IF(OR(($C48&lt;&gt;"")*(HV48&lt;&gt;""),($E48&lt;&gt;"")*(HX48&lt;&gt;"")),($B48=HV48)*1+($D48=HX48)*1,"")</f>
        <v>2</v>
      </c>
      <c r="II48" s="447">
        <f ca="1">$B48</f>
        <v>14</v>
      </c>
      <c r="IJ48" s="448" t="str">
        <f ca="1">$C48</f>
        <v>Croatia</v>
      </c>
      <c r="IK48" s="449">
        <f ca="1">$D48</f>
        <v>13</v>
      </c>
      <c r="IL48" s="448" t="str">
        <f ca="1">$E48</f>
        <v>Scotland</v>
      </c>
      <c r="IM48" s="452"/>
      <c r="IN48" s="452"/>
      <c r="IO48" s="539"/>
      <c r="IP48" s="449" t="str">
        <f ca="1" t="shared" si="556" ref="IP48:IP55">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ca="1" t="shared" si="557" ref="IT48:IT55">IF(OR(($C48&lt;&gt;"")*(II48&lt;&gt;""),($E48&lt;&gt;"")*(IK48&lt;&gt;"")),($B48=II48)*1+($D48=IK48)*1,"")</f>
        <v>2</v>
      </c>
      <c r="IV48" s="447">
        <f ca="1">$B48</f>
        <v>14</v>
      </c>
      <c r="IW48" s="448" t="str">
        <f ca="1">$C48</f>
        <v>Croatia</v>
      </c>
      <c r="IX48" s="449">
        <f ca="1">$D48</f>
        <v>13</v>
      </c>
      <c r="IY48" s="448" t="str">
        <f ca="1">$E48</f>
        <v>Scotland</v>
      </c>
      <c r="IZ48" s="452"/>
      <c r="JA48" s="452"/>
      <c r="JB48" s="539"/>
      <c r="JC48" s="449" t="str">
        <f ca="1" t="shared" si="558" ref="JC48:JC55">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ca="1" t="shared" si="559" ref="JG48:JG55">IF(OR(($C48&lt;&gt;"")*(IV48&lt;&gt;""),($E48&lt;&gt;"")*(IX48&lt;&gt;"")),($B48=IV48)*1+($D48=IX48)*1,"")</f>
        <v>2</v>
      </c>
      <c r="JI48" s="447">
        <f ca="1">$B48</f>
        <v>14</v>
      </c>
      <c r="JJ48" s="448" t="str">
        <f ca="1">$C48</f>
        <v>Croatia</v>
      </c>
      <c r="JK48" s="449">
        <f ca="1">$D48</f>
        <v>13</v>
      </c>
      <c r="JL48" s="448" t="str">
        <f ca="1">$E48</f>
        <v>Scotland</v>
      </c>
      <c r="JM48" s="452"/>
      <c r="JN48" s="452"/>
      <c r="JO48" s="539"/>
      <c r="JP48" s="449" t="str">
        <f ca="1" t="shared" si="560" ref="JP48:JP55">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ca="1" t="shared" si="561" ref="JT48:JT55">IF(OR(($C48&lt;&gt;"")*(JI48&lt;&gt;""),($E48&lt;&gt;"")*(JK48&lt;&gt;"")),($B48=JI48)*1+($D48=JK48)*1,"")</f>
        <v>2</v>
      </c>
      <c r="JV48" s="447">
        <f ca="1">$B48</f>
        <v>14</v>
      </c>
      <c r="JW48" s="448" t="str">
        <f ca="1">$C48</f>
        <v>Croatia</v>
      </c>
      <c r="JX48" s="449">
        <f ca="1">$D48</f>
        <v>13</v>
      </c>
      <c r="JY48" s="448" t="str">
        <f ca="1">$E48</f>
        <v>Scotland</v>
      </c>
      <c r="JZ48" s="452"/>
      <c r="KA48" s="452"/>
      <c r="KB48" s="539"/>
      <c r="KC48" s="449" t="str">
        <f ca="1" t="shared" si="562" ref="KC48:KC55">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ca="1" t="shared" si="563" ref="KG48:KG55">IF(OR(($C48&lt;&gt;"")*(JV48&lt;&gt;""),($E48&lt;&gt;"")*(JX48&lt;&gt;"")),($B48=JV48)*1+($D48=JX48)*1,"")</f>
        <v>2</v>
      </c>
      <c r="KI48" s="447">
        <f ca="1">$B48</f>
        <v>14</v>
      </c>
      <c r="KJ48" s="448" t="str">
        <f ca="1">$C48</f>
        <v>Croatia</v>
      </c>
      <c r="KK48" s="449">
        <f ca="1">$D48</f>
        <v>13</v>
      </c>
      <c r="KL48" s="448" t="str">
        <f ca="1">$E48</f>
        <v>Scotland</v>
      </c>
      <c r="KM48" s="452"/>
      <c r="KN48" s="452"/>
      <c r="KO48" s="539"/>
      <c r="KP48" s="449" t="str">
        <f ca="1" t="shared" si="564" ref="KP48:KP55">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ca="1" t="shared" si="565" ref="KT48:KT55">IF(OR(($C48&lt;&gt;"")*(KI48&lt;&gt;""),($E48&lt;&gt;"")*(KK48&lt;&gt;"")),($B48=KI48)*1+($D48=KK48)*1,"")</f>
        <v>2</v>
      </c>
      <c r="KV48" s="447">
        <f ca="1">$B48</f>
        <v>14</v>
      </c>
      <c r="KW48" s="448" t="str">
        <f ca="1">$C48</f>
        <v>Croatia</v>
      </c>
      <c r="KX48" s="449">
        <f ca="1">$D48</f>
        <v>13</v>
      </c>
      <c r="KY48" s="448" t="str">
        <f ca="1">$E48</f>
        <v>Scotland</v>
      </c>
      <c r="KZ48" s="452"/>
      <c r="LA48" s="452"/>
      <c r="LB48" s="539"/>
      <c r="LC48" s="449" t="str">
        <f ca="1" t="shared" si="566" ref="LC48:LC55">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ca="1" t="shared" si="567" ref="LG48:LG55">IF(OR(($C48&lt;&gt;"")*(KV48&lt;&gt;""),($E48&lt;&gt;"")*(KX48&lt;&gt;"")),($B48=KV48)*1+($D48=KX48)*1,"")</f>
        <v>2</v>
      </c>
      <c r="LI48" s="447">
        <f ca="1">$B48</f>
        <v>14</v>
      </c>
      <c r="LJ48" s="448" t="str">
        <f ca="1">$C48</f>
        <v>Croatia</v>
      </c>
      <c r="LK48" s="449">
        <f ca="1">$D48</f>
        <v>13</v>
      </c>
      <c r="LL48" s="448" t="str">
        <f ca="1">$E48</f>
        <v>Scotland</v>
      </c>
      <c r="LM48" s="452"/>
      <c r="LN48" s="452"/>
      <c r="LO48" s="539"/>
      <c r="LP48" s="449" t="str">
        <f ca="1" t="shared" si="568" ref="LP48:LP55">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ca="1" t="shared" si="569" ref="LT48:LT55">IF(OR(($C48&lt;&gt;"")*(LI48&lt;&gt;""),($E48&lt;&gt;"")*(LK48&lt;&gt;"")),($B48=LI48)*1+($D48=LK48)*1,"")</f>
        <v>2</v>
      </c>
      <c r="LV48" s="447">
        <f ca="1">$B48</f>
        <v>14</v>
      </c>
      <c r="LW48" s="448" t="str">
        <f ca="1">$C48</f>
        <v>Croatia</v>
      </c>
      <c r="LX48" s="449">
        <f ca="1">$D48</f>
        <v>13</v>
      </c>
      <c r="LY48" s="448" t="str">
        <f ca="1">$E48</f>
        <v>Scotland</v>
      </c>
      <c r="LZ48" s="452"/>
      <c r="MA48" s="452"/>
      <c r="MB48" s="539"/>
      <c r="MC48" s="449" t="str">
        <f ca="1" t="shared" si="570" ref="MC48:MC55">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ca="1" t="shared" si="571" ref="MG48:MG55">IF(OR(($C48&lt;&gt;"")*(LV48&lt;&gt;""),($E48&lt;&gt;"")*(LX48&lt;&gt;"")),($B48=LV48)*1+($D48=LX48)*1,"")</f>
        <v>2</v>
      </c>
    </row>
    <row r="49" spans="1:345" s="25" customFormat="1" ht="15.5">
      <c r="A49" s="428"/>
      <c r="B49" s="447">
        <f ca="1">IF(C49="","",INDEX(Groups!$C$7:$C$35,MATCH(C49,Groups!$D$7:$D$35,0)))</f>
        <v>6</v>
      </c>
      <c r="C49" s="448" t="str">
        <f ca="1">INDIRECT("'"&amp;References!$A$1&amp;"'!"&amp;"$E$54")</f>
        <v>Hungary</v>
      </c>
      <c r="D49" s="449">
        <f ca="1">IF(E49="","",INDEX(Groups!$C$7:$C$35,MATCH(E49,Groups!$D$7:$D$35,0)))</f>
        <v>19</v>
      </c>
      <c r="E49" s="448" t="str">
        <f ca="1">INDIRECT("'"&amp;References!$A$1&amp;"'!"&amp;"$F$54")</f>
        <v>Serbia</v>
      </c>
      <c r="F49" s="450">
        <f ca="1">IF(AND(INDIRECT("'"&amp;References!$A$1&amp;"'!"&amp;"$E$55")&lt;&gt;"",INDIRECT("'"&amp;References!$A$1&amp;"'!"&amp;"$F$55")&lt;&gt;""),INDIRECT("'"&amp;References!$A$1&amp;"'!"&amp;"$E$55"),"")</f>
        <v>2</v>
      </c>
      <c r="G49" s="451">
        <f ca="1">IF(AND(INDIRECT("'"&amp;References!$A$1&amp;"'!"&amp;"$E$55")&lt;&gt;"",INDIRECT("'"&amp;References!$A$1&amp;"'!"&amp;"$F$55")&lt;&gt;""),INDIRECT("'"&amp;References!$A$1&amp;"'!"&amp;"$F$55"),"")</f>
        <v>1</v>
      </c>
      <c r="I49" s="447">
        <f ca="1" t="shared" si="572" ref="I49:I55">$B49</f>
        <v>6</v>
      </c>
      <c r="J49" s="448" t="str">
        <f ca="1" t="shared" si="573" ref="J49:J55">$C49</f>
        <v>Hungary</v>
      </c>
      <c r="K49" s="449">
        <f ca="1" t="shared" si="574" ref="K49:K55">$D49</f>
        <v>19</v>
      </c>
      <c r="L49" s="448" t="str">
        <f ca="1" t="shared" si="575" ref="L49:L55">$E49</f>
        <v>Serbia</v>
      </c>
      <c r="M49" s="452"/>
      <c r="N49" s="452"/>
      <c r="O49" s="541">
        <f>COUNTIF(I$65:I$65,K65)+COUNTIF(K$65:K$65,K65)</f>
        <v>0</v>
      </c>
      <c r="P49" s="449" t="str">
        <f t="shared" ca="1" si="520"/>
        <v/>
      </c>
      <c r="Q49" s="449" t="str">
        <f ca="1">IF((P49&lt;&gt;""),IF(OR($F49&lt;&gt;$G49,PrSettings!$M$4="●"),(($F49-$G49)=(M49-N49))*1,0),"")</f>
        <v/>
      </c>
      <c r="R49" s="449" t="str">
        <f ca="1" t="shared" si="576" ref="R49:R55">IF((Q49&lt;&gt;""),($F49=M49)*($G49=N49),"")</f>
        <v/>
      </c>
      <c r="S49" s="449" t="str">
        <f ca="1">IF(P49&lt;&gt;"",IF(ABS($F49-$G49)&gt;=PrSettings!$M$7,(ABS($F49-$G49-M49+N49)&lt;=1)*1,IF(AND(P49,$F49=$G49,$F49&gt;=PrSettings!$M$6),(ABS(M49-$F49)&lt;=1)*1,IF(AND(ABS($F49-$G49-M49+N49)&lt;=1,$F49+$G49&gt;=PrSettings!$M$8),(ABS(M49-$F49)&lt;=1)*(ABS(N49-$G49)&lt;=1)*1,""))),"")</f>
        <v/>
      </c>
      <c r="T49" s="542">
        <f t="shared" ca="1" si="521"/>
        <v>2</v>
      </c>
      <c r="V49" s="447">
        <f ca="1" t="shared" si="577" ref="V49:V55">$B49</f>
        <v>6</v>
      </c>
      <c r="W49" s="448" t="str">
        <f ca="1" t="shared" si="578" ref="W49:W55">$C49</f>
        <v>Hungary</v>
      </c>
      <c r="X49" s="449">
        <f ca="1" t="shared" si="579" ref="X49:X55">$D49</f>
        <v>19</v>
      </c>
      <c r="Y49" s="448" t="str">
        <f ca="1" t="shared" si="580" ref="Y49:Y55">$E49</f>
        <v>Serbia</v>
      </c>
      <c r="Z49" s="452"/>
      <c r="AA49" s="452"/>
      <c r="AB49" s="541">
        <f>COUNTIF(V$65:V$65,X65)+COUNTIF(X$65:X$65,X65)</f>
        <v>0</v>
      </c>
      <c r="AC49" s="449" t="str">
        <f t="shared" ca="1" si="522"/>
        <v/>
      </c>
      <c r="AD49" s="449" t="str">
        <f ca="1">IF((AC49&lt;&gt;""),IF(OR($F49&lt;&gt;$G49,PrSettings!$M$4="●"),(($F49-$G49)=(Z49-AA49))*1,0),"")</f>
        <v/>
      </c>
      <c r="AE49" s="449" t="str">
        <f ca="1" t="shared" si="581" ref="AE49:AE55">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ca="1" t="shared" si="582" ref="AI49:AI55">$B49</f>
        <v>6</v>
      </c>
      <c r="AJ49" s="448" t="str">
        <f ca="1" t="shared" si="583" ref="AJ49:AJ55">$C49</f>
        <v>Hungary</v>
      </c>
      <c r="AK49" s="449">
        <f ca="1" t="shared" si="584" ref="AK49:AK55">$D49</f>
        <v>19</v>
      </c>
      <c r="AL49" s="448" t="str">
        <f ca="1" t="shared" si="585" ref="AL49:AL55">$E49</f>
        <v>Serbia</v>
      </c>
      <c r="AM49" s="452"/>
      <c r="AN49" s="452"/>
      <c r="AO49" s="541">
        <f>COUNTIF(AI$65:AI$65,AK65)+COUNTIF(AK$65:AK$65,AK65)</f>
        <v>0</v>
      </c>
      <c r="AP49" s="449" t="str">
        <f t="shared" ca="1" si="524"/>
        <v/>
      </c>
      <c r="AQ49" s="449" t="str">
        <f ca="1">IF((AP49&lt;&gt;""),IF(OR($F49&lt;&gt;$G49,PrSettings!$M$4="●"),(($F49-$G49)=(AM49-AN49))*1,0),"")</f>
        <v/>
      </c>
      <c r="AR49" s="449" t="str">
        <f ca="1" t="shared" si="586" ref="AR49:AR55">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ca="1" t="shared" si="587" ref="AV49:AV55">$B49</f>
        <v>6</v>
      </c>
      <c r="AW49" s="448" t="str">
        <f ca="1" t="shared" si="588" ref="AW49:AW55">$C49</f>
        <v>Hungary</v>
      </c>
      <c r="AX49" s="449">
        <f ca="1" t="shared" si="589" ref="AX49:AX55">$D49</f>
        <v>19</v>
      </c>
      <c r="AY49" s="448" t="str">
        <f ca="1" t="shared" si="590" ref="AY49:AY55">$E49</f>
        <v>Serbia</v>
      </c>
      <c r="AZ49" s="452"/>
      <c r="BA49" s="452"/>
      <c r="BB49" s="541">
        <f>COUNTIF(AV$65:AV$65,AX65)+COUNTIF(AX$65:AX$65,AX65)</f>
        <v>0</v>
      </c>
      <c r="BC49" s="449" t="str">
        <f t="shared" ca="1" si="526"/>
        <v/>
      </c>
      <c r="BD49" s="449" t="str">
        <f ca="1">IF((BC49&lt;&gt;""),IF(OR($F49&lt;&gt;$G49,PrSettings!$M$4="●"),(($F49-$G49)=(AZ49-BA49))*1,0),"")</f>
        <v/>
      </c>
      <c r="BE49" s="449" t="str">
        <f ca="1" t="shared" si="591" ref="BE49:BE55">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ca="1" t="shared" si="592" ref="BI49:BI55">$B49</f>
        <v>6</v>
      </c>
      <c r="BJ49" s="448" t="str">
        <f ca="1" t="shared" si="593" ref="BJ49:BJ55">$C49</f>
        <v>Hungary</v>
      </c>
      <c r="BK49" s="449">
        <f ca="1" t="shared" si="594" ref="BK49:BK55">$D49</f>
        <v>19</v>
      </c>
      <c r="BL49" s="448" t="str">
        <f ca="1" t="shared" si="595" ref="BL49:BL55">$E49</f>
        <v>Serbia</v>
      </c>
      <c r="BM49" s="452"/>
      <c r="BN49" s="452"/>
      <c r="BO49" s="541">
        <f>COUNTIF(BI$65:BI$65,BK65)+COUNTIF(BK$65:BK$65,BK65)</f>
        <v>0</v>
      </c>
      <c r="BP49" s="449" t="str">
        <f t="shared" ca="1" si="528"/>
        <v/>
      </c>
      <c r="BQ49" s="449" t="str">
        <f ca="1">IF((BP49&lt;&gt;""),IF(OR($F49&lt;&gt;$G49,PrSettings!$M$4="●"),(($F49-$G49)=(BM49-BN49))*1,0),"")</f>
        <v/>
      </c>
      <c r="BR49" s="449" t="str">
        <f ca="1" t="shared" si="596" ref="BR49:BR55">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ca="1" t="shared" si="597" ref="BV49:BV55">$B49</f>
        <v>6</v>
      </c>
      <c r="BW49" s="448" t="str">
        <f ca="1" t="shared" si="598" ref="BW49:BW55">$C49</f>
        <v>Hungary</v>
      </c>
      <c r="BX49" s="449">
        <f ca="1" t="shared" si="599" ref="BX49:BX55">$D49</f>
        <v>19</v>
      </c>
      <c r="BY49" s="448" t="str">
        <f ca="1" t="shared" si="600" ref="BY49:BY55">$E49</f>
        <v>Serbia</v>
      </c>
      <c r="BZ49" s="452"/>
      <c r="CA49" s="452"/>
      <c r="CB49" s="541">
        <f>COUNTIF(BV$65:BV$65,BX65)+COUNTIF(BX$65:BX$65,BX65)</f>
        <v>0</v>
      </c>
      <c r="CC49" s="449" t="str">
        <f t="shared" ca="1" si="530"/>
        <v/>
      </c>
      <c r="CD49" s="449" t="str">
        <f ca="1">IF((CC49&lt;&gt;""),IF(OR($F49&lt;&gt;$G49,PrSettings!$M$4="●"),(($F49-$G49)=(BZ49-CA49))*1,0),"")</f>
        <v/>
      </c>
      <c r="CE49" s="449" t="str">
        <f ca="1" t="shared" si="601" ref="CE49:CE55">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ca="1" t="shared" si="602" ref="CI49:CI55">$B49</f>
        <v>6</v>
      </c>
      <c r="CJ49" s="448" t="str">
        <f ca="1" t="shared" si="603" ref="CJ49:CJ55">$C49</f>
        <v>Hungary</v>
      </c>
      <c r="CK49" s="449">
        <f ca="1" t="shared" si="604" ref="CK49:CK55">$D49</f>
        <v>19</v>
      </c>
      <c r="CL49" s="448" t="str">
        <f ca="1" t="shared" si="605" ref="CL49:CL55">$E49</f>
        <v>Serbia</v>
      </c>
      <c r="CM49" s="452"/>
      <c r="CN49" s="452"/>
      <c r="CO49" s="541">
        <f>COUNTIF(CI$65:CI$65,CK65)+COUNTIF(CK$65:CK$65,CK65)</f>
        <v>0</v>
      </c>
      <c r="CP49" s="449" t="str">
        <f t="shared" ca="1" si="532"/>
        <v/>
      </c>
      <c r="CQ49" s="449" t="str">
        <f ca="1">IF((CP49&lt;&gt;""),IF(OR($F49&lt;&gt;$G49,PrSettings!$M$4="●"),(($F49-$G49)=(CM49-CN49))*1,0),"")</f>
        <v/>
      </c>
      <c r="CR49" s="449" t="str">
        <f ca="1" t="shared" si="606" ref="CR49:CR55">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ca="1" t="shared" si="607" ref="CV49:CV55">$B49</f>
        <v>6</v>
      </c>
      <c r="CW49" s="448" t="str">
        <f ca="1" t="shared" si="608" ref="CW49:CW55">$C49</f>
        <v>Hungary</v>
      </c>
      <c r="CX49" s="449">
        <f ca="1" t="shared" si="609" ref="CX49:CX55">$D49</f>
        <v>19</v>
      </c>
      <c r="CY49" s="448" t="str">
        <f ca="1" t="shared" si="610" ref="CY49:CY55">$E49</f>
        <v>Serbia</v>
      </c>
      <c r="CZ49" s="452"/>
      <c r="DA49" s="452"/>
      <c r="DB49" s="541">
        <f>COUNTIF(CV$65:CV$65,CX65)+COUNTIF(CX$65:CX$65,CX65)</f>
        <v>0</v>
      </c>
      <c r="DC49" s="449" t="str">
        <f t="shared" ca="1" si="534"/>
        <v/>
      </c>
      <c r="DD49" s="449" t="str">
        <f ca="1">IF((DC49&lt;&gt;""),IF(OR($F49&lt;&gt;$G49,PrSettings!$M$4="●"),(($F49-$G49)=(CZ49-DA49))*1,0),"")</f>
        <v/>
      </c>
      <c r="DE49" s="449" t="str">
        <f ca="1" t="shared" si="611" ref="DE49:DE55">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ca="1" t="shared" si="612" ref="DI49:DI55">$B49</f>
        <v>6</v>
      </c>
      <c r="DJ49" s="448" t="str">
        <f ca="1" t="shared" si="613" ref="DJ49:DJ55">$C49</f>
        <v>Hungary</v>
      </c>
      <c r="DK49" s="449">
        <f ca="1" t="shared" si="614" ref="DK49:DK55">$D49</f>
        <v>19</v>
      </c>
      <c r="DL49" s="448" t="str">
        <f ca="1" t="shared" si="615" ref="DL49:DL55">$E49</f>
        <v>Serbia</v>
      </c>
      <c r="DM49" s="452"/>
      <c r="DN49" s="452"/>
      <c r="DO49" s="541">
        <f>COUNTIF(DI$65:DI$65,DK65)+COUNTIF(DK$65:DK$65,DK65)</f>
        <v>0</v>
      </c>
      <c r="DP49" s="449" t="str">
        <f t="shared" ca="1" si="536"/>
        <v/>
      </c>
      <c r="DQ49" s="449" t="str">
        <f ca="1">IF((DP49&lt;&gt;""),IF(OR($F49&lt;&gt;$G49,PrSettings!$M$4="●"),(($F49-$G49)=(DM49-DN49))*1,0),"")</f>
        <v/>
      </c>
      <c r="DR49" s="449" t="str">
        <f ca="1" t="shared" si="616" ref="DR49:DR55">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ca="1" t="shared" si="617" ref="DV49:DV55">$B49</f>
        <v>6</v>
      </c>
      <c r="DW49" s="448" t="str">
        <f ca="1" t="shared" si="618" ref="DW49:DW55">$C49</f>
        <v>Hungary</v>
      </c>
      <c r="DX49" s="449">
        <f ca="1" t="shared" si="619" ref="DX49:DX55">$D49</f>
        <v>19</v>
      </c>
      <c r="DY49" s="448" t="str">
        <f ca="1" t="shared" si="620" ref="DY49:DY55">$E49</f>
        <v>Serbia</v>
      </c>
      <c r="DZ49" s="452"/>
      <c r="EA49" s="452"/>
      <c r="EB49" s="541">
        <f>COUNTIF(DV$65:DV$65,DX65)+COUNTIF(DX$65:DX$65,DX65)</f>
        <v>0</v>
      </c>
      <c r="EC49" s="449" t="str">
        <f t="shared" ca="1" si="538"/>
        <v/>
      </c>
      <c r="ED49" s="449" t="str">
        <f ca="1">IF((EC49&lt;&gt;""),IF(OR($F49&lt;&gt;$G49,PrSettings!$M$4="●"),(($F49-$G49)=(DZ49-EA49))*1,0),"")</f>
        <v/>
      </c>
      <c r="EE49" s="449" t="str">
        <f ca="1" t="shared" si="621" ref="EE49:EE55">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ca="1" t="shared" si="622" ref="EI49:EI55">$B49</f>
        <v>6</v>
      </c>
      <c r="EJ49" s="448" t="str">
        <f ca="1" t="shared" si="623" ref="EJ49:EJ55">$C49</f>
        <v>Hungary</v>
      </c>
      <c r="EK49" s="449">
        <f ca="1" t="shared" si="624" ref="EK49:EK55">$D49</f>
        <v>19</v>
      </c>
      <c r="EL49" s="448" t="str">
        <f ca="1" t="shared" si="625" ref="EL49:EL55">$E49</f>
        <v>Serbia</v>
      </c>
      <c r="EM49" s="452"/>
      <c r="EN49" s="452"/>
      <c r="EO49" s="541">
        <f>COUNTIF(EI$65:EI$65,EK65)+COUNTIF(EK$65:EK$65,EK65)</f>
        <v>0</v>
      </c>
      <c r="EP49" s="449" t="str">
        <f t="shared" ca="1" si="540"/>
        <v/>
      </c>
      <c r="EQ49" s="449" t="str">
        <f ca="1">IF((EP49&lt;&gt;""),IF(OR($F49&lt;&gt;$G49,PrSettings!$M$4="●"),(($F49-$G49)=(EM49-EN49))*1,0),"")</f>
        <v/>
      </c>
      <c r="ER49" s="449" t="str">
        <f ca="1" t="shared" si="626" ref="ER49:ER55">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ca="1" t="shared" si="627" ref="EV49:EV55">$B49</f>
        <v>6</v>
      </c>
      <c r="EW49" s="448" t="str">
        <f ca="1" t="shared" si="628" ref="EW49:EW55">$C49</f>
        <v>Hungary</v>
      </c>
      <c r="EX49" s="449">
        <f ca="1" t="shared" si="629" ref="EX49:EX55">$D49</f>
        <v>19</v>
      </c>
      <c r="EY49" s="448" t="str">
        <f ca="1" t="shared" si="630" ref="EY49:EY55">$E49</f>
        <v>Serbia</v>
      </c>
      <c r="EZ49" s="452"/>
      <c r="FA49" s="452"/>
      <c r="FB49" s="541">
        <f>COUNTIF(EV$65:EV$65,EX65)+COUNTIF(EX$65:EX$65,EX65)</f>
        <v>0</v>
      </c>
      <c r="FC49" s="449" t="str">
        <f t="shared" ca="1" si="542"/>
        <v/>
      </c>
      <c r="FD49" s="449" t="str">
        <f ca="1">IF((FC49&lt;&gt;""),IF(OR($F49&lt;&gt;$G49,PrSettings!$M$4="●"),(($F49-$G49)=(EZ49-FA49))*1,0),"")</f>
        <v/>
      </c>
      <c r="FE49" s="449" t="str">
        <f ca="1" t="shared" si="631" ref="FE49:FE55">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ca="1" t="shared" si="632" ref="FI49:FI55">$B49</f>
        <v>6</v>
      </c>
      <c r="FJ49" s="448" t="str">
        <f ca="1" t="shared" si="633" ref="FJ49:FJ55">$C49</f>
        <v>Hungary</v>
      </c>
      <c r="FK49" s="449">
        <f ca="1" t="shared" si="634" ref="FK49:FK55">$D49</f>
        <v>19</v>
      </c>
      <c r="FL49" s="448" t="str">
        <f ca="1" t="shared" si="635" ref="FL49:FL55">$E49</f>
        <v>Serbia</v>
      </c>
      <c r="FM49" s="452"/>
      <c r="FN49" s="452"/>
      <c r="FO49" s="541">
        <f>COUNTIF(FI$65:FI$65,FK65)+COUNTIF(FK$65:FK$65,FK65)</f>
        <v>0</v>
      </c>
      <c r="FP49" s="449" t="str">
        <f t="shared" ca="1" si="544"/>
        <v/>
      </c>
      <c r="FQ49" s="449" t="str">
        <f ca="1">IF((FP49&lt;&gt;""),IF(OR($F49&lt;&gt;$G49,PrSettings!$M$4="●"),(($F49-$G49)=(FM49-FN49))*1,0),"")</f>
        <v/>
      </c>
      <c r="FR49" s="449" t="str">
        <f ca="1" t="shared" si="636" ref="FR49:FR55">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ca="1" t="shared" si="637" ref="FV49:FV55">$B49</f>
        <v>6</v>
      </c>
      <c r="FW49" s="448" t="str">
        <f ca="1" t="shared" si="638" ref="FW49:FW55">$C49</f>
        <v>Hungary</v>
      </c>
      <c r="FX49" s="449">
        <f ca="1" t="shared" si="639" ref="FX49:FX55">$D49</f>
        <v>19</v>
      </c>
      <c r="FY49" s="448" t="str">
        <f ca="1" t="shared" si="640" ref="FY49:FY55">$E49</f>
        <v>Serbia</v>
      </c>
      <c r="FZ49" s="452"/>
      <c r="GA49" s="452"/>
      <c r="GB49" s="541">
        <f>COUNTIF(FV$65:FV$65,FX65)+COUNTIF(FX$65:FX$65,FX65)</f>
        <v>0</v>
      </c>
      <c r="GC49" s="449" t="str">
        <f t="shared" ca="1" si="546"/>
        <v/>
      </c>
      <c r="GD49" s="449" t="str">
        <f ca="1">IF((GC49&lt;&gt;""),IF(OR($F49&lt;&gt;$G49,PrSettings!$M$4="●"),(($F49-$G49)=(FZ49-GA49))*1,0),"")</f>
        <v/>
      </c>
      <c r="GE49" s="449" t="str">
        <f ca="1" t="shared" si="641" ref="GE49:GE55">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ca="1" t="shared" si="642" ref="GI49:GI55">$B49</f>
        <v>6</v>
      </c>
      <c r="GJ49" s="448" t="str">
        <f ca="1" t="shared" si="643" ref="GJ49:GJ55">$C49</f>
        <v>Hungary</v>
      </c>
      <c r="GK49" s="449">
        <f ca="1" t="shared" si="644" ref="GK49:GK55">$D49</f>
        <v>19</v>
      </c>
      <c r="GL49" s="448" t="str">
        <f ca="1" t="shared" si="645" ref="GL49:GL55">$E49</f>
        <v>Serbia</v>
      </c>
      <c r="GM49" s="452"/>
      <c r="GN49" s="452"/>
      <c r="GO49" s="541">
        <f>COUNTIF(GI$65:GI$65,GK65)+COUNTIF(GK$65:GK$65,GK65)</f>
        <v>0</v>
      </c>
      <c r="GP49" s="449" t="str">
        <f t="shared" ca="1" si="548"/>
        <v/>
      </c>
      <c r="GQ49" s="449" t="str">
        <f ca="1">IF((GP49&lt;&gt;""),IF(OR($F49&lt;&gt;$G49,PrSettings!$M$4="●"),(($F49-$G49)=(GM49-GN49))*1,0),"")</f>
        <v/>
      </c>
      <c r="GR49" s="449" t="str">
        <f ca="1" t="shared" si="646" ref="GR49:GR55">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ca="1" t="shared" si="647" ref="GV49:GV55">$B49</f>
        <v>6</v>
      </c>
      <c r="GW49" s="448" t="str">
        <f ca="1" t="shared" si="648" ref="GW49:GW55">$C49</f>
        <v>Hungary</v>
      </c>
      <c r="GX49" s="449">
        <f ca="1" t="shared" si="649" ref="GX49:GX55">$D49</f>
        <v>19</v>
      </c>
      <c r="GY49" s="448" t="str">
        <f ca="1" t="shared" si="650" ref="GY49:GY55">$E49</f>
        <v>Serbia</v>
      </c>
      <c r="GZ49" s="452"/>
      <c r="HA49" s="452"/>
      <c r="HB49" s="541">
        <f>COUNTIF(GV$65:GV$65,GX65)+COUNTIF(GX$65:GX$65,GX65)</f>
        <v>0</v>
      </c>
      <c r="HC49" s="449" t="str">
        <f t="shared" ca="1" si="550"/>
        <v/>
      </c>
      <c r="HD49" s="449" t="str">
        <f ca="1">IF((HC49&lt;&gt;""),IF(OR($F49&lt;&gt;$G49,PrSettings!$M$4="●"),(($F49-$G49)=(GZ49-HA49))*1,0),"")</f>
        <v/>
      </c>
      <c r="HE49" s="449" t="str">
        <f ca="1" t="shared" si="651" ref="HE49:HE55">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ca="1" t="shared" si="652" ref="HI49:HI55">$B49</f>
        <v>6</v>
      </c>
      <c r="HJ49" s="448" t="str">
        <f ca="1" t="shared" si="653" ref="HJ49:HJ55">$C49</f>
        <v>Hungary</v>
      </c>
      <c r="HK49" s="449">
        <f ca="1" t="shared" si="654" ref="HK49:HK55">$D49</f>
        <v>19</v>
      </c>
      <c r="HL49" s="448" t="str">
        <f ca="1" t="shared" si="655" ref="HL49:HL55">$E49</f>
        <v>Serbia</v>
      </c>
      <c r="HM49" s="452"/>
      <c r="HN49" s="452"/>
      <c r="HO49" s="541">
        <f>COUNTIF(HI$65:HI$65,HK65)+COUNTIF(HK$65:HK$65,HK65)</f>
        <v>0</v>
      </c>
      <c r="HP49" s="449" t="str">
        <f t="shared" ca="1" si="552"/>
        <v/>
      </c>
      <c r="HQ49" s="449" t="str">
        <f ca="1">IF((HP49&lt;&gt;""),IF(OR($F49&lt;&gt;$G49,PrSettings!$M$4="●"),(($F49-$G49)=(HM49-HN49))*1,0),"")</f>
        <v/>
      </c>
      <c r="HR49" s="449" t="str">
        <f ca="1" t="shared" si="656" ref="HR49:HR55">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ca="1" t="shared" si="657" ref="HV49:HV55">$B49</f>
        <v>6</v>
      </c>
      <c r="HW49" s="448" t="str">
        <f ca="1" t="shared" si="658" ref="HW49:HW55">$C49</f>
        <v>Hungary</v>
      </c>
      <c r="HX49" s="449">
        <f ca="1" t="shared" si="659" ref="HX49:HX55">$D49</f>
        <v>19</v>
      </c>
      <c r="HY49" s="448" t="str">
        <f ca="1" t="shared" si="660" ref="HY49:HY55">$E49</f>
        <v>Serbia</v>
      </c>
      <c r="HZ49" s="452"/>
      <c r="IA49" s="452"/>
      <c r="IB49" s="541">
        <f>COUNTIF(HV$65:HV$65,HX65)+COUNTIF(HX$65:HX$65,HX65)</f>
        <v>0</v>
      </c>
      <c r="IC49" s="449" t="str">
        <f t="shared" ca="1" si="554"/>
        <v/>
      </c>
      <c r="ID49" s="449" t="str">
        <f ca="1">IF((IC49&lt;&gt;""),IF(OR($F49&lt;&gt;$G49,PrSettings!$M$4="●"),(($F49-$G49)=(HZ49-IA49))*1,0),"")</f>
        <v/>
      </c>
      <c r="IE49" s="449" t="str">
        <f ca="1" t="shared" si="661" ref="IE49:IE55">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ca="1" t="shared" si="662" ref="II49:II55">$B49</f>
        <v>6</v>
      </c>
      <c r="IJ49" s="448" t="str">
        <f ca="1" t="shared" si="663" ref="IJ49:IJ55">$C49</f>
        <v>Hungary</v>
      </c>
      <c r="IK49" s="449">
        <f ca="1" t="shared" si="664" ref="IK49:IK55">$D49</f>
        <v>19</v>
      </c>
      <c r="IL49" s="448" t="str">
        <f ca="1" t="shared" si="665" ref="IL49:IL55">$E49</f>
        <v>Serbia</v>
      </c>
      <c r="IM49" s="452"/>
      <c r="IN49" s="452"/>
      <c r="IO49" s="541">
        <f>COUNTIF(II$65:II$65,IK65)+COUNTIF(IK$65:IK$65,IK65)</f>
        <v>0</v>
      </c>
      <c r="IP49" s="449" t="str">
        <f t="shared" ca="1" si="556"/>
        <v/>
      </c>
      <c r="IQ49" s="449" t="str">
        <f ca="1">IF((IP49&lt;&gt;""),IF(OR($F49&lt;&gt;$G49,PrSettings!$M$4="●"),(($F49-$G49)=(IM49-IN49))*1,0),"")</f>
        <v/>
      </c>
      <c r="IR49" s="449" t="str">
        <f ca="1" t="shared" si="666" ref="IR49:IR55">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ca="1" t="shared" si="667" ref="IV49:IV55">$B49</f>
        <v>6</v>
      </c>
      <c r="IW49" s="448" t="str">
        <f ca="1" t="shared" si="668" ref="IW49:IW55">$C49</f>
        <v>Hungary</v>
      </c>
      <c r="IX49" s="449">
        <f ca="1" t="shared" si="669" ref="IX49:IX55">$D49</f>
        <v>19</v>
      </c>
      <c r="IY49" s="448" t="str">
        <f ca="1" t="shared" si="670" ref="IY49:IY55">$E49</f>
        <v>Serbia</v>
      </c>
      <c r="IZ49" s="452"/>
      <c r="JA49" s="452"/>
      <c r="JB49" s="541">
        <f>COUNTIF(IV$65:IV$65,IX65)+COUNTIF(IX$65:IX$65,IX65)</f>
        <v>0</v>
      </c>
      <c r="JC49" s="449" t="str">
        <f t="shared" ca="1" si="558"/>
        <v/>
      </c>
      <c r="JD49" s="449" t="str">
        <f ca="1">IF((JC49&lt;&gt;""),IF(OR($F49&lt;&gt;$G49,PrSettings!$M$4="●"),(($F49-$G49)=(IZ49-JA49))*1,0),"")</f>
        <v/>
      </c>
      <c r="JE49" s="449" t="str">
        <f ca="1" t="shared" si="671" ref="JE49:JE55">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ca="1" t="shared" si="672" ref="JI49:JI55">$B49</f>
        <v>6</v>
      </c>
      <c r="JJ49" s="448" t="str">
        <f ca="1" t="shared" si="673" ref="JJ49:JJ55">$C49</f>
        <v>Hungary</v>
      </c>
      <c r="JK49" s="449">
        <f ca="1" t="shared" si="674" ref="JK49:JK55">$D49</f>
        <v>19</v>
      </c>
      <c r="JL49" s="448" t="str">
        <f ca="1" t="shared" si="675" ref="JL49:JL55">$E49</f>
        <v>Serbia</v>
      </c>
      <c r="JM49" s="452"/>
      <c r="JN49" s="452"/>
      <c r="JO49" s="541">
        <f>COUNTIF(JI$65:JI$65,JK65)+COUNTIF(JK$65:JK$65,JK65)</f>
        <v>0</v>
      </c>
      <c r="JP49" s="449" t="str">
        <f t="shared" ca="1" si="560"/>
        <v/>
      </c>
      <c r="JQ49" s="449" t="str">
        <f ca="1">IF((JP49&lt;&gt;""),IF(OR($F49&lt;&gt;$G49,PrSettings!$M$4="●"),(($F49-$G49)=(JM49-JN49))*1,0),"")</f>
        <v/>
      </c>
      <c r="JR49" s="449" t="str">
        <f ca="1" t="shared" si="676" ref="JR49:JR55">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ca="1" t="shared" si="677" ref="JV49:JV55">$B49</f>
        <v>6</v>
      </c>
      <c r="JW49" s="448" t="str">
        <f ca="1" t="shared" si="678" ref="JW49:JW55">$C49</f>
        <v>Hungary</v>
      </c>
      <c r="JX49" s="449">
        <f ca="1" t="shared" si="679" ref="JX49:JX55">$D49</f>
        <v>19</v>
      </c>
      <c r="JY49" s="448" t="str">
        <f ca="1" t="shared" si="680" ref="JY49:JY55">$E49</f>
        <v>Serbia</v>
      </c>
      <c r="JZ49" s="452"/>
      <c r="KA49" s="452"/>
      <c r="KB49" s="541">
        <f>COUNTIF(JV$65:JV$65,JX65)+COUNTIF(JX$65:JX$65,JX65)</f>
        <v>0</v>
      </c>
      <c r="KC49" s="449" t="str">
        <f t="shared" ca="1" si="562"/>
        <v/>
      </c>
      <c r="KD49" s="449" t="str">
        <f ca="1">IF((KC49&lt;&gt;""),IF(OR($F49&lt;&gt;$G49,PrSettings!$M$4="●"),(($F49-$G49)=(JZ49-KA49))*1,0),"")</f>
        <v/>
      </c>
      <c r="KE49" s="449" t="str">
        <f ca="1" t="shared" si="681" ref="KE49:KE55">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ca="1" t="shared" si="682" ref="KI49:KI55">$B49</f>
        <v>6</v>
      </c>
      <c r="KJ49" s="448" t="str">
        <f ca="1" t="shared" si="683" ref="KJ49:KJ55">$C49</f>
        <v>Hungary</v>
      </c>
      <c r="KK49" s="449">
        <f ca="1" t="shared" si="684" ref="KK49:KK55">$D49</f>
        <v>19</v>
      </c>
      <c r="KL49" s="448" t="str">
        <f ca="1" t="shared" si="685" ref="KL49:KL55">$E49</f>
        <v>Serbia</v>
      </c>
      <c r="KM49" s="452"/>
      <c r="KN49" s="452"/>
      <c r="KO49" s="541">
        <f>COUNTIF(KI$65:KI$65,KK65)+COUNTIF(KK$65:KK$65,KK65)</f>
        <v>0</v>
      </c>
      <c r="KP49" s="449" t="str">
        <f t="shared" ca="1" si="564"/>
        <v/>
      </c>
      <c r="KQ49" s="449" t="str">
        <f ca="1">IF((KP49&lt;&gt;""),IF(OR($F49&lt;&gt;$G49,PrSettings!$M$4="●"),(($F49-$G49)=(KM49-KN49))*1,0),"")</f>
        <v/>
      </c>
      <c r="KR49" s="449" t="str">
        <f ca="1" t="shared" si="686" ref="KR49:KR55">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ca="1" t="shared" si="687" ref="KV49:KV55">$B49</f>
        <v>6</v>
      </c>
      <c r="KW49" s="448" t="str">
        <f ca="1" t="shared" si="688" ref="KW49:KW55">$C49</f>
        <v>Hungary</v>
      </c>
      <c r="KX49" s="449">
        <f ca="1" t="shared" si="689" ref="KX49:KX55">$D49</f>
        <v>19</v>
      </c>
      <c r="KY49" s="448" t="str">
        <f ca="1" t="shared" si="690" ref="KY49:KY55">$E49</f>
        <v>Serbia</v>
      </c>
      <c r="KZ49" s="452"/>
      <c r="LA49" s="452"/>
      <c r="LB49" s="541">
        <f>COUNTIF(KV$65:KV$65,KX65)+COUNTIF(KX$65:KX$65,KX65)</f>
        <v>0</v>
      </c>
      <c r="LC49" s="449" t="str">
        <f t="shared" ca="1" si="566"/>
        <v/>
      </c>
      <c r="LD49" s="449" t="str">
        <f ca="1">IF((LC49&lt;&gt;""),IF(OR($F49&lt;&gt;$G49,PrSettings!$M$4="●"),(($F49-$G49)=(KZ49-LA49))*1,0),"")</f>
        <v/>
      </c>
      <c r="LE49" s="449" t="str">
        <f ca="1" t="shared" si="691" ref="LE49:LE55">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ca="1" t="shared" si="692" ref="LI49:LI55">$B49</f>
        <v>6</v>
      </c>
      <c r="LJ49" s="448" t="str">
        <f ca="1" t="shared" si="693" ref="LJ49:LJ55">$C49</f>
        <v>Hungary</v>
      </c>
      <c r="LK49" s="449">
        <f ca="1" t="shared" si="694" ref="LK49:LK55">$D49</f>
        <v>19</v>
      </c>
      <c r="LL49" s="448" t="str">
        <f ca="1" t="shared" si="695" ref="LL49:LL55">$E49</f>
        <v>Serbia</v>
      </c>
      <c r="LM49" s="452"/>
      <c r="LN49" s="452"/>
      <c r="LO49" s="541">
        <f>COUNTIF(LI$65:LI$65,LK65)+COUNTIF(LK$65:LK$65,LK65)</f>
        <v>0</v>
      </c>
      <c r="LP49" s="449" t="str">
        <f t="shared" ca="1" si="568"/>
        <v/>
      </c>
      <c r="LQ49" s="449" t="str">
        <f ca="1">IF((LP49&lt;&gt;""),IF(OR($F49&lt;&gt;$G49,PrSettings!$M$4="●"),(($F49-$G49)=(LM49-LN49))*1,0),"")</f>
        <v/>
      </c>
      <c r="LR49" s="449" t="str">
        <f ca="1" t="shared" si="696" ref="LR49:LR55">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ca="1" t="shared" si="697" ref="LV49:LV55">$B49</f>
        <v>6</v>
      </c>
      <c r="LW49" s="448" t="str">
        <f ca="1" t="shared" si="698" ref="LW49:LW55">$C49</f>
        <v>Hungary</v>
      </c>
      <c r="LX49" s="449">
        <f ca="1" t="shared" si="699" ref="LX49:LX55">$D49</f>
        <v>19</v>
      </c>
      <c r="LY49" s="448" t="str">
        <f ca="1" t="shared" si="700" ref="LY49:LY55">$E49</f>
        <v>Serbia</v>
      </c>
      <c r="LZ49" s="452"/>
      <c r="MA49" s="452"/>
      <c r="MB49" s="541">
        <f>COUNTIF(LV$65:LV$65,LX65)+COUNTIF(LX$65:LX$65,LX65)</f>
        <v>0</v>
      </c>
      <c r="MC49" s="449" t="str">
        <f t="shared" ca="1" si="570"/>
        <v/>
      </c>
      <c r="MD49" s="449" t="str">
        <f ca="1">IF((MC49&lt;&gt;""),IF(OR($F49&lt;&gt;$G49,PrSettings!$M$4="●"),(($F49-$G49)=(LZ49-MA49))*1,0),"")</f>
        <v/>
      </c>
      <c r="ME49" s="449" t="str">
        <f ca="1" t="shared" si="701" ref="ME49:ME55">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ht="15.5">
      <c r="A50" s="428"/>
      <c r="B50" s="447">
        <f ca="1">IF(C50="","",INDEX(Groups!$C$7:$C$35,MATCH(C50,Groups!$D$7:$D$35,0)))</f>
        <v>1</v>
      </c>
      <c r="C50" s="448" t="str">
        <f ca="1">INDIRECT("'"&amp;References!$A$1&amp;"'!"&amp;"$H$54")</f>
        <v>Portugal</v>
      </c>
      <c r="D50" s="449">
        <f ca="1">IF(E50="","",INDEX(Groups!$C$7:$C$35,MATCH(E50,Groups!$D$7:$D$35,0)))</f>
        <v>9</v>
      </c>
      <c r="E50" s="448" t="str">
        <f ca="1">INDIRECT("'"&amp;References!$A$1&amp;"'!"&amp;"$I$54")</f>
        <v>Denmark</v>
      </c>
      <c r="F50" s="450">
        <f ca="1">IF(AND(INDIRECT("'"&amp;References!$A$1&amp;"'!"&amp;"$H$55")&lt;&gt;"",INDIRECT("'"&amp;References!$A$1&amp;"'!"&amp;"$I$55")&lt;&gt;""),INDIRECT("'"&amp;References!$A$1&amp;"'!"&amp;"$H$55"),"")</f>
        <v>1</v>
      </c>
      <c r="G50" s="451">
        <f ca="1">IF(AND(INDIRECT("'"&amp;References!$A$1&amp;"'!"&amp;"$H$55")&lt;&gt;"",INDIRECT("'"&amp;References!$A$1&amp;"'!"&amp;"$I$55")&lt;&gt;""),INDIRECT("'"&amp;References!$A$1&amp;"'!"&amp;"$I$55"),"")</f>
        <v>2</v>
      </c>
      <c r="I50" s="447">
        <f t="shared" ca="1" si="572"/>
        <v>1</v>
      </c>
      <c r="J50" s="448" t="str">
        <f t="shared" ca="1" si="573"/>
        <v>Portugal</v>
      </c>
      <c r="K50" s="449">
        <f t="shared" ca="1" si="574"/>
        <v>9</v>
      </c>
      <c r="L50" s="448" t="str">
        <f t="shared" ca="1" si="575"/>
        <v>Denmark</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9</v>
      </c>
      <c r="Y50" s="448" t="str">
        <f t="shared" ca="1" si="580"/>
        <v>Denmark</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9</v>
      </c>
      <c r="AL50" s="448" t="str">
        <f t="shared" ca="1" si="585"/>
        <v>Denmark</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9</v>
      </c>
      <c r="AY50" s="448" t="str">
        <f t="shared" ca="1" si="590"/>
        <v>Denmark</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9</v>
      </c>
      <c r="BL50" s="448" t="str">
        <f t="shared" ca="1" si="595"/>
        <v>Denmark</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9</v>
      </c>
      <c r="BY50" s="448" t="str">
        <f t="shared" ca="1" si="600"/>
        <v>Denmark</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9</v>
      </c>
      <c r="CL50" s="448" t="str">
        <f t="shared" ca="1" si="605"/>
        <v>Denmark</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9</v>
      </c>
      <c r="CY50" s="448" t="str">
        <f t="shared" ca="1" si="610"/>
        <v>Denmark</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9</v>
      </c>
      <c r="DL50" s="448" t="str">
        <f t="shared" ca="1" si="615"/>
        <v>Denmark</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9</v>
      </c>
      <c r="DY50" s="448" t="str">
        <f t="shared" ca="1" si="620"/>
        <v>Denmark</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9</v>
      </c>
      <c r="EL50" s="448" t="str">
        <f t="shared" ca="1" si="625"/>
        <v>Denmark</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9</v>
      </c>
      <c r="EY50" s="448" t="str">
        <f t="shared" ca="1" si="630"/>
        <v>Denmark</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9</v>
      </c>
      <c r="FL50" s="448" t="str">
        <f t="shared" ca="1" si="635"/>
        <v>Denmark</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9</v>
      </c>
      <c r="FY50" s="448" t="str">
        <f t="shared" ca="1" si="640"/>
        <v>Denmark</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9</v>
      </c>
      <c r="GL50" s="448" t="str">
        <f t="shared" ca="1" si="645"/>
        <v>Denmark</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9</v>
      </c>
      <c r="GY50" s="448" t="str">
        <f t="shared" ca="1" si="650"/>
        <v>Denmark</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9</v>
      </c>
      <c r="HL50" s="448" t="str">
        <f t="shared" ca="1" si="655"/>
        <v>Denmark</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9</v>
      </c>
      <c r="HY50" s="448" t="str">
        <f t="shared" ca="1" si="660"/>
        <v>Denmark</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9</v>
      </c>
      <c r="IL50" s="448" t="str">
        <f t="shared" ca="1" si="665"/>
        <v>Denmark</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9</v>
      </c>
      <c r="IY50" s="448" t="str">
        <f t="shared" ca="1" si="670"/>
        <v>Denmark</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9</v>
      </c>
      <c r="JL50" s="448" t="str">
        <f t="shared" ca="1" si="675"/>
        <v>Denmark</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9</v>
      </c>
      <c r="JY50" s="448" t="str">
        <f t="shared" ca="1" si="680"/>
        <v>Denmark</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9</v>
      </c>
      <c r="KL50" s="448" t="str">
        <f t="shared" ca="1" si="685"/>
        <v>Denmark</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9</v>
      </c>
      <c r="KY50" s="448" t="str">
        <f t="shared" ca="1" si="690"/>
        <v>Denmark</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9</v>
      </c>
      <c r="LL50" s="448" t="str">
        <f t="shared" ca="1" si="695"/>
        <v>Denmark</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9</v>
      </c>
      <c r="LY50" s="448" t="str">
        <f t="shared" ca="1" si="700"/>
        <v>Denmark</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ht="15.5">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1</v>
      </c>
      <c r="G51" s="451">
        <f ca="1">IF(AND(INDIRECT("'"&amp;References!$A$1&amp;"'!"&amp;"$K$55")&lt;&gt;"",INDIRECT("'"&amp;References!$A$1&amp;"'!"&amp;"$L$55")&lt;&gt;""),INDIRECT("'"&amp;References!$A$1&amp;"'!"&amp;"$L$55"),"")</f>
        <v>1</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ht="15.5">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f>
        <v>2</v>
      </c>
      <c r="G52" s="451">
        <f ca="1">IF(AND(INDIRECT("'"&amp;References!$A$1&amp;"'!"&amp;"$N$55")&lt;&gt;"",INDIRECT("'"&amp;References!$A$1&amp;"'!"&amp;"$O$55")&lt;&gt;""),INDIRECT("'"&amp;References!$A$1&amp;"'!"&amp;"$O$55"),"")</f>
        <v>2</v>
      </c>
      <c r="I52" s="447">
        <f t="shared" ca="1" si="572"/>
        <v>4</v>
      </c>
      <c r="J52" s="448" t="str">
        <f t="shared" ca="1" si="573"/>
        <v>Belgium</v>
      </c>
      <c r="K52" s="449">
        <f t="shared" ca="1" si="574"/>
        <v>18</v>
      </c>
      <c r="L52" s="448" t="str">
        <f t="shared" ca="1" si="575"/>
        <v>Italy</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18</v>
      </c>
      <c r="Y52" s="448" t="str">
        <f t="shared" ca="1" si="580"/>
        <v>Italy</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18</v>
      </c>
      <c r="AL52" s="448" t="str">
        <f t="shared" ca="1" si="585"/>
        <v>Italy</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18</v>
      </c>
      <c r="AY52" s="448" t="str">
        <f t="shared" ca="1" si="590"/>
        <v>Italy</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18</v>
      </c>
      <c r="BL52" s="448" t="str">
        <f t="shared" ca="1" si="595"/>
        <v>Italy</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18</v>
      </c>
      <c r="BY52" s="448" t="str">
        <f t="shared" ca="1" si="600"/>
        <v>Italy</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18</v>
      </c>
      <c r="CL52" s="448" t="str">
        <f t="shared" ca="1" si="605"/>
        <v>Italy</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18</v>
      </c>
      <c r="CY52" s="448" t="str">
        <f t="shared" ca="1" si="610"/>
        <v>Italy</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18</v>
      </c>
      <c r="DL52" s="448" t="str">
        <f t="shared" ca="1" si="615"/>
        <v>Italy</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18</v>
      </c>
      <c r="DY52" s="448" t="str">
        <f t="shared" ca="1" si="620"/>
        <v>Italy</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18</v>
      </c>
      <c r="EL52" s="448" t="str">
        <f t="shared" ca="1" si="625"/>
        <v>Italy</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18</v>
      </c>
      <c r="EY52" s="448" t="str">
        <f t="shared" ca="1" si="630"/>
        <v>Italy</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18</v>
      </c>
      <c r="FL52" s="448" t="str">
        <f t="shared" ca="1" si="635"/>
        <v>Italy</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18</v>
      </c>
      <c r="FY52" s="448" t="str">
        <f t="shared" ca="1" si="640"/>
        <v>Italy</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18</v>
      </c>
      <c r="GL52" s="448" t="str">
        <f t="shared" ca="1" si="645"/>
        <v>Italy</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18</v>
      </c>
      <c r="GY52" s="448" t="str">
        <f t="shared" ca="1" si="650"/>
        <v>Italy</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18</v>
      </c>
      <c r="HL52" s="448" t="str">
        <f t="shared" ca="1" si="655"/>
        <v>Italy</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18</v>
      </c>
      <c r="HY52" s="448" t="str">
        <f t="shared" ca="1" si="660"/>
        <v>Italy</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18</v>
      </c>
      <c r="IL52" s="448" t="str">
        <f t="shared" ca="1" si="665"/>
        <v>Italy</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18</v>
      </c>
      <c r="IY52" s="448" t="str">
        <f t="shared" ca="1" si="670"/>
        <v>Italy</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18</v>
      </c>
      <c r="JL52" s="448" t="str">
        <f t="shared" ca="1" si="675"/>
        <v>Italy</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18</v>
      </c>
      <c r="JY52" s="448" t="str">
        <f t="shared" ca="1" si="680"/>
        <v>Italy</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18</v>
      </c>
      <c r="KL52" s="448" t="str">
        <f t="shared" ca="1" si="685"/>
        <v>Italy</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18</v>
      </c>
      <c r="KY52" s="448" t="str">
        <f t="shared" ca="1" si="690"/>
        <v>Italy</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18</v>
      </c>
      <c r="LL52" s="448" t="str">
        <f t="shared" ca="1" si="695"/>
        <v>Italy</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18</v>
      </c>
      <c r="LY52" s="448" t="str">
        <f t="shared" ca="1" si="700"/>
        <v>Italy</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ht="15.5">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1</v>
      </c>
      <c r="G53" s="451">
        <f ca="1">IF(AND(INDIRECT("'"&amp;References!$A$1&amp;"'!"&amp;"$Q$55")&lt;&gt;"",INDIRECT("'"&amp;References!$A$1&amp;"'!"&amp;"$R$55")&lt;&gt;""),INDIRECT("'"&amp;References!$A$1&amp;"'!"&amp;"$R$55"),"")</f>
        <v>0</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ht="15.5">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f>
        <v>2</v>
      </c>
      <c r="G54" s="451">
        <f ca="1">IF(AND(INDIRECT("'"&amp;References!$A$1&amp;"'!"&amp;"$T$55")&lt;&gt;"",INDIRECT("'"&amp;References!$A$1&amp;"'!"&amp;"$U$55")&lt;&gt;""),INDIRECT("'"&amp;References!$A$1&amp;"'!"&amp;"$U$55"),"")</f>
        <v>0</v>
      </c>
      <c r="I54" s="447">
        <f t="shared" ca="1" si="572"/>
        <v>5</v>
      </c>
      <c r="J54" s="448" t="str">
        <f t="shared" ca="1" si="573"/>
        <v>England</v>
      </c>
      <c r="K54" s="449">
        <f t="shared" ca="1" si="574"/>
        <v>7</v>
      </c>
      <c r="L54" s="448" t="str">
        <f t="shared" ca="1" si="575"/>
        <v>Türkiye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7</v>
      </c>
      <c r="Y54" s="448" t="str">
        <f t="shared" ca="1" si="580"/>
        <v>Türkiye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7</v>
      </c>
      <c r="AL54" s="448" t="str">
        <f t="shared" ca="1" si="585"/>
        <v>Türkiye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7</v>
      </c>
      <c r="AY54" s="448" t="str">
        <f t="shared" ca="1" si="590"/>
        <v>Türkiye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7</v>
      </c>
      <c r="BL54" s="448" t="str">
        <f t="shared" ca="1" si="595"/>
        <v>Türkiye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7</v>
      </c>
      <c r="BY54" s="448" t="str">
        <f t="shared" ca="1" si="600"/>
        <v>Türkiye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7</v>
      </c>
      <c r="CL54" s="448" t="str">
        <f t="shared" ca="1" si="605"/>
        <v>Türkiye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7</v>
      </c>
      <c r="CY54" s="448" t="str">
        <f t="shared" ca="1" si="610"/>
        <v>Türkiye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7</v>
      </c>
      <c r="DL54" s="448" t="str">
        <f t="shared" ca="1" si="615"/>
        <v>Türkiye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7</v>
      </c>
      <c r="DY54" s="448" t="str">
        <f t="shared" ca="1" si="620"/>
        <v>Türkiye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7</v>
      </c>
      <c r="EL54" s="448" t="str">
        <f t="shared" ca="1" si="625"/>
        <v>Türkiye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7</v>
      </c>
      <c r="EY54" s="448" t="str">
        <f t="shared" ca="1" si="630"/>
        <v>Türkiye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7</v>
      </c>
      <c r="FL54" s="448" t="str">
        <f t="shared" ca="1" si="635"/>
        <v>Türkiye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7</v>
      </c>
      <c r="FY54" s="448" t="str">
        <f t="shared" ca="1" si="640"/>
        <v>Türkiye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7</v>
      </c>
      <c r="GL54" s="448" t="str">
        <f t="shared" ca="1" si="645"/>
        <v>Türkiye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7</v>
      </c>
      <c r="GY54" s="448" t="str">
        <f t="shared" ca="1" si="650"/>
        <v>Türkiye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7</v>
      </c>
      <c r="HL54" s="448" t="str">
        <f t="shared" ca="1" si="655"/>
        <v>Türkiye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7</v>
      </c>
      <c r="HY54" s="448" t="str">
        <f t="shared" ca="1" si="660"/>
        <v>Türkiye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7</v>
      </c>
      <c r="IL54" s="448" t="str">
        <f t="shared" ca="1" si="665"/>
        <v>Türkiye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7</v>
      </c>
      <c r="IY54" s="448" t="str">
        <f t="shared" ca="1" si="670"/>
        <v>Türkiye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7</v>
      </c>
      <c r="JL54" s="448" t="str">
        <f t="shared" ca="1" si="675"/>
        <v>Türkiye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7</v>
      </c>
      <c r="JY54" s="448" t="str">
        <f t="shared" ca="1" si="680"/>
        <v>Türkiye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7</v>
      </c>
      <c r="KL54" s="448" t="str">
        <f t="shared" ca="1" si="685"/>
        <v>Türkiye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7</v>
      </c>
      <c r="KY54" s="448" t="str">
        <f t="shared" ca="1" si="690"/>
        <v>Türkiye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7</v>
      </c>
      <c r="LL54" s="448" t="str">
        <f t="shared" ca="1" si="695"/>
        <v>Türkiye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7</v>
      </c>
      <c r="LY54" s="448" t="str">
        <f t="shared" ca="1" si="700"/>
        <v>Türkiye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ht="15.5">
      <c r="A55" s="428"/>
      <c r="B55" s="447">
        <f ca="1">IF(C55="","",INDEX(Groups!$C$7:$C$35,MATCH(C55,Groups!$D$7:$D$35,0)))</f>
        <v>54</v>
      </c>
      <c r="C55" s="448" t="str">
        <f ca="1">INDIRECT("'"&amp;References!$A$1&amp;"'!"&amp;"$W$54")</f>
        <v>Germany</v>
      </c>
      <c r="D55" s="449">
        <f ca="1">IF(E55="","",INDEX(Groups!$C$7:$C$35,MATCH(E55,Groups!$D$7:$D$35,0)))</f>
        <v>3</v>
      </c>
      <c r="E55" s="448" t="str">
        <f ca="1">INDIRECT("'"&amp;References!$A$1&amp;"'!"&amp;"$X$54")</f>
        <v>Spain</v>
      </c>
      <c r="F55" s="450">
        <f ca="1">IF(AND(INDIRECT("'"&amp;References!$A$1&amp;"'!"&amp;"$W$55")&lt;&gt;"",INDIRECT("'"&amp;References!$A$1&amp;"'!"&amp;"$X$55")&lt;&gt;""),INDIRECT("'"&amp;References!$A$1&amp;"'!"&amp;"$W$55"),"")</f>
        <v>1</v>
      </c>
      <c r="G55" s="451">
        <f ca="1">IF(AND(INDIRECT("'"&amp;References!$A$1&amp;"'!"&amp;"$W$55")&lt;&gt;"",INDIRECT("'"&amp;References!$A$1&amp;"'!"&amp;"$X$55")&lt;&gt;""),INDIRECT("'"&amp;References!$A$1&amp;"'!"&amp;"$X$55"),"")</f>
        <v>1</v>
      </c>
      <c r="I55" s="447">
        <f t="shared" ca="1" si="572"/>
        <v>54</v>
      </c>
      <c r="J55" s="448" t="str">
        <f t="shared" ca="1" si="573"/>
        <v>Germany</v>
      </c>
      <c r="K55" s="449">
        <f t="shared" ca="1" si="574"/>
        <v>3</v>
      </c>
      <c r="L55" s="448" t="str">
        <f t="shared" ca="1" si="575"/>
        <v>Spain</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54</v>
      </c>
      <c r="W55" s="448" t="str">
        <f t="shared" ca="1" si="578"/>
        <v>Germany</v>
      </c>
      <c r="X55" s="449">
        <f t="shared" ca="1" si="579"/>
        <v>3</v>
      </c>
      <c r="Y55" s="448" t="str">
        <f t="shared" ca="1" si="580"/>
        <v>Spain</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54</v>
      </c>
      <c r="AJ55" s="448" t="str">
        <f t="shared" ca="1" si="583"/>
        <v>Germany</v>
      </c>
      <c r="AK55" s="449">
        <f t="shared" ca="1" si="584"/>
        <v>3</v>
      </c>
      <c r="AL55" s="448" t="str">
        <f t="shared" ca="1" si="585"/>
        <v>Spain</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54</v>
      </c>
      <c r="AW55" s="448" t="str">
        <f t="shared" ca="1" si="588"/>
        <v>Germany</v>
      </c>
      <c r="AX55" s="449">
        <f t="shared" ca="1" si="589"/>
        <v>3</v>
      </c>
      <c r="AY55" s="448" t="str">
        <f t="shared" ca="1" si="590"/>
        <v>Spain</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54</v>
      </c>
      <c r="BJ55" s="448" t="str">
        <f t="shared" ca="1" si="593"/>
        <v>Germany</v>
      </c>
      <c r="BK55" s="449">
        <f t="shared" ca="1" si="594"/>
        <v>3</v>
      </c>
      <c r="BL55" s="448" t="str">
        <f t="shared" ca="1" si="595"/>
        <v>Spain</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54</v>
      </c>
      <c r="BW55" s="448" t="str">
        <f t="shared" ca="1" si="598"/>
        <v>Germany</v>
      </c>
      <c r="BX55" s="449">
        <f t="shared" ca="1" si="599"/>
        <v>3</v>
      </c>
      <c r="BY55" s="448" t="str">
        <f t="shared" ca="1" si="600"/>
        <v>Spain</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54</v>
      </c>
      <c r="CJ55" s="448" t="str">
        <f t="shared" ca="1" si="603"/>
        <v>Germany</v>
      </c>
      <c r="CK55" s="449">
        <f t="shared" ca="1" si="604"/>
        <v>3</v>
      </c>
      <c r="CL55" s="448" t="str">
        <f t="shared" ca="1" si="605"/>
        <v>Spain</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54</v>
      </c>
      <c r="CW55" s="448" t="str">
        <f t="shared" ca="1" si="608"/>
        <v>Germany</v>
      </c>
      <c r="CX55" s="449">
        <f t="shared" ca="1" si="609"/>
        <v>3</v>
      </c>
      <c r="CY55" s="448" t="str">
        <f t="shared" ca="1" si="610"/>
        <v>Spain</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54</v>
      </c>
      <c r="DJ55" s="448" t="str">
        <f t="shared" ca="1" si="613"/>
        <v>Germany</v>
      </c>
      <c r="DK55" s="449">
        <f t="shared" ca="1" si="614"/>
        <v>3</v>
      </c>
      <c r="DL55" s="448" t="str">
        <f t="shared" ca="1" si="615"/>
        <v>Spain</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54</v>
      </c>
      <c r="DW55" s="448" t="str">
        <f t="shared" ca="1" si="618"/>
        <v>Germany</v>
      </c>
      <c r="DX55" s="449">
        <f t="shared" ca="1" si="619"/>
        <v>3</v>
      </c>
      <c r="DY55" s="448" t="str">
        <f t="shared" ca="1" si="620"/>
        <v>Spain</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54</v>
      </c>
      <c r="EJ55" s="448" t="str">
        <f t="shared" ca="1" si="623"/>
        <v>Germany</v>
      </c>
      <c r="EK55" s="449">
        <f t="shared" ca="1" si="624"/>
        <v>3</v>
      </c>
      <c r="EL55" s="448" t="str">
        <f t="shared" ca="1" si="625"/>
        <v>Spain</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54</v>
      </c>
      <c r="EW55" s="448" t="str">
        <f t="shared" ca="1" si="628"/>
        <v>Germany</v>
      </c>
      <c r="EX55" s="449">
        <f t="shared" ca="1" si="629"/>
        <v>3</v>
      </c>
      <c r="EY55" s="448" t="str">
        <f t="shared" ca="1" si="630"/>
        <v>Spain</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54</v>
      </c>
      <c r="FJ55" s="448" t="str">
        <f t="shared" ca="1" si="633"/>
        <v>Germany</v>
      </c>
      <c r="FK55" s="449">
        <f t="shared" ca="1" si="634"/>
        <v>3</v>
      </c>
      <c r="FL55" s="448" t="str">
        <f t="shared" ca="1" si="635"/>
        <v>Spain</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54</v>
      </c>
      <c r="FW55" s="448" t="str">
        <f t="shared" ca="1" si="638"/>
        <v>Germany</v>
      </c>
      <c r="FX55" s="449">
        <f t="shared" ca="1" si="639"/>
        <v>3</v>
      </c>
      <c r="FY55" s="448" t="str">
        <f t="shared" ca="1" si="640"/>
        <v>Spain</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54</v>
      </c>
      <c r="GJ55" s="448" t="str">
        <f t="shared" ca="1" si="643"/>
        <v>Germany</v>
      </c>
      <c r="GK55" s="449">
        <f t="shared" ca="1" si="644"/>
        <v>3</v>
      </c>
      <c r="GL55" s="448" t="str">
        <f t="shared" ca="1" si="645"/>
        <v>Spain</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54</v>
      </c>
      <c r="GW55" s="448" t="str">
        <f t="shared" ca="1" si="648"/>
        <v>Germany</v>
      </c>
      <c r="GX55" s="449">
        <f t="shared" ca="1" si="649"/>
        <v>3</v>
      </c>
      <c r="GY55" s="448" t="str">
        <f t="shared" ca="1" si="650"/>
        <v>Spain</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54</v>
      </c>
      <c r="HJ55" s="448" t="str">
        <f t="shared" ca="1" si="653"/>
        <v>Germany</v>
      </c>
      <c r="HK55" s="449">
        <f t="shared" ca="1" si="654"/>
        <v>3</v>
      </c>
      <c r="HL55" s="448" t="str">
        <f t="shared" ca="1" si="655"/>
        <v>Spain</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54</v>
      </c>
      <c r="HW55" s="448" t="str">
        <f t="shared" ca="1" si="658"/>
        <v>Germany</v>
      </c>
      <c r="HX55" s="449">
        <f t="shared" ca="1" si="659"/>
        <v>3</v>
      </c>
      <c r="HY55" s="448" t="str">
        <f t="shared" ca="1" si="660"/>
        <v>Spain</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54</v>
      </c>
      <c r="IJ55" s="448" t="str">
        <f t="shared" ca="1" si="663"/>
        <v>Germany</v>
      </c>
      <c r="IK55" s="449">
        <f t="shared" ca="1" si="664"/>
        <v>3</v>
      </c>
      <c r="IL55" s="448" t="str">
        <f t="shared" ca="1" si="665"/>
        <v>Spain</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54</v>
      </c>
      <c r="IW55" s="448" t="str">
        <f t="shared" ca="1" si="668"/>
        <v>Germany</v>
      </c>
      <c r="IX55" s="449">
        <f t="shared" ca="1" si="669"/>
        <v>3</v>
      </c>
      <c r="IY55" s="448" t="str">
        <f t="shared" ca="1" si="670"/>
        <v>Spain</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54</v>
      </c>
      <c r="JJ55" s="448" t="str">
        <f t="shared" ca="1" si="673"/>
        <v>Germany</v>
      </c>
      <c r="JK55" s="449">
        <f t="shared" ca="1" si="674"/>
        <v>3</v>
      </c>
      <c r="JL55" s="448" t="str">
        <f t="shared" ca="1" si="675"/>
        <v>Spain</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54</v>
      </c>
      <c r="JW55" s="448" t="str">
        <f t="shared" ca="1" si="678"/>
        <v>Germany</v>
      </c>
      <c r="JX55" s="449">
        <f t="shared" ca="1" si="679"/>
        <v>3</v>
      </c>
      <c r="JY55" s="448" t="str">
        <f t="shared" ca="1" si="680"/>
        <v>Spain</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54</v>
      </c>
      <c r="KJ55" s="448" t="str">
        <f t="shared" ca="1" si="683"/>
        <v>Germany</v>
      </c>
      <c r="KK55" s="449">
        <f t="shared" ca="1" si="684"/>
        <v>3</v>
      </c>
      <c r="KL55" s="448" t="str">
        <f t="shared" ca="1" si="685"/>
        <v>Spain</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54</v>
      </c>
      <c r="KW55" s="448" t="str">
        <f t="shared" ca="1" si="688"/>
        <v>Germany</v>
      </c>
      <c r="KX55" s="449">
        <f t="shared" ca="1" si="689"/>
        <v>3</v>
      </c>
      <c r="KY55" s="448" t="str">
        <f t="shared" ca="1" si="690"/>
        <v>Spain</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54</v>
      </c>
      <c r="LJ55" s="448" t="str">
        <f t="shared" ca="1" si="693"/>
        <v>Germany</v>
      </c>
      <c r="LK55" s="449">
        <f t="shared" ca="1" si="694"/>
        <v>3</v>
      </c>
      <c r="LL55" s="448" t="str">
        <f t="shared" ca="1" si="695"/>
        <v>Spain</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54</v>
      </c>
      <c r="LW55" s="448" t="str">
        <f t="shared" ca="1" si="698"/>
        <v>Germany</v>
      </c>
      <c r="LX55" s="449">
        <f t="shared" ca="1" si="699"/>
        <v>3</v>
      </c>
      <c r="LY55" s="448" t="str">
        <f t="shared" ca="1" si="700"/>
        <v>Spain</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ht="15.5">
      <c r="A57" s="428"/>
      <c r="B57" s="447">
        <f ca="1">IF(C57="","",INDEX(Groups!$C$7:$C$35,MATCH(C57,Groups!$D$7:$D$35,0)))</f>
        <v>14</v>
      </c>
      <c r="C57" s="448" t="str">
        <f ca="1">INDIRECT("'"&amp;References!$A$1&amp;"'!"&amp;"$C$64")</f>
        <v>Croatia</v>
      </c>
      <c r="D57" s="449">
        <f ca="1">IF(E57="","",INDEX(Groups!$C$7:$C$35,MATCH(E57,Groups!$D$7:$D$35,0)))</f>
        <v>6</v>
      </c>
      <c r="E57" s="448" t="str">
        <f ca="1">INDIRECT("'"&amp;References!$A$1&amp;"'!"&amp;"$E$64")</f>
        <v>Hungary</v>
      </c>
      <c r="F57" s="450">
        <f ca="1">IF(AND(INDIRECT("'"&amp;References!$A$1&amp;"'!"&amp;"$C$65")&lt;&gt;"",INDIRECT("'"&amp;References!$A$1&amp;"'!"&amp;"$E$65")&lt;&gt;""),INDIRECT("'"&amp;References!$A$1&amp;"'!"&amp;"$C$65"),"")</f>
        <v>1</v>
      </c>
      <c r="G57" s="451">
        <f ca="1">IF(AND(INDIRECT("'"&amp;References!$A$1&amp;"'!"&amp;"$C$65")&lt;&gt;"",INDIRECT("'"&amp;References!$A$1&amp;"'!"&amp;"$E$65")&lt;&gt;""),INDIRECT("'"&amp;References!$A$1&amp;"'!"&amp;"$E$65"),"")</f>
        <v>0</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ht="15.5">
      <c r="A58" s="428"/>
      <c r="B58" s="447">
        <f ca="1">IF(C58="","",INDEX(Groups!$C$7:$C$35,MATCH(C58,Groups!$D$7:$D$35,0)))</f>
        <v>9</v>
      </c>
      <c r="C58" s="448" t="str">
        <f ca="1">INDIRECT("'"&amp;References!$A$1&amp;"'!"&amp;"$I$64")</f>
        <v>Denmark</v>
      </c>
      <c r="D58" s="449">
        <f ca="1">IF(E58="","",INDEX(Groups!$C$7:$C$35,MATCH(E58,Groups!$D$7:$D$35,0)))</f>
        <v>12</v>
      </c>
      <c r="E58" s="448" t="str">
        <f ca="1">INDIRECT("'"&amp;References!$A$1&amp;"'!"&amp;"$K$64")</f>
        <v>Netherlands</v>
      </c>
      <c r="F58" s="450">
        <f ca="1">IF(AND(INDIRECT("'"&amp;References!$A$1&amp;"'!"&amp;"$I$65")&lt;&gt;"",INDIRECT("'"&amp;References!$A$1&amp;"'!"&amp;"$K$65")&lt;&gt;""),INDIRECT("'"&amp;References!$A$1&amp;"'!"&amp;"$I$65"),"")</f>
        <v>1</v>
      </c>
      <c r="G58" s="451">
        <f ca="1">IF(AND(INDIRECT("'"&amp;References!$A$1&amp;"'!"&amp;"$I$65")&lt;&gt;"",INDIRECT("'"&amp;References!$A$1&amp;"'!"&amp;"$K$65")&lt;&gt;""),INDIRECT("'"&amp;References!$A$1&amp;"'!"&amp;"$K$65"),"")</f>
        <v>0</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ht="15.5">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2</v>
      </c>
      <c r="G59" s="451">
        <f ca="1">IF(AND(INDIRECT("'"&amp;References!$A$1&amp;"'!"&amp;"$O$65")&lt;&gt;"",INDIRECT("'"&amp;References!$A$1&amp;"'!"&amp;"$Q$65")&lt;&gt;""),INDIRECT("'"&amp;References!$A$1&amp;"'!"&amp;"$Q$65"),"")</f>
        <v>1</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2:345" ht="15.5">
      <c r="B60" s="447">
        <f ca="1">IF(C60="","",INDEX(Groups!$C$7:$C$35,MATCH(C60,Groups!$D$7:$D$35,0)))</f>
        <v>5</v>
      </c>
      <c r="C60" s="448" t="str">
        <f ca="1">INDIRECT("'"&amp;References!$A$1&amp;"'!"&amp;"$U$64")</f>
        <v>England</v>
      </c>
      <c r="D60" s="449">
        <f ca="1">IF(E60="","",INDEX(Groups!$C$7:$C$35,MATCH(E60,Groups!$D$7:$D$35,0)))</f>
        <v>54</v>
      </c>
      <c r="E60" s="448" t="str">
        <f ca="1">INDIRECT("'"&amp;References!$A$1&amp;"'!"&amp;"$W$64")</f>
        <v>Germany</v>
      </c>
      <c r="F60" s="450">
        <f ca="1">IF(AND(INDIRECT("'"&amp;References!$A$1&amp;"'!"&amp;"$U$65")&lt;&gt;"",INDIRECT("'"&amp;References!$A$1&amp;"'!"&amp;"$W$65")&lt;&gt;""),INDIRECT("'"&amp;References!$A$1&amp;"'!"&amp;"$U$65"),"")</f>
        <v>0</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2: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2:345" ht="15.5">
      <c r="B62" s="447">
        <f ca="1">IF(C62="","",INDEX(Groups!$C$7:$C$35,MATCH(C62,Groups!$D$7:$D$35,0)))</f>
        <v>14</v>
      </c>
      <c r="C62" s="448" t="str">
        <f ca="1">INDIRECT("'"&amp;References!$A$1&amp;"'!"&amp;"$F$74")</f>
        <v>Croatia</v>
      </c>
      <c r="D62" s="449">
        <f ca="1">IF(E62="","",INDEX(Groups!$C$7:$C$35,MATCH(E62,Groups!$D$7:$D$35,0)))</f>
        <v>9</v>
      </c>
      <c r="E62" s="448" t="str">
        <f ca="1">INDIRECT("'"&amp;References!$A$1&amp;"'!"&amp;"$H$74")</f>
        <v>Denmark</v>
      </c>
      <c r="F62" s="450">
        <f ca="1">IF(AND(INDIRECT("'"&amp;References!$A$1&amp;"'!"&amp;"$F$75")&lt;&gt;"",INDIRECT("'"&amp;References!$A$1&amp;"'!"&amp;"$H$75")&lt;&gt;""),INDIRECT("'"&amp;References!$A$1&amp;"'!"&amp;"$F$75"),"")</f>
        <v>1</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2:345" ht="15.5">
      <c r="B63" s="447">
        <f ca="1">IF(C63="","",INDEX(Groups!$C$7:$C$35,MATCH(C63,Groups!$D$7:$D$35,0)))</f>
        <v>4</v>
      </c>
      <c r="C63" s="448" t="str">
        <f ca="1">INDIRECT("'"&amp;References!$A$1&amp;"'!"&amp;"$R$74")</f>
        <v>Belgium</v>
      </c>
      <c r="D63" s="449">
        <f ca="1">IF(E63="","",INDEX(Groups!$C$7:$C$35,MATCH(E63,Groups!$D$7:$D$35,0)))</f>
        <v>54</v>
      </c>
      <c r="E63" s="448" t="str">
        <f ca="1">INDIRECT("'"&amp;References!$A$1&amp;"'!"&amp;"$T$74")</f>
        <v>Germany</v>
      </c>
      <c r="F63" s="450">
        <f ca="1">IF(AND(INDIRECT("'"&amp;References!$A$1&amp;"'!"&amp;"$R$75")&lt;&gt;"",INDIRECT("'"&amp;References!$A$1&amp;"'!"&amp;"$T$75")&lt;&gt;""),INDIRECT("'"&amp;References!$A$1&amp;"'!"&amp;"$R$75"),"")</f>
        <v>2</v>
      </c>
      <c r="G63" s="451">
        <f ca="1">IF(AND(INDIRECT("'"&amp;References!$A$1&amp;"'!"&amp;"$R$75")&lt;&gt;"",INDIRECT("'"&amp;References!$A$1&amp;"'!"&amp;"$T$75")&lt;&gt;""),INDIRECT("'"&amp;References!$A$1&amp;"'!"&amp;"$T$75"),"")</f>
        <v>1</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2: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 thickBot="1">
      <c r="B65" s="476">
        <f ca="1">IF(C65="","",INDEX(Groups!$C$7:$C$35,MATCH(C65,Groups!$D$7:$D$35,0)))</f>
        <v>14</v>
      </c>
      <c r="C65" s="477" t="str">
        <f ca="1">INDIRECT("'"&amp;References!$A$1&amp;"'!"&amp;"$L$84")</f>
        <v>Croatia</v>
      </c>
      <c r="D65" s="478">
        <f ca="1">IF(E65="","",INDEX(Groups!$C$7:$C$35,MATCH(E65,Groups!$D$7:$D$35,0)))</f>
        <v>4</v>
      </c>
      <c r="E65" s="479" t="str">
        <f ca="1">INDIRECT("'"&amp;References!$A$1&amp;"'!"&amp;"$N$84")</f>
        <v>Belgium</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9: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9:345" ht="15.5">
      <c r="I67" s="569">
        <f ca="1" t="shared" si="702" ref="I67:I68">IFERROR(VLOOKUP(I58,$B$57:$F$60,5,0),0)</f>
        <v>0</v>
      </c>
      <c r="J67" s="569">
        <f ca="1">IFERROR(VLOOKUP(I63,$B$62:$F$63,5,0),0)</f>
        <v>0</v>
      </c>
      <c r="K67" s="569">
        <f ca="1" t="shared" si="703" ref="K67:K68">IFERROR(VLOOKUP(I58,$D$57:$G$60,4,0),0)</f>
        <v>0</v>
      </c>
      <c r="L67" s="815" t="str">
        <f>Language!$E$216</f>
        <v>Number:</v>
      </c>
      <c r="M67" s="816"/>
      <c r="N67" s="817"/>
      <c r="O67" s="449">
        <f ca="1">SUM(O65:O65)</f>
        <v>0</v>
      </c>
      <c r="P67" s="449">
        <f ca="1">SUM(P6:P63)</f>
        <v>0</v>
      </c>
      <c r="Q67" s="449">
        <f ca="1">SUM(Q6:Q65)</f>
        <v>0</v>
      </c>
      <c r="R67" s="449">
        <f ca="1">SUM(R6:R65)</f>
        <v>0</v>
      </c>
      <c r="S67" s="449">
        <f ca="1">SUM(S6:S65)</f>
        <v>0</v>
      </c>
      <c r="T67" s="467">
        <f ca="1">SUM(T57:T65)</f>
        <v>0</v>
      </c>
      <c r="V67" s="569">
        <f ca="1" t="shared" si="704" ref="V67:V68">IFERROR(VLOOKUP(V58,$B$57:$F$60,5,0),0)</f>
        <v>0</v>
      </c>
      <c r="W67" s="569">
        <f ca="1">IFERROR(VLOOKUP(V63,$B$62:$F$63,5,0),0)</f>
        <v>0</v>
      </c>
      <c r="X67" s="569">
        <f ca="1" t="shared" si="705" ref="X67:X68">IFERROR(VLOOKUP(V58,$D$57:$G$60,4,0),0)</f>
        <v>0</v>
      </c>
      <c r="Y67" s="815" t="str">
        <f>Language!$E$216</f>
        <v>Number:</v>
      </c>
      <c r="Z67" s="816"/>
      <c r="AA67" s="817"/>
      <c r="AB67" s="449">
        <f ca="1">SUM(AB65:AB65)</f>
        <v>0</v>
      </c>
      <c r="AC67" s="449">
        <f ca="1">SUM(AC6:AC63)</f>
        <v>0</v>
      </c>
      <c r="AD67" s="449">
        <f ca="1">SUM(AD6:AD65)</f>
        <v>0</v>
      </c>
      <c r="AE67" s="449">
        <f ca="1">SUM(AE6:AE65)</f>
        <v>0</v>
      </c>
      <c r="AF67" s="449">
        <f ca="1">SUM(AF6:AF65)</f>
        <v>0</v>
      </c>
      <c r="AG67" s="467">
        <f ca="1">SUM(AG57:AG65)</f>
        <v>0</v>
      </c>
      <c r="AI67" s="569">
        <f ca="1" t="shared" si="706" ref="AI67:AI68">IFERROR(VLOOKUP(AI58,$B$57:$F$60,5,0),0)</f>
        <v>0</v>
      </c>
      <c r="AJ67" s="569">
        <f ca="1">IFERROR(VLOOKUP(AI63,$B$62:$F$63,5,0),0)</f>
        <v>0</v>
      </c>
      <c r="AK67" s="569">
        <f ca="1" t="shared" si="707" ref="AK67:AK68">IFERROR(VLOOKUP(AI58,$D$57:$G$60,4,0),0)</f>
        <v>0</v>
      </c>
      <c r="AL67" s="815" t="str">
        <f>Language!$E$216</f>
        <v>Number:</v>
      </c>
      <c r="AM67" s="816"/>
      <c r="AN67" s="817"/>
      <c r="AO67" s="449">
        <f ca="1">SUM(AO65:AO65)</f>
        <v>0</v>
      </c>
      <c r="AP67" s="449">
        <f ca="1">SUM(AP6:AP63)</f>
        <v>0</v>
      </c>
      <c r="AQ67" s="449">
        <f ca="1">SUM(AQ6:AQ65)</f>
        <v>0</v>
      </c>
      <c r="AR67" s="449">
        <f ca="1">SUM(AR6:AR65)</f>
        <v>0</v>
      </c>
      <c r="AS67" s="449">
        <f ca="1">SUM(AS6:AS65)</f>
        <v>0</v>
      </c>
      <c r="AT67" s="467">
        <f ca="1">SUM(AT57:AT65)</f>
        <v>0</v>
      </c>
      <c r="AV67" s="569">
        <f ca="1" t="shared" si="708" ref="AV67:AV68">IFERROR(VLOOKUP(AV58,$B$57:$F$60,5,0),0)</f>
        <v>0</v>
      </c>
      <c r="AW67" s="569">
        <f ca="1">IFERROR(VLOOKUP(AV63,$B$62:$F$63,5,0),0)</f>
        <v>0</v>
      </c>
      <c r="AX67" s="569">
        <f ca="1" t="shared" si="709" ref="AX67:AX68">IFERROR(VLOOKUP(AV58,$D$57:$G$60,4,0),0)</f>
        <v>0</v>
      </c>
      <c r="AY67" s="815" t="str">
        <f>Language!$E$216</f>
        <v>Number:</v>
      </c>
      <c r="AZ67" s="816"/>
      <c r="BA67" s="817"/>
      <c r="BB67" s="449">
        <f ca="1">SUM(BB65:BB65)</f>
        <v>0</v>
      </c>
      <c r="BC67" s="449">
        <f ca="1">SUM(BC6:BC63)</f>
        <v>0</v>
      </c>
      <c r="BD67" s="449">
        <f ca="1">SUM(BD6:BD65)</f>
        <v>0</v>
      </c>
      <c r="BE67" s="449">
        <f ca="1">SUM(BE6:BE65)</f>
        <v>0</v>
      </c>
      <c r="BF67" s="449">
        <f ca="1">SUM(BF6:BF65)</f>
        <v>0</v>
      </c>
      <c r="BG67" s="467">
        <f ca="1">SUM(BG57:BG65)</f>
        <v>0</v>
      </c>
      <c r="BI67" s="569">
        <f ca="1" t="shared" si="710" ref="BI67:BI68">IFERROR(VLOOKUP(BI58,$B$57:$F$60,5,0),0)</f>
        <v>0</v>
      </c>
      <c r="BJ67" s="569">
        <f ca="1">IFERROR(VLOOKUP(BI63,$B$62:$F$63,5,0),0)</f>
        <v>0</v>
      </c>
      <c r="BK67" s="569">
        <f ca="1" t="shared" si="711" ref="BK67:BK68">IFERROR(VLOOKUP(BI58,$D$57:$G$60,4,0),0)</f>
        <v>0</v>
      </c>
      <c r="BL67" s="815" t="str">
        <f>Language!$E$216</f>
        <v>Number:</v>
      </c>
      <c r="BM67" s="816"/>
      <c r="BN67" s="817"/>
      <c r="BO67" s="449">
        <f ca="1">SUM(BO65:BO65)</f>
        <v>0</v>
      </c>
      <c r="BP67" s="449">
        <f ca="1">SUM(BP6:BP63)</f>
        <v>0</v>
      </c>
      <c r="BQ67" s="449">
        <f ca="1">SUM(BQ6:BQ65)</f>
        <v>0</v>
      </c>
      <c r="BR67" s="449">
        <f ca="1">SUM(BR6:BR65)</f>
        <v>0</v>
      </c>
      <c r="BS67" s="449">
        <f ca="1">SUM(BS6:BS65)</f>
        <v>0</v>
      </c>
      <c r="BT67" s="467">
        <f ca="1">SUM(BT57:BT65)</f>
        <v>0</v>
      </c>
      <c r="BV67" s="569">
        <f ca="1" t="shared" si="712" ref="BV67:BV68">IFERROR(VLOOKUP(BV58,$B$57:$F$60,5,0),0)</f>
        <v>0</v>
      </c>
      <c r="BW67" s="569">
        <f ca="1">IFERROR(VLOOKUP(BV63,$B$62:$F$63,5,0),0)</f>
        <v>0</v>
      </c>
      <c r="BX67" s="569">
        <f ca="1" t="shared" si="713" ref="BX67:BX68">IFERROR(VLOOKUP(BV58,$D$57:$G$60,4,0),0)</f>
        <v>0</v>
      </c>
      <c r="BY67" s="815" t="str">
        <f>Language!$E$216</f>
        <v>Number:</v>
      </c>
      <c r="BZ67" s="816"/>
      <c r="CA67" s="817"/>
      <c r="CB67" s="449">
        <f ca="1">SUM(CB65:CB65)</f>
        <v>0</v>
      </c>
      <c r="CC67" s="449">
        <f ca="1">SUM(CC6:CC63)</f>
        <v>0</v>
      </c>
      <c r="CD67" s="449">
        <f ca="1">SUM(CD6:CD65)</f>
        <v>0</v>
      </c>
      <c r="CE67" s="449">
        <f ca="1">SUM(CE6:CE65)</f>
        <v>0</v>
      </c>
      <c r="CF67" s="449">
        <f ca="1">SUM(CF6:CF65)</f>
        <v>0</v>
      </c>
      <c r="CG67" s="467">
        <f ca="1">SUM(CG57:CG65)</f>
        <v>0</v>
      </c>
      <c r="CI67" s="569">
        <f ca="1" t="shared" si="714" ref="CI67:CI68">IFERROR(VLOOKUP(CI58,$B$57:$F$60,5,0),0)</f>
        <v>0</v>
      </c>
      <c r="CJ67" s="569">
        <f ca="1">IFERROR(VLOOKUP(CI63,$B$62:$F$63,5,0),0)</f>
        <v>0</v>
      </c>
      <c r="CK67" s="569">
        <f ca="1" t="shared" si="715" ref="CK67:CK68">IFERROR(VLOOKUP(CI58,$D$57:$G$60,4,0),0)</f>
        <v>0</v>
      </c>
      <c r="CL67" s="815" t="str">
        <f>Language!$E$216</f>
        <v>Number:</v>
      </c>
      <c r="CM67" s="816"/>
      <c r="CN67" s="817"/>
      <c r="CO67" s="449">
        <f ca="1">SUM(CO65:CO65)</f>
        <v>0</v>
      </c>
      <c r="CP67" s="449">
        <f ca="1">SUM(CP6:CP63)</f>
        <v>0</v>
      </c>
      <c r="CQ67" s="449">
        <f ca="1">SUM(CQ6:CQ65)</f>
        <v>0</v>
      </c>
      <c r="CR67" s="449">
        <f ca="1">SUM(CR6:CR65)</f>
        <v>0</v>
      </c>
      <c r="CS67" s="449">
        <f ca="1">SUM(CS6:CS65)</f>
        <v>0</v>
      </c>
      <c r="CT67" s="467">
        <f ca="1">SUM(CT57:CT65)</f>
        <v>0</v>
      </c>
      <c r="CV67" s="569">
        <f ca="1" t="shared" si="716" ref="CV67:CV68">IFERROR(VLOOKUP(CV58,$B$57:$F$60,5,0),0)</f>
        <v>0</v>
      </c>
      <c r="CW67" s="569">
        <f ca="1">IFERROR(VLOOKUP(CV63,$B$62:$F$63,5,0),0)</f>
        <v>0</v>
      </c>
      <c r="CX67" s="569">
        <f ca="1" t="shared" si="717" ref="CX67:CX68">IFERROR(VLOOKUP(CV58,$D$57:$G$60,4,0),0)</f>
        <v>0</v>
      </c>
      <c r="CY67" s="815" t="str">
        <f>Language!$E$216</f>
        <v>Number:</v>
      </c>
      <c r="CZ67" s="816"/>
      <c r="DA67" s="817"/>
      <c r="DB67" s="449">
        <f ca="1">SUM(DB65:DB65)</f>
        <v>0</v>
      </c>
      <c r="DC67" s="449">
        <f ca="1">SUM(DC6:DC63)</f>
        <v>0</v>
      </c>
      <c r="DD67" s="449">
        <f ca="1">SUM(DD6:DD65)</f>
        <v>0</v>
      </c>
      <c r="DE67" s="449">
        <f ca="1">SUM(DE6:DE65)</f>
        <v>0</v>
      </c>
      <c r="DF67" s="449">
        <f ca="1">SUM(DF6:DF65)</f>
        <v>0</v>
      </c>
      <c r="DG67" s="467">
        <f ca="1">SUM(DG57:DG65)</f>
        <v>0</v>
      </c>
      <c r="DI67" s="569">
        <f ca="1" t="shared" si="718" ref="DI67:DI68">IFERROR(VLOOKUP(DI58,$B$57:$F$60,5,0),0)</f>
        <v>0</v>
      </c>
      <c r="DJ67" s="569">
        <f ca="1">IFERROR(VLOOKUP(DI63,$B$62:$F$63,5,0),0)</f>
        <v>0</v>
      </c>
      <c r="DK67" s="569">
        <f ca="1" t="shared" si="719" ref="DK67:DK68">IFERROR(VLOOKUP(DI58,$D$57:$G$60,4,0),0)</f>
        <v>0</v>
      </c>
      <c r="DL67" s="815" t="str">
        <f>Language!$E$216</f>
        <v>Number:</v>
      </c>
      <c r="DM67" s="816"/>
      <c r="DN67" s="817"/>
      <c r="DO67" s="449">
        <f ca="1">SUM(DO65:DO65)</f>
        <v>0</v>
      </c>
      <c r="DP67" s="449">
        <f ca="1">SUM(DP6:DP63)</f>
        <v>0</v>
      </c>
      <c r="DQ67" s="449">
        <f ca="1">SUM(DQ6:DQ65)</f>
        <v>0</v>
      </c>
      <c r="DR67" s="449">
        <f ca="1">SUM(DR6:DR65)</f>
        <v>0</v>
      </c>
      <c r="DS67" s="449">
        <f ca="1">SUM(DS6:DS65)</f>
        <v>0</v>
      </c>
      <c r="DT67" s="467">
        <f ca="1">SUM(DT57:DT65)</f>
        <v>0</v>
      </c>
      <c r="DV67" s="569">
        <f ca="1" t="shared" si="720" ref="DV67:DV68">IFERROR(VLOOKUP(DV58,$B$57:$F$60,5,0),0)</f>
        <v>0</v>
      </c>
      <c r="DW67" s="569">
        <f ca="1">IFERROR(VLOOKUP(DV63,$B$62:$F$63,5,0),0)</f>
        <v>0</v>
      </c>
      <c r="DX67" s="569">
        <f ca="1" t="shared" si="721" ref="DX67:DX68">IFERROR(VLOOKUP(DV58,$D$57:$G$60,4,0),0)</f>
        <v>0</v>
      </c>
      <c r="DY67" s="815" t="str">
        <f>Language!$E$216</f>
        <v>Number:</v>
      </c>
      <c r="DZ67" s="816"/>
      <c r="EA67" s="817"/>
      <c r="EB67" s="449">
        <f ca="1">SUM(EB65:EB65)</f>
        <v>0</v>
      </c>
      <c r="EC67" s="449">
        <f ca="1">SUM(EC6:EC63)</f>
        <v>0</v>
      </c>
      <c r="ED67" s="449">
        <f ca="1">SUM(ED6:ED65)</f>
        <v>0</v>
      </c>
      <c r="EE67" s="449">
        <f ca="1">SUM(EE6:EE65)</f>
        <v>0</v>
      </c>
      <c r="EF67" s="449">
        <f ca="1">SUM(EF6:EF65)</f>
        <v>0</v>
      </c>
      <c r="EG67" s="467">
        <f ca="1">SUM(EG57:EG65)</f>
        <v>0</v>
      </c>
      <c r="EI67" s="569">
        <f ca="1" t="shared" si="722" ref="EI67:EI68">IFERROR(VLOOKUP(EI58,$B$57:$F$60,5,0),0)</f>
        <v>0</v>
      </c>
      <c r="EJ67" s="569">
        <f ca="1">IFERROR(VLOOKUP(EI63,$B$62:$F$63,5,0),0)</f>
        <v>0</v>
      </c>
      <c r="EK67" s="569">
        <f ca="1" t="shared" si="723" ref="EK67:EK68">IFERROR(VLOOKUP(EI58,$D$57:$G$60,4,0),0)</f>
        <v>0</v>
      </c>
      <c r="EL67" s="815" t="str">
        <f>Language!$E$216</f>
        <v>Number:</v>
      </c>
      <c r="EM67" s="816"/>
      <c r="EN67" s="817"/>
      <c r="EO67" s="449">
        <f ca="1">SUM(EO65:EO65)</f>
        <v>0</v>
      </c>
      <c r="EP67" s="449">
        <f ca="1">SUM(EP6:EP63)</f>
        <v>0</v>
      </c>
      <c r="EQ67" s="449">
        <f ca="1">SUM(EQ6:EQ65)</f>
        <v>0</v>
      </c>
      <c r="ER67" s="449">
        <f ca="1">SUM(ER6:ER65)</f>
        <v>0</v>
      </c>
      <c r="ES67" s="449">
        <f ca="1">SUM(ES6:ES65)</f>
        <v>0</v>
      </c>
      <c r="ET67" s="467">
        <f ca="1">SUM(ET57:ET65)</f>
        <v>0</v>
      </c>
      <c r="EV67" s="569">
        <f ca="1" t="shared" si="724" ref="EV67:EV68">IFERROR(VLOOKUP(EV58,$B$57:$F$60,5,0),0)</f>
        <v>0</v>
      </c>
      <c r="EW67" s="569">
        <f ca="1">IFERROR(VLOOKUP(EV63,$B$62:$F$63,5,0),0)</f>
        <v>0</v>
      </c>
      <c r="EX67" s="569">
        <f ca="1" t="shared" si="725" ref="EX67:EX68">IFERROR(VLOOKUP(EV58,$D$57:$G$60,4,0),0)</f>
        <v>0</v>
      </c>
      <c r="EY67" s="815" t="str">
        <f>Language!$E$216</f>
        <v>Number:</v>
      </c>
      <c r="EZ67" s="816"/>
      <c r="FA67" s="817"/>
      <c r="FB67" s="449">
        <f ca="1">SUM(FB65:FB65)</f>
        <v>0</v>
      </c>
      <c r="FC67" s="449">
        <f ca="1">SUM(FC6:FC63)</f>
        <v>0</v>
      </c>
      <c r="FD67" s="449">
        <f ca="1">SUM(FD6:FD65)</f>
        <v>0</v>
      </c>
      <c r="FE67" s="449">
        <f ca="1">SUM(FE6:FE65)</f>
        <v>0</v>
      </c>
      <c r="FF67" s="449">
        <f ca="1">SUM(FF6:FF65)</f>
        <v>0</v>
      </c>
      <c r="FG67" s="467">
        <f ca="1">SUM(FG57:FG65)</f>
        <v>0</v>
      </c>
      <c r="FI67" s="569">
        <f ca="1" t="shared" si="726" ref="FI67:FI68">IFERROR(VLOOKUP(FI58,$B$57:$F$60,5,0),0)</f>
        <v>0</v>
      </c>
      <c r="FJ67" s="569">
        <f ca="1">IFERROR(VLOOKUP(FI63,$B$62:$F$63,5,0),0)</f>
        <v>0</v>
      </c>
      <c r="FK67" s="569">
        <f ca="1" t="shared" si="727" ref="FK67:FK68">IFERROR(VLOOKUP(FI58,$D$57:$G$60,4,0),0)</f>
        <v>0</v>
      </c>
      <c r="FL67" s="815" t="str">
        <f>Language!$E$216</f>
        <v>Number:</v>
      </c>
      <c r="FM67" s="816"/>
      <c r="FN67" s="817"/>
      <c r="FO67" s="449">
        <f ca="1">SUM(FO65:FO65)</f>
        <v>0</v>
      </c>
      <c r="FP67" s="449">
        <f ca="1">SUM(FP6:FP63)</f>
        <v>0</v>
      </c>
      <c r="FQ67" s="449">
        <f ca="1">SUM(FQ6:FQ65)</f>
        <v>0</v>
      </c>
      <c r="FR67" s="449">
        <f ca="1">SUM(FR6:FR65)</f>
        <v>0</v>
      </c>
      <c r="FS67" s="449">
        <f ca="1">SUM(FS6:FS65)</f>
        <v>0</v>
      </c>
      <c r="FT67" s="467">
        <f ca="1">SUM(FT57:FT65)</f>
        <v>0</v>
      </c>
      <c r="FV67" s="569">
        <f ca="1" t="shared" si="728" ref="FV67:FV68">IFERROR(VLOOKUP(FV58,$B$57:$F$60,5,0),0)</f>
        <v>0</v>
      </c>
      <c r="FW67" s="569">
        <f ca="1">IFERROR(VLOOKUP(FV63,$B$62:$F$63,5,0),0)</f>
        <v>0</v>
      </c>
      <c r="FX67" s="569">
        <f ca="1" t="shared" si="729" ref="FX67:FX68">IFERROR(VLOOKUP(FV58,$D$57:$G$60,4,0),0)</f>
        <v>0</v>
      </c>
      <c r="FY67" s="815" t="str">
        <f>Language!$E$216</f>
        <v>Number:</v>
      </c>
      <c r="FZ67" s="816"/>
      <c r="GA67" s="817"/>
      <c r="GB67" s="449">
        <f ca="1">SUM(GB65:GB65)</f>
        <v>0</v>
      </c>
      <c r="GC67" s="449">
        <f ca="1">SUM(GC6:GC63)</f>
        <v>0</v>
      </c>
      <c r="GD67" s="449">
        <f ca="1">SUM(GD6:GD65)</f>
        <v>0</v>
      </c>
      <c r="GE67" s="449">
        <f ca="1">SUM(GE6:GE65)</f>
        <v>0</v>
      </c>
      <c r="GF67" s="449">
        <f ca="1">SUM(GF6:GF65)</f>
        <v>0</v>
      </c>
      <c r="GG67" s="467">
        <f ca="1">SUM(GG57:GG65)</f>
        <v>0</v>
      </c>
      <c r="GI67" s="569">
        <f ca="1" t="shared" si="730" ref="GI67:GI68">IFERROR(VLOOKUP(GI58,$B$57:$F$60,5,0),0)</f>
        <v>0</v>
      </c>
      <c r="GJ67" s="569">
        <f ca="1">IFERROR(VLOOKUP(GI63,$B$62:$F$63,5,0),0)</f>
        <v>0</v>
      </c>
      <c r="GK67" s="569">
        <f ca="1" t="shared" si="731" ref="GK67:GK68">IFERROR(VLOOKUP(GI58,$D$57:$G$60,4,0),0)</f>
        <v>0</v>
      </c>
      <c r="GL67" s="815" t="str">
        <f>Language!$E$216</f>
        <v>Number:</v>
      </c>
      <c r="GM67" s="816"/>
      <c r="GN67" s="817"/>
      <c r="GO67" s="449">
        <f ca="1">SUM(GO65:GO65)</f>
        <v>0</v>
      </c>
      <c r="GP67" s="449">
        <f ca="1">SUM(GP6:GP63)</f>
        <v>0</v>
      </c>
      <c r="GQ67" s="449">
        <f ca="1">SUM(GQ6:GQ65)</f>
        <v>0</v>
      </c>
      <c r="GR67" s="449">
        <f ca="1">SUM(GR6:GR65)</f>
        <v>0</v>
      </c>
      <c r="GS67" s="449">
        <f ca="1">SUM(GS6:GS65)</f>
        <v>0</v>
      </c>
      <c r="GT67" s="467">
        <f ca="1">SUM(GT57:GT65)</f>
        <v>0</v>
      </c>
      <c r="GV67" s="569">
        <f ca="1" t="shared" si="732" ref="GV67:GV68">IFERROR(VLOOKUP(GV58,$B$57:$F$60,5,0),0)</f>
        <v>0</v>
      </c>
      <c r="GW67" s="569">
        <f ca="1">IFERROR(VLOOKUP(GV63,$B$62:$F$63,5,0),0)</f>
        <v>0</v>
      </c>
      <c r="GX67" s="569">
        <f ca="1" t="shared" si="733" ref="GX67:GX68">IFERROR(VLOOKUP(GV58,$D$57:$G$60,4,0),0)</f>
        <v>0</v>
      </c>
      <c r="GY67" s="815" t="str">
        <f>Language!$E$216</f>
        <v>Number:</v>
      </c>
      <c r="GZ67" s="816"/>
      <c r="HA67" s="817"/>
      <c r="HB67" s="449">
        <f ca="1">SUM(HB65:HB65)</f>
        <v>0</v>
      </c>
      <c r="HC67" s="449">
        <f ca="1">SUM(HC6:HC63)</f>
        <v>0</v>
      </c>
      <c r="HD67" s="449">
        <f ca="1">SUM(HD6:HD65)</f>
        <v>0</v>
      </c>
      <c r="HE67" s="449">
        <f ca="1">SUM(HE6:HE65)</f>
        <v>0</v>
      </c>
      <c r="HF67" s="449">
        <f ca="1">SUM(HF6:HF65)</f>
        <v>0</v>
      </c>
      <c r="HG67" s="467">
        <f ca="1">SUM(HG57:HG65)</f>
        <v>0</v>
      </c>
      <c r="HI67" s="569">
        <f ca="1" t="shared" si="734" ref="HI67:HI68">IFERROR(VLOOKUP(HI58,$B$57:$F$60,5,0),0)</f>
        <v>0</v>
      </c>
      <c r="HJ67" s="569">
        <f ca="1">IFERROR(VLOOKUP(HI63,$B$62:$F$63,5,0),0)</f>
        <v>0</v>
      </c>
      <c r="HK67" s="569">
        <f ca="1" t="shared" si="735" ref="HK67:HK68">IFERROR(VLOOKUP(HI58,$D$57:$G$60,4,0),0)</f>
        <v>0</v>
      </c>
      <c r="HL67" s="815" t="str">
        <f>Language!$E$216</f>
        <v>Number:</v>
      </c>
      <c r="HM67" s="816"/>
      <c r="HN67" s="817"/>
      <c r="HO67" s="449">
        <f ca="1">SUM(HO65:HO65)</f>
        <v>0</v>
      </c>
      <c r="HP67" s="449">
        <f ca="1">SUM(HP6:HP63)</f>
        <v>0</v>
      </c>
      <c r="HQ67" s="449">
        <f ca="1">SUM(HQ6:HQ65)</f>
        <v>0</v>
      </c>
      <c r="HR67" s="449">
        <f ca="1">SUM(HR6:HR65)</f>
        <v>0</v>
      </c>
      <c r="HS67" s="449">
        <f ca="1">SUM(HS6:HS65)</f>
        <v>0</v>
      </c>
      <c r="HT67" s="467">
        <f ca="1">SUM(HT57:HT65)</f>
        <v>0</v>
      </c>
      <c r="HV67" s="569">
        <f ca="1" t="shared" si="736" ref="HV67:HV68">IFERROR(VLOOKUP(HV58,$B$57:$F$60,5,0),0)</f>
        <v>0</v>
      </c>
      <c r="HW67" s="569">
        <f ca="1">IFERROR(VLOOKUP(HV63,$B$62:$F$63,5,0),0)</f>
        <v>0</v>
      </c>
      <c r="HX67" s="569">
        <f ca="1" t="shared" si="737" ref="HX67:HX68">IFERROR(VLOOKUP(HV58,$D$57:$G$60,4,0),0)</f>
        <v>0</v>
      </c>
      <c r="HY67" s="815" t="str">
        <f>Language!$E$216</f>
        <v>Number:</v>
      </c>
      <c r="HZ67" s="816"/>
      <c r="IA67" s="817"/>
      <c r="IB67" s="449">
        <f ca="1">SUM(IB65:IB65)</f>
        <v>0</v>
      </c>
      <c r="IC67" s="449">
        <f ca="1">SUM(IC6:IC63)</f>
        <v>0</v>
      </c>
      <c r="ID67" s="449">
        <f ca="1">SUM(ID6:ID65)</f>
        <v>0</v>
      </c>
      <c r="IE67" s="449">
        <f ca="1">SUM(IE6:IE65)</f>
        <v>0</v>
      </c>
      <c r="IF67" s="449">
        <f ca="1">SUM(IF6:IF65)</f>
        <v>0</v>
      </c>
      <c r="IG67" s="467">
        <f ca="1">SUM(IG57:IG65)</f>
        <v>0</v>
      </c>
      <c r="II67" s="569">
        <f ca="1" t="shared" si="738" ref="II67:II68">IFERROR(VLOOKUP(II58,$B$57:$F$60,5,0),0)</f>
        <v>0</v>
      </c>
      <c r="IJ67" s="569">
        <f ca="1">IFERROR(VLOOKUP(II63,$B$62:$F$63,5,0),0)</f>
        <v>0</v>
      </c>
      <c r="IK67" s="569">
        <f ca="1" t="shared" si="739" ref="IK67:IK68">IFERROR(VLOOKUP(II58,$D$57:$G$60,4,0),0)</f>
        <v>0</v>
      </c>
      <c r="IL67" s="815" t="str">
        <f>Language!$E$216</f>
        <v>Number:</v>
      </c>
      <c r="IM67" s="816"/>
      <c r="IN67" s="817"/>
      <c r="IO67" s="449">
        <f ca="1">SUM(IO65:IO65)</f>
        <v>0</v>
      </c>
      <c r="IP67" s="449">
        <f ca="1">SUM(IP6:IP63)</f>
        <v>0</v>
      </c>
      <c r="IQ67" s="449">
        <f ca="1">SUM(IQ6:IQ65)</f>
        <v>0</v>
      </c>
      <c r="IR67" s="449">
        <f ca="1">SUM(IR6:IR65)</f>
        <v>0</v>
      </c>
      <c r="IS67" s="449">
        <f ca="1">SUM(IS6:IS65)</f>
        <v>0</v>
      </c>
      <c r="IT67" s="467">
        <f ca="1">SUM(IT57:IT65)</f>
        <v>0</v>
      </c>
      <c r="IV67" s="569">
        <f ca="1" t="shared" si="740" ref="IV67:IV68">IFERROR(VLOOKUP(IV58,$B$57:$F$60,5,0),0)</f>
        <v>0</v>
      </c>
      <c r="IW67" s="569">
        <f ca="1">IFERROR(VLOOKUP(IV63,$B$62:$F$63,5,0),0)</f>
        <v>0</v>
      </c>
      <c r="IX67" s="569">
        <f ca="1" t="shared" si="741" ref="IX67:IX68">IFERROR(VLOOKUP(IV58,$D$57:$G$60,4,0),0)</f>
        <v>0</v>
      </c>
      <c r="IY67" s="815" t="str">
        <f>Language!$E$216</f>
        <v>Number:</v>
      </c>
      <c r="IZ67" s="816"/>
      <c r="JA67" s="817"/>
      <c r="JB67" s="449">
        <f ca="1">SUM(JB65:JB65)</f>
        <v>0</v>
      </c>
      <c r="JC67" s="449">
        <f ca="1">SUM(JC6:JC63)</f>
        <v>0</v>
      </c>
      <c r="JD67" s="449">
        <f ca="1">SUM(JD6:JD65)</f>
        <v>0</v>
      </c>
      <c r="JE67" s="449">
        <f ca="1">SUM(JE6:JE65)</f>
        <v>0</v>
      </c>
      <c r="JF67" s="449">
        <f ca="1">SUM(JF6:JF65)</f>
        <v>0</v>
      </c>
      <c r="JG67" s="467">
        <f ca="1">SUM(JG57:JG65)</f>
        <v>0</v>
      </c>
      <c r="JI67" s="569">
        <f ca="1" t="shared" si="742" ref="JI67:JI68">IFERROR(VLOOKUP(JI58,$B$57:$F$60,5,0),0)</f>
        <v>0</v>
      </c>
      <c r="JJ67" s="569">
        <f ca="1">IFERROR(VLOOKUP(JI63,$B$62:$F$63,5,0),0)</f>
        <v>0</v>
      </c>
      <c r="JK67" s="569">
        <f ca="1" t="shared" si="743" ref="JK67:JK68">IFERROR(VLOOKUP(JI58,$D$57:$G$60,4,0),0)</f>
        <v>0</v>
      </c>
      <c r="JL67" s="815" t="str">
        <f>Language!$E$216</f>
        <v>Number:</v>
      </c>
      <c r="JM67" s="816"/>
      <c r="JN67" s="817"/>
      <c r="JO67" s="449">
        <f ca="1">SUM(JO65:JO65)</f>
        <v>0</v>
      </c>
      <c r="JP67" s="449">
        <f ca="1">SUM(JP6:JP63)</f>
        <v>0</v>
      </c>
      <c r="JQ67" s="449">
        <f ca="1">SUM(JQ6:JQ65)</f>
        <v>0</v>
      </c>
      <c r="JR67" s="449">
        <f ca="1">SUM(JR6:JR65)</f>
        <v>0</v>
      </c>
      <c r="JS67" s="449">
        <f ca="1">SUM(JS6:JS65)</f>
        <v>0</v>
      </c>
      <c r="JT67" s="467">
        <f ca="1">SUM(JT57:JT65)</f>
        <v>0</v>
      </c>
      <c r="JV67" s="569">
        <f ca="1" t="shared" si="744" ref="JV67:JV68">IFERROR(VLOOKUP(JV58,$B$57:$F$60,5,0),0)</f>
        <v>0</v>
      </c>
      <c r="JW67" s="569">
        <f ca="1">IFERROR(VLOOKUP(JV63,$B$62:$F$63,5,0),0)</f>
        <v>0</v>
      </c>
      <c r="JX67" s="569">
        <f ca="1" t="shared" si="745" ref="JX67:JX68">IFERROR(VLOOKUP(JV58,$D$57:$G$60,4,0),0)</f>
        <v>0</v>
      </c>
      <c r="JY67" s="815" t="str">
        <f>Language!$E$216</f>
        <v>Number:</v>
      </c>
      <c r="JZ67" s="816"/>
      <c r="KA67" s="817"/>
      <c r="KB67" s="449">
        <f ca="1">SUM(KB65:KB65)</f>
        <v>0</v>
      </c>
      <c r="KC67" s="449">
        <f ca="1">SUM(KC6:KC63)</f>
        <v>0</v>
      </c>
      <c r="KD67" s="449">
        <f ca="1">SUM(KD6:KD65)</f>
        <v>0</v>
      </c>
      <c r="KE67" s="449">
        <f ca="1">SUM(KE6:KE65)</f>
        <v>0</v>
      </c>
      <c r="KF67" s="449">
        <f ca="1">SUM(KF6:KF65)</f>
        <v>0</v>
      </c>
      <c r="KG67" s="467">
        <f ca="1">SUM(KG57:KG65)</f>
        <v>0</v>
      </c>
      <c r="KI67" s="569">
        <f ca="1" t="shared" si="746" ref="KI67:KI68">IFERROR(VLOOKUP(KI58,$B$57:$F$60,5,0),0)</f>
        <v>0</v>
      </c>
      <c r="KJ67" s="569">
        <f ca="1">IFERROR(VLOOKUP(KI63,$B$62:$F$63,5,0),0)</f>
        <v>0</v>
      </c>
      <c r="KK67" s="569">
        <f ca="1" t="shared" si="747" ref="KK67:KK68">IFERROR(VLOOKUP(KI58,$D$57:$G$60,4,0),0)</f>
        <v>0</v>
      </c>
      <c r="KL67" s="815" t="str">
        <f>Language!$E$216</f>
        <v>Number:</v>
      </c>
      <c r="KM67" s="816"/>
      <c r="KN67" s="817"/>
      <c r="KO67" s="449">
        <f ca="1">SUM(KO65:KO65)</f>
        <v>0</v>
      </c>
      <c r="KP67" s="449">
        <f ca="1">SUM(KP6:KP63)</f>
        <v>0</v>
      </c>
      <c r="KQ67" s="449">
        <f ca="1">SUM(KQ6:KQ65)</f>
        <v>0</v>
      </c>
      <c r="KR67" s="449">
        <f ca="1">SUM(KR6:KR65)</f>
        <v>0</v>
      </c>
      <c r="KS67" s="449">
        <f ca="1">SUM(KS6:KS65)</f>
        <v>0</v>
      </c>
      <c r="KT67" s="467">
        <f ca="1">SUM(KT57:KT65)</f>
        <v>0</v>
      </c>
      <c r="KV67" s="569">
        <f ca="1" t="shared" si="748" ref="KV67:KV68">IFERROR(VLOOKUP(KV58,$B$57:$F$60,5,0),0)</f>
        <v>0</v>
      </c>
      <c r="KW67" s="569">
        <f ca="1">IFERROR(VLOOKUP(KV63,$B$62:$F$63,5,0),0)</f>
        <v>0</v>
      </c>
      <c r="KX67" s="569">
        <f ca="1" t="shared" si="749" ref="KX67:KX68">IFERROR(VLOOKUP(KV58,$D$57:$G$60,4,0),0)</f>
        <v>0</v>
      </c>
      <c r="KY67" s="815" t="str">
        <f>Language!$E$216</f>
        <v>Number:</v>
      </c>
      <c r="KZ67" s="816"/>
      <c r="LA67" s="817"/>
      <c r="LB67" s="449">
        <f ca="1">SUM(LB65:LB65)</f>
        <v>0</v>
      </c>
      <c r="LC67" s="449">
        <f ca="1">SUM(LC6:LC63)</f>
        <v>0</v>
      </c>
      <c r="LD67" s="449">
        <f ca="1">SUM(LD6:LD65)</f>
        <v>0</v>
      </c>
      <c r="LE67" s="449">
        <f ca="1">SUM(LE6:LE65)</f>
        <v>0</v>
      </c>
      <c r="LF67" s="449">
        <f ca="1">SUM(LF6:LF65)</f>
        <v>0</v>
      </c>
      <c r="LG67" s="467">
        <f ca="1">SUM(LG57:LG65)</f>
        <v>0</v>
      </c>
      <c r="LI67" s="569">
        <f ca="1" t="shared" si="750" ref="LI67:LI68">IFERROR(VLOOKUP(LI58,$B$57:$F$60,5,0),0)</f>
        <v>0</v>
      </c>
      <c r="LJ67" s="569">
        <f ca="1">IFERROR(VLOOKUP(LI63,$B$62:$F$63,5,0),0)</f>
        <v>0</v>
      </c>
      <c r="LK67" s="569">
        <f ca="1" t="shared" si="751" ref="LK67:LK68">IFERROR(VLOOKUP(LI58,$D$57:$G$60,4,0),0)</f>
        <v>0</v>
      </c>
      <c r="LL67" s="815" t="str">
        <f>Language!$E$216</f>
        <v>Number:</v>
      </c>
      <c r="LM67" s="816"/>
      <c r="LN67" s="817"/>
      <c r="LO67" s="449">
        <f ca="1">SUM(LO65:LO65)</f>
        <v>0</v>
      </c>
      <c r="LP67" s="449">
        <f ca="1">SUM(LP6:LP63)</f>
        <v>0</v>
      </c>
      <c r="LQ67" s="449">
        <f ca="1">SUM(LQ6:LQ65)</f>
        <v>0</v>
      </c>
      <c r="LR67" s="449">
        <f ca="1">SUM(LR6:LR65)</f>
        <v>0</v>
      </c>
      <c r="LS67" s="449">
        <f ca="1">SUM(LS6:LS65)</f>
        <v>0</v>
      </c>
      <c r="LT67" s="467">
        <f ca="1">SUM(LT57:LT65)</f>
        <v>0</v>
      </c>
      <c r="LV67" s="569">
        <f ca="1" t="shared" si="752" ref="LV67:LV68">IFERROR(VLOOKUP(LV58,$B$57:$F$60,5,0),0)</f>
        <v>0</v>
      </c>
      <c r="LW67" s="569">
        <f ca="1">IFERROR(VLOOKUP(LV63,$B$62:$F$63,5,0),0)</f>
        <v>0</v>
      </c>
      <c r="LX67" s="569">
        <f ca="1" t="shared" si="753" ref="LX67:LX68">IFERROR(VLOOKUP(LV58,$D$57:$G$60,4,0),0)</f>
        <v>0</v>
      </c>
      <c r="LY67" s="815" t="str">
        <f>Language!$E$216</f>
        <v>Number:</v>
      </c>
      <c r="LZ67" s="816"/>
      <c r="MA67" s="817"/>
      <c r="MB67" s="449">
        <f ca="1">SUM(MB65:MB65)</f>
        <v>0</v>
      </c>
      <c r="MC67" s="449">
        <f ca="1">SUM(MC6:MC63)</f>
        <v>0</v>
      </c>
      <c r="MD67" s="449">
        <f ca="1">SUM(MD6:MD65)</f>
        <v>0</v>
      </c>
      <c r="ME67" s="449">
        <f ca="1">SUM(ME6:ME65)</f>
        <v>0</v>
      </c>
      <c r="MF67" s="449">
        <f ca="1">SUM(MF6:MF65)</f>
        <v>0</v>
      </c>
      <c r="MG67" s="467">
        <f ca="1">SUM(MG57:MG65)</f>
        <v>0</v>
      </c>
    </row>
    <row r="68" spans="9:345" ht="16.5" customHeight="1" hidden="1">
      <c r="I68" s="569">
        <f t="shared" ca="1" si="702"/>
        <v>0</v>
      </c>
      <c r="J68" s="569">
        <f ca="1">IFERROR(VLOOKUP(I62,$D$62:$G$63,4,0),0)</f>
        <v>0</v>
      </c>
      <c r="K68" s="569">
        <f t="shared" ca="1" si="703"/>
        <v>0</v>
      </c>
      <c r="L68" s="815" t="str">
        <f>Language!$E$175</f>
        <v>Points:</v>
      </c>
      <c r="M68" s="816"/>
      <c r="N68" s="81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815" t="str">
        <f>Language!$E$175</f>
        <v>Points:</v>
      </c>
      <c r="Z68" s="816"/>
      <c r="AA68" s="81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815" t="str">
        <f>Language!$E$175</f>
        <v>Points:</v>
      </c>
      <c r="AM68" s="816"/>
      <c r="AN68" s="81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815" t="str">
        <f>Language!$E$175</f>
        <v>Points:</v>
      </c>
      <c r="AZ68" s="816"/>
      <c r="BA68" s="81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815" t="str">
        <f>Language!$E$175</f>
        <v>Points:</v>
      </c>
      <c r="BM68" s="816"/>
      <c r="BN68" s="81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815" t="str">
        <f>Language!$E$175</f>
        <v>Points:</v>
      </c>
      <c r="BZ68" s="816"/>
      <c r="CA68" s="81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815" t="str">
        <f>Language!$E$175</f>
        <v>Points:</v>
      </c>
      <c r="CM68" s="816"/>
      <c r="CN68" s="81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815" t="str">
        <f>Language!$E$175</f>
        <v>Points:</v>
      </c>
      <c r="CZ68" s="816"/>
      <c r="DA68" s="81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815" t="str">
        <f>Language!$E$175</f>
        <v>Points:</v>
      </c>
      <c r="DM68" s="816"/>
      <c r="DN68" s="81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815" t="str">
        <f>Language!$E$175</f>
        <v>Points:</v>
      </c>
      <c r="DZ68" s="816"/>
      <c r="EA68" s="81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815" t="str">
        <f>Language!$E$175</f>
        <v>Points:</v>
      </c>
      <c r="EM68" s="816"/>
      <c r="EN68" s="81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815" t="str">
        <f>Language!$E$175</f>
        <v>Points:</v>
      </c>
      <c r="EZ68" s="816"/>
      <c r="FA68" s="81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815" t="str">
        <f>Language!$E$175</f>
        <v>Points:</v>
      </c>
      <c r="FM68" s="816"/>
      <c r="FN68" s="81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815" t="str">
        <f>Language!$E$175</f>
        <v>Points:</v>
      </c>
      <c r="FZ68" s="816"/>
      <c r="GA68" s="81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815" t="str">
        <f>Language!$E$175</f>
        <v>Points:</v>
      </c>
      <c r="GM68" s="816"/>
      <c r="GN68" s="81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815" t="str">
        <f>Language!$E$175</f>
        <v>Points:</v>
      </c>
      <c r="GZ68" s="816"/>
      <c r="HA68" s="81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815" t="str">
        <f>Language!$E$175</f>
        <v>Points:</v>
      </c>
      <c r="HM68" s="816"/>
      <c r="HN68" s="81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815" t="str">
        <f>Language!$E$175</f>
        <v>Points:</v>
      </c>
      <c r="HZ68" s="816"/>
      <c r="IA68" s="81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815" t="str">
        <f>Language!$E$175</f>
        <v>Points:</v>
      </c>
      <c r="IM68" s="816"/>
      <c r="IN68" s="81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815" t="str">
        <f>Language!$E$175</f>
        <v>Points:</v>
      </c>
      <c r="IZ68" s="816"/>
      <c r="JA68" s="81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815" t="str">
        <f>Language!$E$175</f>
        <v>Points:</v>
      </c>
      <c r="JM68" s="816"/>
      <c r="JN68" s="81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815" t="str">
        <f>Language!$E$175</f>
        <v>Points:</v>
      </c>
      <c r="JZ68" s="816"/>
      <c r="KA68" s="81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815" t="str">
        <f>Language!$E$175</f>
        <v>Points:</v>
      </c>
      <c r="KM68" s="816"/>
      <c r="KN68" s="81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815" t="str">
        <f>Language!$E$175</f>
        <v>Points:</v>
      </c>
      <c r="KZ68" s="816"/>
      <c r="LA68" s="81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815" t="str">
        <f>Language!$E$175</f>
        <v>Points:</v>
      </c>
      <c r="LM68" s="816"/>
      <c r="LN68" s="81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815" t="str">
        <f>Language!$E$175</f>
        <v>Points:</v>
      </c>
      <c r="LZ68" s="816"/>
      <c r="MA68" s="817"/>
      <c r="MB68" s="449">
        <f ca="1">MB67*PrSettings!$F$9</f>
        <v>0</v>
      </c>
      <c r="MC68" s="449">
        <f ca="1">MC67*PrSettings!$F$4</f>
        <v>0</v>
      </c>
      <c r="MD68" s="449">
        <f ca="1">MD67*PrSettings!$F$5</f>
        <v>0</v>
      </c>
      <c r="ME68" s="449">
        <f ca="1">ME67*PrSettings!$F$6</f>
        <v>0</v>
      </c>
      <c r="MF68" s="449">
        <f ca="1">MF67*PrSettings!$F$7</f>
        <v>0</v>
      </c>
      <c r="MG68" s="467">
        <f ca="1">MG67*PrSettings!$F$8</f>
        <v>0</v>
      </c>
    </row>
    <row r="69" spans="9:345" ht="16.5" customHeight="1" thickBot="1">
      <c r="I69" s="569"/>
      <c r="J69" s="569"/>
      <c r="K69" s="569"/>
      <c r="L69" s="796" t="str">
        <f>Language!$E$175</f>
        <v>Points:</v>
      </c>
      <c r="M69" s="797"/>
      <c r="N69" s="798"/>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96" t="str">
        <f>Language!$E$175</f>
        <v>Points:</v>
      </c>
      <c r="Z69" s="797"/>
      <c r="AA69" s="798"/>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96" t="str">
        <f>Language!$E$175</f>
        <v>Points:</v>
      </c>
      <c r="AM69" s="797"/>
      <c r="AN69" s="798"/>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96" t="str">
        <f>Language!$E$175</f>
        <v>Points:</v>
      </c>
      <c r="AZ69" s="797"/>
      <c r="BA69" s="798"/>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96" t="str">
        <f>Language!$E$175</f>
        <v>Points:</v>
      </c>
      <c r="BM69" s="797"/>
      <c r="BN69" s="798"/>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96" t="str">
        <f>Language!$E$175</f>
        <v>Points:</v>
      </c>
      <c r="BZ69" s="797"/>
      <c r="CA69" s="798"/>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96" t="str">
        <f>Language!$E$175</f>
        <v>Points:</v>
      </c>
      <c r="CM69" s="797"/>
      <c r="CN69" s="798"/>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96" t="str">
        <f>Language!$E$175</f>
        <v>Points:</v>
      </c>
      <c r="CZ69" s="797"/>
      <c r="DA69" s="798"/>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96" t="str">
        <f>Language!$E$175</f>
        <v>Points:</v>
      </c>
      <c r="DM69" s="797"/>
      <c r="DN69" s="798"/>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96" t="str">
        <f>Language!$E$175</f>
        <v>Points:</v>
      </c>
      <c r="DZ69" s="797"/>
      <c r="EA69" s="798"/>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96" t="str">
        <f>Language!$E$175</f>
        <v>Points:</v>
      </c>
      <c r="EM69" s="797"/>
      <c r="EN69" s="798"/>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96" t="str">
        <f>Language!$E$175</f>
        <v>Points:</v>
      </c>
      <c r="EZ69" s="797"/>
      <c r="FA69" s="798"/>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96" t="str">
        <f>Language!$E$175</f>
        <v>Points:</v>
      </c>
      <c r="FM69" s="797"/>
      <c r="FN69" s="798"/>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96" t="str">
        <f>Language!$E$175</f>
        <v>Points:</v>
      </c>
      <c r="FZ69" s="797"/>
      <c r="GA69" s="798"/>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96" t="str">
        <f>Language!$E$175</f>
        <v>Points:</v>
      </c>
      <c r="GM69" s="797"/>
      <c r="GN69" s="798"/>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96" t="str">
        <f>Language!$E$175</f>
        <v>Points:</v>
      </c>
      <c r="GZ69" s="797"/>
      <c r="HA69" s="798"/>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96" t="str">
        <f>Language!$E$175</f>
        <v>Points:</v>
      </c>
      <c r="HM69" s="797"/>
      <c r="HN69" s="798"/>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96" t="str">
        <f>Language!$E$175</f>
        <v>Points:</v>
      </c>
      <c r="HZ69" s="797"/>
      <c r="IA69" s="798"/>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96" t="str">
        <f>Language!$E$175</f>
        <v>Points:</v>
      </c>
      <c r="IM69" s="797"/>
      <c r="IN69" s="798"/>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96" t="str">
        <f>Language!$E$175</f>
        <v>Points:</v>
      </c>
      <c r="IZ69" s="797"/>
      <c r="JA69" s="798"/>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96" t="str">
        <f>Language!$E$175</f>
        <v>Points:</v>
      </c>
      <c r="JM69" s="797"/>
      <c r="JN69" s="798"/>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96" t="str">
        <f>Language!$E$175</f>
        <v>Points:</v>
      </c>
      <c r="JZ69" s="797"/>
      <c r="KA69" s="798"/>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96" t="str">
        <f>Language!$E$175</f>
        <v>Points:</v>
      </c>
      <c r="KM69" s="797"/>
      <c r="KN69" s="798"/>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96" t="str">
        <f>Language!$E$175</f>
        <v>Points:</v>
      </c>
      <c r="KZ69" s="797"/>
      <c r="LA69" s="798"/>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96" t="str">
        <f>Language!$E$175</f>
        <v>Points:</v>
      </c>
      <c r="LM69" s="797"/>
      <c r="LN69" s="798"/>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96" t="str">
        <f>Language!$E$175</f>
        <v>Points:</v>
      </c>
      <c r="LZ69" s="797"/>
      <c r="MA69" s="798"/>
      <c r="MB69" s="660">
        <f ca="1">MB67*PrSettings!$F$9</f>
        <v>0</v>
      </c>
      <c r="MC69" s="661">
        <f ca="1">MC67*PrSettings!$F$4</f>
        <v>0</v>
      </c>
      <c r="MD69" s="661">
        <f ca="1">MD67*PrSettings!$F$5</f>
        <v>0</v>
      </c>
      <c r="ME69" s="661">
        <f ca="1">ME67*PrSettings!$F$6</f>
        <v>0</v>
      </c>
      <c r="MF69" s="661">
        <f ca="1">MF67*PrSettings!$F$7</f>
        <v>0</v>
      </c>
      <c r="MG69" s="662">
        <f ca="1">MG67*PrSettings!$F$8</f>
        <v>0</v>
      </c>
    </row>
    <row r="70" spans="9:345" ht="22.5" customHeight="1" thickTop="1" thickBot="1">
      <c r="I70" s="569">
        <f ca="1">IFERROR(VLOOKUP(I60,$B$57:$F$60,5,0),0)</f>
        <v>0</v>
      </c>
      <c r="J70" s="569">
        <f ca="1">IFERROR(VLOOKUP(I63,$D$62:$G$63,4,0),0)</f>
        <v>0</v>
      </c>
      <c r="K70" s="569">
        <f ca="1">IFERROR(VLOOKUP(I60,$D$57:$G$60,4,0),0)</f>
        <v>0</v>
      </c>
      <c r="L70" s="799" t="str">
        <f>Language!$E$176</f>
        <v>Sum:</v>
      </c>
      <c r="M70" s="800"/>
      <c r="N70" s="801"/>
      <c r="O70" s="802">
        <f ca="1">SUM(O68:T68)</f>
        <v>0</v>
      </c>
      <c r="P70" s="803"/>
      <c r="Q70" s="803"/>
      <c r="R70" s="803"/>
      <c r="S70" s="803"/>
      <c r="T70" s="804"/>
      <c r="V70" s="569">
        <f ca="1">IFERROR(VLOOKUP(V60,$B$57:$F$60,5,0),0)</f>
        <v>0</v>
      </c>
      <c r="W70" s="569">
        <f ca="1">IFERROR(VLOOKUP(V63,$D$62:$G$63,4,0),0)</f>
        <v>0</v>
      </c>
      <c r="X70" s="569">
        <f ca="1">IFERROR(VLOOKUP(V60,$D$57:$G$60,4,0),0)</f>
        <v>0</v>
      </c>
      <c r="Y70" s="799" t="str">
        <f>Language!$E$176</f>
        <v>Sum:</v>
      </c>
      <c r="Z70" s="800"/>
      <c r="AA70" s="801"/>
      <c r="AB70" s="802">
        <f ca="1">SUM(AB68:AG68)</f>
        <v>0</v>
      </c>
      <c r="AC70" s="803"/>
      <c r="AD70" s="803"/>
      <c r="AE70" s="803"/>
      <c r="AF70" s="803"/>
      <c r="AG70" s="804"/>
      <c r="AI70" s="569">
        <f ca="1">IFERROR(VLOOKUP(AI60,$B$57:$F$60,5,0),0)</f>
        <v>0</v>
      </c>
      <c r="AJ70" s="569">
        <f ca="1">IFERROR(VLOOKUP(AI63,$D$62:$G$63,4,0),0)</f>
        <v>0</v>
      </c>
      <c r="AK70" s="569">
        <f ca="1">IFERROR(VLOOKUP(AI60,$D$57:$G$60,4,0),0)</f>
        <v>0</v>
      </c>
      <c r="AL70" s="799" t="str">
        <f>Language!$E$176</f>
        <v>Sum:</v>
      </c>
      <c r="AM70" s="800"/>
      <c r="AN70" s="801"/>
      <c r="AO70" s="802">
        <f ca="1">SUM(AO68:AT68)</f>
        <v>0</v>
      </c>
      <c r="AP70" s="803"/>
      <c r="AQ70" s="803"/>
      <c r="AR70" s="803"/>
      <c r="AS70" s="803"/>
      <c r="AT70" s="804"/>
      <c r="AV70" s="569">
        <f ca="1">IFERROR(VLOOKUP(AV60,$B$57:$F$60,5,0),0)</f>
        <v>0</v>
      </c>
      <c r="AW70" s="569">
        <f ca="1">IFERROR(VLOOKUP(AV63,$D$62:$G$63,4,0),0)</f>
        <v>0</v>
      </c>
      <c r="AX70" s="569">
        <f ca="1">IFERROR(VLOOKUP(AV60,$D$57:$G$60,4,0),0)</f>
        <v>0</v>
      </c>
      <c r="AY70" s="799" t="str">
        <f>Language!$E$176</f>
        <v>Sum:</v>
      </c>
      <c r="AZ70" s="800"/>
      <c r="BA70" s="801"/>
      <c r="BB70" s="802">
        <f ca="1">SUM(BB68:BG68)</f>
        <v>0</v>
      </c>
      <c r="BC70" s="803"/>
      <c r="BD70" s="803"/>
      <c r="BE70" s="803"/>
      <c r="BF70" s="803"/>
      <c r="BG70" s="804"/>
      <c r="BI70" s="569">
        <f ca="1">IFERROR(VLOOKUP(BI60,$B$57:$F$60,5,0),0)</f>
        <v>0</v>
      </c>
      <c r="BJ70" s="569">
        <f ca="1">IFERROR(VLOOKUP(BI63,$D$62:$G$63,4,0),0)</f>
        <v>0</v>
      </c>
      <c r="BK70" s="569">
        <f ca="1">IFERROR(VLOOKUP(BI60,$D$57:$G$60,4,0),0)</f>
        <v>0</v>
      </c>
      <c r="BL70" s="799" t="str">
        <f>Language!$E$176</f>
        <v>Sum:</v>
      </c>
      <c r="BM70" s="800"/>
      <c r="BN70" s="801"/>
      <c r="BO70" s="802">
        <f ca="1">SUM(BO68:BT68)</f>
        <v>0</v>
      </c>
      <c r="BP70" s="803"/>
      <c r="BQ70" s="803"/>
      <c r="BR70" s="803"/>
      <c r="BS70" s="803"/>
      <c r="BT70" s="804"/>
      <c r="BV70" s="569">
        <f ca="1">IFERROR(VLOOKUP(BV60,$B$57:$F$60,5,0),0)</f>
        <v>0</v>
      </c>
      <c r="BW70" s="569">
        <f ca="1">IFERROR(VLOOKUP(BV63,$D$62:$G$63,4,0),0)</f>
        <v>0</v>
      </c>
      <c r="BX70" s="569">
        <f ca="1">IFERROR(VLOOKUP(BV60,$D$57:$G$60,4,0),0)</f>
        <v>0</v>
      </c>
      <c r="BY70" s="799" t="str">
        <f>Language!$E$176</f>
        <v>Sum:</v>
      </c>
      <c r="BZ70" s="800"/>
      <c r="CA70" s="801"/>
      <c r="CB70" s="802">
        <f ca="1">SUM(CB68:CG68)</f>
        <v>0</v>
      </c>
      <c r="CC70" s="803"/>
      <c r="CD70" s="803"/>
      <c r="CE70" s="803"/>
      <c r="CF70" s="803"/>
      <c r="CG70" s="804"/>
      <c r="CI70" s="569">
        <f ca="1">IFERROR(VLOOKUP(CI60,$B$57:$F$60,5,0),0)</f>
        <v>0</v>
      </c>
      <c r="CJ70" s="569">
        <f ca="1">IFERROR(VLOOKUP(CI63,$D$62:$G$63,4,0),0)</f>
        <v>0</v>
      </c>
      <c r="CK70" s="569">
        <f ca="1">IFERROR(VLOOKUP(CI60,$D$57:$G$60,4,0),0)</f>
        <v>0</v>
      </c>
      <c r="CL70" s="799" t="str">
        <f>Language!$E$176</f>
        <v>Sum:</v>
      </c>
      <c r="CM70" s="800"/>
      <c r="CN70" s="801"/>
      <c r="CO70" s="802">
        <f ca="1">SUM(CO68:CT68)</f>
        <v>0</v>
      </c>
      <c r="CP70" s="803"/>
      <c r="CQ70" s="803"/>
      <c r="CR70" s="803"/>
      <c r="CS70" s="803"/>
      <c r="CT70" s="804"/>
      <c r="CV70" s="569">
        <f ca="1">IFERROR(VLOOKUP(CV60,$B$57:$F$60,5,0),0)</f>
        <v>0</v>
      </c>
      <c r="CW70" s="569">
        <f ca="1">IFERROR(VLOOKUP(CV63,$D$62:$G$63,4,0),0)</f>
        <v>0</v>
      </c>
      <c r="CX70" s="569">
        <f ca="1">IFERROR(VLOOKUP(CV60,$D$57:$G$60,4,0),0)</f>
        <v>0</v>
      </c>
      <c r="CY70" s="799" t="str">
        <f>Language!$E$176</f>
        <v>Sum:</v>
      </c>
      <c r="CZ70" s="800"/>
      <c r="DA70" s="801"/>
      <c r="DB70" s="802">
        <f ca="1">SUM(DB68:DG68)</f>
        <v>0</v>
      </c>
      <c r="DC70" s="803"/>
      <c r="DD70" s="803"/>
      <c r="DE70" s="803"/>
      <c r="DF70" s="803"/>
      <c r="DG70" s="804"/>
      <c r="DI70" s="569">
        <f ca="1">IFERROR(VLOOKUP(DI60,$B$57:$F$60,5,0),0)</f>
        <v>0</v>
      </c>
      <c r="DJ70" s="569">
        <f ca="1">IFERROR(VLOOKUP(DI63,$D$62:$G$63,4,0),0)</f>
        <v>0</v>
      </c>
      <c r="DK70" s="569">
        <f ca="1">IFERROR(VLOOKUP(DI60,$D$57:$G$60,4,0),0)</f>
        <v>0</v>
      </c>
      <c r="DL70" s="799" t="str">
        <f>Language!$E$176</f>
        <v>Sum:</v>
      </c>
      <c r="DM70" s="800"/>
      <c r="DN70" s="801"/>
      <c r="DO70" s="802">
        <f ca="1">SUM(DO68:DT68)</f>
        <v>0</v>
      </c>
      <c r="DP70" s="803"/>
      <c r="DQ70" s="803"/>
      <c r="DR70" s="803"/>
      <c r="DS70" s="803"/>
      <c r="DT70" s="804"/>
      <c r="DV70" s="569">
        <f ca="1">IFERROR(VLOOKUP(DV60,$B$57:$F$60,5,0),0)</f>
        <v>0</v>
      </c>
      <c r="DW70" s="569">
        <f ca="1">IFERROR(VLOOKUP(DV63,$D$62:$G$63,4,0),0)</f>
        <v>0</v>
      </c>
      <c r="DX70" s="569">
        <f ca="1">IFERROR(VLOOKUP(DV60,$D$57:$G$60,4,0),0)</f>
        <v>0</v>
      </c>
      <c r="DY70" s="799" t="str">
        <f>Language!$E$176</f>
        <v>Sum:</v>
      </c>
      <c r="DZ70" s="800"/>
      <c r="EA70" s="801"/>
      <c r="EB70" s="802">
        <f ca="1">SUM(EB68:EG68)</f>
        <v>0</v>
      </c>
      <c r="EC70" s="803"/>
      <c r="ED70" s="803"/>
      <c r="EE70" s="803"/>
      <c r="EF70" s="803"/>
      <c r="EG70" s="804"/>
      <c r="EI70" s="569">
        <f ca="1">IFERROR(VLOOKUP(EI60,$B$57:$F$60,5,0),0)</f>
        <v>0</v>
      </c>
      <c r="EJ70" s="569">
        <f ca="1">IFERROR(VLOOKUP(EI63,$D$62:$G$63,4,0),0)</f>
        <v>0</v>
      </c>
      <c r="EK70" s="569">
        <f ca="1">IFERROR(VLOOKUP(EI60,$D$57:$G$60,4,0),0)</f>
        <v>0</v>
      </c>
      <c r="EL70" s="799" t="str">
        <f>Language!$E$176</f>
        <v>Sum:</v>
      </c>
      <c r="EM70" s="800"/>
      <c r="EN70" s="801"/>
      <c r="EO70" s="802">
        <f ca="1">SUM(EO68:ET68)</f>
        <v>0</v>
      </c>
      <c r="EP70" s="803"/>
      <c r="EQ70" s="803"/>
      <c r="ER70" s="803"/>
      <c r="ES70" s="803"/>
      <c r="ET70" s="804"/>
      <c r="EV70" s="569">
        <f ca="1">IFERROR(VLOOKUP(EV60,$B$57:$F$60,5,0),0)</f>
        <v>0</v>
      </c>
      <c r="EW70" s="569">
        <f ca="1">IFERROR(VLOOKUP(EV63,$D$62:$G$63,4,0),0)</f>
        <v>0</v>
      </c>
      <c r="EX70" s="569">
        <f ca="1">IFERROR(VLOOKUP(EV60,$D$57:$G$60,4,0),0)</f>
        <v>0</v>
      </c>
      <c r="EY70" s="799" t="str">
        <f>Language!$E$176</f>
        <v>Sum:</v>
      </c>
      <c r="EZ70" s="800"/>
      <c r="FA70" s="801"/>
      <c r="FB70" s="802">
        <f ca="1">SUM(FB68:FG68)</f>
        <v>0</v>
      </c>
      <c r="FC70" s="803"/>
      <c r="FD70" s="803"/>
      <c r="FE70" s="803"/>
      <c r="FF70" s="803"/>
      <c r="FG70" s="804"/>
      <c r="FI70" s="569">
        <f ca="1">IFERROR(VLOOKUP(FI60,$B$57:$F$60,5,0),0)</f>
        <v>0</v>
      </c>
      <c r="FJ70" s="569">
        <f ca="1">IFERROR(VLOOKUP(FI63,$D$62:$G$63,4,0),0)</f>
        <v>0</v>
      </c>
      <c r="FK70" s="569">
        <f ca="1">IFERROR(VLOOKUP(FI60,$D$57:$G$60,4,0),0)</f>
        <v>0</v>
      </c>
      <c r="FL70" s="799" t="str">
        <f>Language!$E$176</f>
        <v>Sum:</v>
      </c>
      <c r="FM70" s="800"/>
      <c r="FN70" s="801"/>
      <c r="FO70" s="802">
        <f ca="1">SUM(FO68:FT68)</f>
        <v>0</v>
      </c>
      <c r="FP70" s="803"/>
      <c r="FQ70" s="803"/>
      <c r="FR70" s="803"/>
      <c r="FS70" s="803"/>
      <c r="FT70" s="804"/>
      <c r="FV70" s="569">
        <f ca="1">IFERROR(VLOOKUP(FV60,$B$57:$F$60,5,0),0)</f>
        <v>0</v>
      </c>
      <c r="FW70" s="569">
        <f ca="1">IFERROR(VLOOKUP(FV63,$D$62:$G$63,4,0),0)</f>
        <v>0</v>
      </c>
      <c r="FX70" s="569">
        <f ca="1">IFERROR(VLOOKUP(FV60,$D$57:$G$60,4,0),0)</f>
        <v>0</v>
      </c>
      <c r="FY70" s="799" t="str">
        <f>Language!$E$176</f>
        <v>Sum:</v>
      </c>
      <c r="FZ70" s="800"/>
      <c r="GA70" s="801"/>
      <c r="GB70" s="802">
        <f ca="1">SUM(GB68:GG68)</f>
        <v>0</v>
      </c>
      <c r="GC70" s="803"/>
      <c r="GD70" s="803"/>
      <c r="GE70" s="803"/>
      <c r="GF70" s="803"/>
      <c r="GG70" s="804"/>
      <c r="GI70" s="569">
        <f ca="1">IFERROR(VLOOKUP(GI60,$B$57:$F$60,5,0),0)</f>
        <v>0</v>
      </c>
      <c r="GJ70" s="569">
        <f ca="1">IFERROR(VLOOKUP(GI63,$D$62:$G$63,4,0),0)</f>
        <v>0</v>
      </c>
      <c r="GK70" s="569">
        <f ca="1">IFERROR(VLOOKUP(GI60,$D$57:$G$60,4,0),0)</f>
        <v>0</v>
      </c>
      <c r="GL70" s="799" t="str">
        <f>Language!$E$176</f>
        <v>Sum:</v>
      </c>
      <c r="GM70" s="800"/>
      <c r="GN70" s="801"/>
      <c r="GO70" s="802">
        <f ca="1">SUM(GO68:GT68)</f>
        <v>0</v>
      </c>
      <c r="GP70" s="803"/>
      <c r="GQ70" s="803"/>
      <c r="GR70" s="803"/>
      <c r="GS70" s="803"/>
      <c r="GT70" s="804"/>
      <c r="GV70" s="569">
        <f ca="1">IFERROR(VLOOKUP(GV60,$B$57:$F$60,5,0),0)</f>
        <v>0</v>
      </c>
      <c r="GW70" s="569">
        <f ca="1">IFERROR(VLOOKUP(GV63,$D$62:$G$63,4,0),0)</f>
        <v>0</v>
      </c>
      <c r="GX70" s="569">
        <f ca="1">IFERROR(VLOOKUP(GV60,$D$57:$G$60,4,0),0)</f>
        <v>0</v>
      </c>
      <c r="GY70" s="799" t="str">
        <f>Language!$E$176</f>
        <v>Sum:</v>
      </c>
      <c r="GZ70" s="800"/>
      <c r="HA70" s="801"/>
      <c r="HB70" s="802">
        <f ca="1">SUM(HB68:HG68)</f>
        <v>0</v>
      </c>
      <c r="HC70" s="803"/>
      <c r="HD70" s="803"/>
      <c r="HE70" s="803"/>
      <c r="HF70" s="803"/>
      <c r="HG70" s="804"/>
      <c r="HI70" s="569">
        <f ca="1">IFERROR(VLOOKUP(HI60,$B$57:$F$60,5,0),0)</f>
        <v>0</v>
      </c>
      <c r="HJ70" s="569">
        <f ca="1">IFERROR(VLOOKUP(HI63,$D$62:$G$63,4,0),0)</f>
        <v>0</v>
      </c>
      <c r="HK70" s="569">
        <f ca="1">IFERROR(VLOOKUP(HI60,$D$57:$G$60,4,0),0)</f>
        <v>0</v>
      </c>
      <c r="HL70" s="799" t="str">
        <f>Language!$E$176</f>
        <v>Sum:</v>
      </c>
      <c r="HM70" s="800"/>
      <c r="HN70" s="801"/>
      <c r="HO70" s="802">
        <f ca="1">SUM(HO68:HT68)</f>
        <v>0</v>
      </c>
      <c r="HP70" s="803"/>
      <c r="HQ70" s="803"/>
      <c r="HR70" s="803"/>
      <c r="HS70" s="803"/>
      <c r="HT70" s="804"/>
      <c r="HV70" s="569">
        <f ca="1">IFERROR(VLOOKUP(HV60,$B$57:$F$60,5,0),0)</f>
        <v>0</v>
      </c>
      <c r="HW70" s="569">
        <f ca="1">IFERROR(VLOOKUP(HV63,$D$62:$G$63,4,0),0)</f>
        <v>0</v>
      </c>
      <c r="HX70" s="569">
        <f ca="1">IFERROR(VLOOKUP(HV60,$D$57:$G$60,4,0),0)</f>
        <v>0</v>
      </c>
      <c r="HY70" s="799" t="str">
        <f>Language!$E$176</f>
        <v>Sum:</v>
      </c>
      <c r="HZ70" s="800"/>
      <c r="IA70" s="801"/>
      <c r="IB70" s="802">
        <f ca="1">SUM(IB68:IG68)</f>
        <v>0</v>
      </c>
      <c r="IC70" s="803"/>
      <c r="ID70" s="803"/>
      <c r="IE70" s="803"/>
      <c r="IF70" s="803"/>
      <c r="IG70" s="804"/>
      <c r="II70" s="569">
        <f ca="1">IFERROR(VLOOKUP(II60,$B$57:$F$60,5,0),0)</f>
        <v>0</v>
      </c>
      <c r="IJ70" s="569">
        <f ca="1">IFERROR(VLOOKUP(II63,$D$62:$G$63,4,0),0)</f>
        <v>0</v>
      </c>
      <c r="IK70" s="569">
        <f ca="1">IFERROR(VLOOKUP(II60,$D$57:$G$60,4,0),0)</f>
        <v>0</v>
      </c>
      <c r="IL70" s="799" t="str">
        <f>Language!$E$176</f>
        <v>Sum:</v>
      </c>
      <c r="IM70" s="800"/>
      <c r="IN70" s="801"/>
      <c r="IO70" s="802">
        <f ca="1">SUM(IO68:IT68)</f>
        <v>0</v>
      </c>
      <c r="IP70" s="803"/>
      <c r="IQ70" s="803"/>
      <c r="IR70" s="803"/>
      <c r="IS70" s="803"/>
      <c r="IT70" s="804"/>
      <c r="IV70" s="569">
        <f ca="1">IFERROR(VLOOKUP(IV60,$B$57:$F$60,5,0),0)</f>
        <v>0</v>
      </c>
      <c r="IW70" s="569">
        <f ca="1">IFERROR(VLOOKUP(IV63,$D$62:$G$63,4,0),0)</f>
        <v>0</v>
      </c>
      <c r="IX70" s="569">
        <f ca="1">IFERROR(VLOOKUP(IV60,$D$57:$G$60,4,0),0)</f>
        <v>0</v>
      </c>
      <c r="IY70" s="799" t="str">
        <f>Language!$E$176</f>
        <v>Sum:</v>
      </c>
      <c r="IZ70" s="800"/>
      <c r="JA70" s="801"/>
      <c r="JB70" s="802">
        <f ca="1">SUM(JB68:JG68)</f>
        <v>0</v>
      </c>
      <c r="JC70" s="803"/>
      <c r="JD70" s="803"/>
      <c r="JE70" s="803"/>
      <c r="JF70" s="803"/>
      <c r="JG70" s="804"/>
      <c r="JI70" s="569">
        <f ca="1">IFERROR(VLOOKUP(JI60,$B$57:$F$60,5,0),0)</f>
        <v>0</v>
      </c>
      <c r="JJ70" s="569">
        <f ca="1">IFERROR(VLOOKUP(JI63,$D$62:$G$63,4,0),0)</f>
        <v>0</v>
      </c>
      <c r="JK70" s="569">
        <f ca="1">IFERROR(VLOOKUP(JI60,$D$57:$G$60,4,0),0)</f>
        <v>0</v>
      </c>
      <c r="JL70" s="799" t="str">
        <f>Language!$E$176</f>
        <v>Sum:</v>
      </c>
      <c r="JM70" s="800"/>
      <c r="JN70" s="801"/>
      <c r="JO70" s="802">
        <f ca="1">SUM(JO68:JT68)</f>
        <v>0</v>
      </c>
      <c r="JP70" s="803"/>
      <c r="JQ70" s="803"/>
      <c r="JR70" s="803"/>
      <c r="JS70" s="803"/>
      <c r="JT70" s="804"/>
      <c r="JV70" s="569">
        <f ca="1">IFERROR(VLOOKUP(JV60,$B$57:$F$60,5,0),0)</f>
        <v>0</v>
      </c>
      <c r="JW70" s="569">
        <f ca="1">IFERROR(VLOOKUP(JV63,$D$62:$G$63,4,0),0)</f>
        <v>0</v>
      </c>
      <c r="JX70" s="569">
        <f ca="1">IFERROR(VLOOKUP(JV60,$D$57:$G$60,4,0),0)</f>
        <v>0</v>
      </c>
      <c r="JY70" s="799" t="str">
        <f>Language!$E$176</f>
        <v>Sum:</v>
      </c>
      <c r="JZ70" s="800"/>
      <c r="KA70" s="801"/>
      <c r="KB70" s="802">
        <f ca="1">SUM(KB68:KG68)</f>
        <v>0</v>
      </c>
      <c r="KC70" s="803"/>
      <c r="KD70" s="803"/>
      <c r="KE70" s="803"/>
      <c r="KF70" s="803"/>
      <c r="KG70" s="804"/>
      <c r="KI70" s="569">
        <f ca="1">IFERROR(VLOOKUP(KI60,$B$57:$F$60,5,0),0)</f>
        <v>0</v>
      </c>
      <c r="KJ70" s="569">
        <f ca="1">IFERROR(VLOOKUP(KI63,$D$62:$G$63,4,0),0)</f>
        <v>0</v>
      </c>
      <c r="KK70" s="569">
        <f ca="1">IFERROR(VLOOKUP(KI60,$D$57:$G$60,4,0),0)</f>
        <v>0</v>
      </c>
      <c r="KL70" s="799" t="str">
        <f>Language!$E$176</f>
        <v>Sum:</v>
      </c>
      <c r="KM70" s="800"/>
      <c r="KN70" s="801"/>
      <c r="KO70" s="802">
        <f ca="1">SUM(KO68:KT68)</f>
        <v>0</v>
      </c>
      <c r="KP70" s="803"/>
      <c r="KQ70" s="803"/>
      <c r="KR70" s="803"/>
      <c r="KS70" s="803"/>
      <c r="KT70" s="804"/>
      <c r="KV70" s="569">
        <f ca="1">IFERROR(VLOOKUP(KV60,$B$57:$F$60,5,0),0)</f>
        <v>0</v>
      </c>
      <c r="KW70" s="569">
        <f ca="1">IFERROR(VLOOKUP(KV63,$D$62:$G$63,4,0),0)</f>
        <v>0</v>
      </c>
      <c r="KX70" s="569">
        <f ca="1">IFERROR(VLOOKUP(KV60,$D$57:$G$60,4,0),0)</f>
        <v>0</v>
      </c>
      <c r="KY70" s="799" t="str">
        <f>Language!$E$176</f>
        <v>Sum:</v>
      </c>
      <c r="KZ70" s="800"/>
      <c r="LA70" s="801"/>
      <c r="LB70" s="802">
        <f ca="1">SUM(LB68:LG68)</f>
        <v>0</v>
      </c>
      <c r="LC70" s="803"/>
      <c r="LD70" s="803"/>
      <c r="LE70" s="803"/>
      <c r="LF70" s="803"/>
      <c r="LG70" s="804"/>
      <c r="LI70" s="569">
        <f ca="1">IFERROR(VLOOKUP(LI60,$B$57:$F$60,5,0),0)</f>
        <v>0</v>
      </c>
      <c r="LJ70" s="569">
        <f ca="1">IFERROR(VLOOKUP(LI63,$D$62:$G$63,4,0),0)</f>
        <v>0</v>
      </c>
      <c r="LK70" s="569">
        <f ca="1">IFERROR(VLOOKUP(LI60,$D$57:$G$60,4,0),0)</f>
        <v>0</v>
      </c>
      <c r="LL70" s="799" t="str">
        <f>Language!$E$176</f>
        <v>Sum:</v>
      </c>
      <c r="LM70" s="800"/>
      <c r="LN70" s="801"/>
      <c r="LO70" s="802">
        <f ca="1">SUM(LO68:LT68)</f>
        <v>0</v>
      </c>
      <c r="LP70" s="803"/>
      <c r="LQ70" s="803"/>
      <c r="LR70" s="803"/>
      <c r="LS70" s="803"/>
      <c r="LT70" s="804"/>
      <c r="LV70" s="569">
        <f ca="1">IFERROR(VLOOKUP(LV60,$B$57:$F$60,5,0),0)</f>
        <v>0</v>
      </c>
      <c r="LW70" s="569">
        <f ca="1">IFERROR(VLOOKUP(LV63,$D$62:$G$63,4,0),0)</f>
        <v>0</v>
      </c>
      <c r="LX70" s="569">
        <f ca="1">IFERROR(VLOOKUP(LV60,$D$57:$G$60,4,0),0)</f>
        <v>0</v>
      </c>
      <c r="LY70" s="799" t="str">
        <f>Language!$E$176</f>
        <v>Sum:</v>
      </c>
      <c r="LZ70" s="800"/>
      <c r="MA70" s="801"/>
      <c r="MB70" s="802">
        <f ca="1">SUM(MB68:MG68)</f>
        <v>0</v>
      </c>
      <c r="MC70" s="803"/>
      <c r="MD70" s="803"/>
      <c r="ME70" s="803"/>
      <c r="MF70" s="803"/>
      <c r="MG70" s="804"/>
    </row>
    <row r="71" spans="9:336"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4" ht="16" thickBot="1">
      <c r="B72" s="814" t="str">
        <f>Language!$E$188</f>
        <v>Hint</v>
      </c>
      <c r="C72" s="814"/>
      <c r="D72" s="814"/>
      <c r="E72" s="814"/>
      <c r="F72" s="814"/>
      <c r="G72" s="814"/>
      <c r="H72" s="814"/>
      <c r="I72" s="569">
        <f ca="1" t="shared" si="754" ref="I72:I73">IFERROR(VLOOKUP(K58,$B$57:$F$60,5,0),0)</f>
        <v>0</v>
      </c>
      <c r="J72" s="569">
        <f ca="1">IFERROR(VLOOKUP(K63,$B$62:$F$63,5,0),0)</f>
        <v>0</v>
      </c>
      <c r="K72" s="569">
        <f ca="1" t="shared" si="755" ref="K72:K74">IFERROR(VLOOKUP(K58,$D$57:$G$60,4,0),0)</f>
        <v>0</v>
      </c>
      <c r="L72" s="108"/>
      <c r="M72"/>
      <c r="N72"/>
      <c r="O72"/>
      <c r="P72"/>
      <c r="Q72"/>
      <c r="R72"/>
      <c r="S72"/>
      <c r="V72" s="569">
        <f ca="1" t="shared" si="756" ref="V72:V73">IFERROR(VLOOKUP(X58,$B$57:$F$60,5,0),0)</f>
        <v>0</v>
      </c>
      <c r="W72" s="569">
        <f ca="1">IFERROR(VLOOKUP(X63,$B$62:$F$63,5,0),0)</f>
        <v>0</v>
      </c>
      <c r="X72" s="569">
        <f ca="1" t="shared" si="757" ref="X72:X74">IFERROR(VLOOKUP(X58,$D$57:$G$60,4,0),0)</f>
        <v>0</v>
      </c>
      <c r="Y72" s="108"/>
      <c r="Z72"/>
      <c r="AA72"/>
      <c r="AB72"/>
      <c r="AC72"/>
      <c r="AD72"/>
      <c r="AE72"/>
      <c r="AF72"/>
      <c r="AI72" s="569">
        <f ca="1" t="shared" si="758" ref="AI72:AI73">IFERROR(VLOOKUP(AK58,$B$57:$F$60,5,0),0)</f>
        <v>0</v>
      </c>
      <c r="AJ72" s="569">
        <f ca="1">IFERROR(VLOOKUP(AK63,$B$62:$F$63,5,0),0)</f>
        <v>0</v>
      </c>
      <c r="AK72" s="569">
        <f ca="1" t="shared" si="759" ref="AK72:AK74">IFERROR(VLOOKUP(AK58,$D$57:$G$60,4,0),0)</f>
        <v>0</v>
      </c>
      <c r="AL72" s="108"/>
      <c r="AM72"/>
      <c r="AN72"/>
      <c r="AO72"/>
      <c r="AP72"/>
      <c r="AQ72"/>
      <c r="AR72"/>
      <c r="AS72"/>
      <c r="AV72" s="569">
        <f ca="1" t="shared" si="760" ref="AV72:AV73">IFERROR(VLOOKUP(AX58,$B$57:$F$60,5,0),0)</f>
        <v>0</v>
      </c>
      <c r="AW72" s="569">
        <f ca="1">IFERROR(VLOOKUP(AX63,$B$62:$F$63,5,0),0)</f>
        <v>0</v>
      </c>
      <c r="AX72" s="569">
        <f ca="1" t="shared" si="761" ref="AX72:AX74">IFERROR(VLOOKUP(AX58,$D$57:$G$60,4,0),0)</f>
        <v>0</v>
      </c>
      <c r="AY72" s="108"/>
      <c r="AZ72"/>
      <c r="BA72"/>
      <c r="BB72"/>
      <c r="BC72"/>
      <c r="BD72"/>
      <c r="BE72"/>
      <c r="BF72"/>
      <c r="BI72" s="569">
        <f ca="1" t="shared" si="762" ref="BI72:BI73">IFERROR(VLOOKUP(BK58,$B$57:$F$60,5,0),0)</f>
        <v>0</v>
      </c>
      <c r="BJ72" s="569">
        <f ca="1">IFERROR(VLOOKUP(BK63,$B$62:$F$63,5,0),0)</f>
        <v>0</v>
      </c>
      <c r="BK72" s="569">
        <f ca="1" t="shared" si="763" ref="BK72:BK74">IFERROR(VLOOKUP(BK58,$D$57:$G$60,4,0),0)</f>
        <v>0</v>
      </c>
      <c r="BL72" s="108"/>
      <c r="BM72"/>
      <c r="BN72"/>
      <c r="BO72"/>
      <c r="BP72"/>
      <c r="BQ72"/>
      <c r="BR72"/>
      <c r="BS72"/>
      <c r="BV72" s="569">
        <f ca="1" t="shared" si="764" ref="BV72:BV73">IFERROR(VLOOKUP(BX58,$B$57:$F$60,5,0),0)</f>
        <v>0</v>
      </c>
      <c r="BW72" s="569">
        <f ca="1">IFERROR(VLOOKUP(BX63,$B$62:$F$63,5,0),0)</f>
        <v>0</v>
      </c>
      <c r="BX72" s="569">
        <f ca="1" t="shared" si="765" ref="BX72:BX74">IFERROR(VLOOKUP(BX58,$D$57:$G$60,4,0),0)</f>
        <v>0</v>
      </c>
      <c r="BY72" s="108"/>
      <c r="BZ72"/>
      <c r="CA72"/>
      <c r="CB72"/>
      <c r="CC72"/>
      <c r="CD72"/>
      <c r="CE72"/>
      <c r="CF72"/>
      <c r="CI72" s="569">
        <f ca="1" t="shared" si="766" ref="CI72:CI73">IFERROR(VLOOKUP(CK58,$B$57:$F$60,5,0),0)</f>
        <v>0</v>
      </c>
      <c r="CJ72" s="569">
        <f ca="1">IFERROR(VLOOKUP(CK63,$B$62:$F$63,5,0),0)</f>
        <v>0</v>
      </c>
      <c r="CK72" s="569">
        <f ca="1" t="shared" si="767" ref="CK72:CK74">IFERROR(VLOOKUP(CK58,$D$57:$G$60,4,0),0)</f>
        <v>0</v>
      </c>
      <c r="CL72" s="108"/>
      <c r="CM72"/>
      <c r="CN72"/>
      <c r="CO72"/>
      <c r="CP72"/>
      <c r="CQ72"/>
      <c r="CR72"/>
      <c r="CS72"/>
      <c r="CV72" s="569">
        <f ca="1" t="shared" si="768" ref="CV72:CV73">IFERROR(VLOOKUP(CX58,$B$57:$F$60,5,0),0)</f>
        <v>0</v>
      </c>
      <c r="CW72" s="569">
        <f ca="1">IFERROR(VLOOKUP(CX63,$B$62:$F$63,5,0),0)</f>
        <v>0</v>
      </c>
      <c r="CX72" s="569">
        <f ca="1" t="shared" si="769" ref="CX72:CX74">IFERROR(VLOOKUP(CX58,$D$57:$G$60,4,0),0)</f>
        <v>0</v>
      </c>
      <c r="CY72" s="108"/>
      <c r="CZ72"/>
      <c r="DA72"/>
      <c r="DB72"/>
      <c r="DC72"/>
      <c r="DD72"/>
      <c r="DE72"/>
      <c r="DF72"/>
      <c r="DI72" s="569">
        <f ca="1" t="shared" si="770" ref="DI72:DI73">IFERROR(VLOOKUP(DK58,$B$57:$F$60,5,0),0)</f>
        <v>0</v>
      </c>
      <c r="DJ72" s="569">
        <f ca="1">IFERROR(VLOOKUP(DK63,$B$62:$F$63,5,0),0)</f>
        <v>0</v>
      </c>
      <c r="DK72" s="569">
        <f ca="1" t="shared" si="771" ref="DK72:DK74">IFERROR(VLOOKUP(DK58,$D$57:$G$60,4,0),0)</f>
        <v>0</v>
      </c>
      <c r="DL72" s="108"/>
      <c r="DM72"/>
      <c r="DN72"/>
      <c r="DO72"/>
      <c r="DP72"/>
      <c r="DQ72"/>
      <c r="DR72"/>
      <c r="DS72"/>
      <c r="DV72" s="569">
        <f ca="1" t="shared" si="772" ref="DV72:DV73">IFERROR(VLOOKUP(DX58,$B$57:$F$60,5,0),0)</f>
        <v>0</v>
      </c>
      <c r="DW72" s="569">
        <f ca="1">IFERROR(VLOOKUP(DX63,$B$62:$F$63,5,0),0)</f>
        <v>0</v>
      </c>
      <c r="DX72" s="569">
        <f ca="1" t="shared" si="773" ref="DX72:DX74">IFERROR(VLOOKUP(DX58,$D$57:$G$60,4,0),0)</f>
        <v>0</v>
      </c>
      <c r="DY72" s="108"/>
      <c r="DZ72"/>
      <c r="EA72"/>
      <c r="EB72"/>
      <c r="EC72"/>
      <c r="ED72"/>
      <c r="EE72"/>
      <c r="EF72"/>
      <c r="EI72" s="569">
        <f ca="1" t="shared" si="774" ref="EI72:EI73">IFERROR(VLOOKUP(EK58,$B$57:$F$60,5,0),0)</f>
        <v>0</v>
      </c>
      <c r="EJ72" s="569">
        <f ca="1">IFERROR(VLOOKUP(EK63,$B$62:$F$63,5,0),0)</f>
        <v>0</v>
      </c>
      <c r="EK72" s="569">
        <f ca="1" t="shared" si="775" ref="EK72:EK74">IFERROR(VLOOKUP(EK58,$D$57:$G$60,4,0),0)</f>
        <v>0</v>
      </c>
      <c r="EL72" s="108"/>
      <c r="EM72"/>
      <c r="EN72"/>
      <c r="EO72"/>
      <c r="EP72"/>
      <c r="EQ72"/>
      <c r="ER72"/>
      <c r="ES72"/>
      <c r="EV72" s="569">
        <f ca="1" t="shared" si="776" ref="EV72:EV73">IFERROR(VLOOKUP(EX58,$B$57:$F$60,5,0),0)</f>
        <v>0</v>
      </c>
      <c r="EW72" s="569">
        <f ca="1">IFERROR(VLOOKUP(EX63,$B$62:$F$63,5,0),0)</f>
        <v>0</v>
      </c>
      <c r="EX72" s="569">
        <f ca="1" t="shared" si="777" ref="EX72:EX74">IFERROR(VLOOKUP(EX58,$D$57:$G$60,4,0),0)</f>
        <v>0</v>
      </c>
      <c r="EY72" s="108"/>
      <c r="EZ72"/>
      <c r="FA72"/>
      <c r="FB72"/>
      <c r="FC72"/>
      <c r="FD72"/>
      <c r="FE72"/>
      <c r="FF72"/>
      <c r="FI72" s="569">
        <f ca="1" t="shared" si="778" ref="FI72:FI73">IFERROR(VLOOKUP(FK58,$B$57:$F$60,5,0),0)</f>
        <v>0</v>
      </c>
      <c r="FJ72" s="569">
        <f ca="1">IFERROR(VLOOKUP(FK63,$B$62:$F$63,5,0),0)</f>
        <v>0</v>
      </c>
      <c r="FK72" s="569">
        <f ca="1" t="shared" si="779" ref="FK72:FK74">IFERROR(VLOOKUP(FK58,$D$57:$G$60,4,0),0)</f>
        <v>0</v>
      </c>
      <c r="FL72" s="108"/>
      <c r="FM72"/>
      <c r="FN72"/>
      <c r="FO72"/>
      <c r="FP72"/>
      <c r="FQ72"/>
      <c r="FR72"/>
      <c r="FS72"/>
      <c r="FV72" s="569">
        <f ca="1" t="shared" si="780" ref="FV72:FV73">IFERROR(VLOOKUP(FX58,$B$57:$F$60,5,0),0)</f>
        <v>0</v>
      </c>
      <c r="FW72" s="569">
        <f ca="1">IFERROR(VLOOKUP(FX63,$B$62:$F$63,5,0),0)</f>
        <v>0</v>
      </c>
      <c r="FX72" s="569">
        <f ca="1" t="shared" si="781" ref="FX72:FX74">IFERROR(VLOOKUP(FX58,$D$57:$G$60,4,0),0)</f>
        <v>0</v>
      </c>
      <c r="FY72" s="108"/>
      <c r="FZ72"/>
      <c r="GA72"/>
      <c r="GB72"/>
      <c r="GC72"/>
      <c r="GD72"/>
      <c r="GE72"/>
      <c r="GF72"/>
      <c r="GI72" s="569">
        <f ca="1" t="shared" si="782" ref="GI72:GI73">IFERROR(VLOOKUP(GK58,$B$57:$F$60,5,0),0)</f>
        <v>0</v>
      </c>
      <c r="GJ72" s="569">
        <f ca="1">IFERROR(VLOOKUP(GK63,$B$62:$F$63,5,0),0)</f>
        <v>0</v>
      </c>
      <c r="GK72" s="569">
        <f ca="1" t="shared" si="783" ref="GK72:GK74">IFERROR(VLOOKUP(GK58,$D$57:$G$60,4,0),0)</f>
        <v>0</v>
      </c>
      <c r="GL72" s="108"/>
      <c r="GM72"/>
      <c r="GN72"/>
      <c r="GO72"/>
      <c r="GP72"/>
      <c r="GQ72"/>
      <c r="GR72"/>
      <c r="GS72"/>
      <c r="GV72" s="569">
        <f ca="1" t="shared" si="784" ref="GV72:GV73">IFERROR(VLOOKUP(GX58,$B$57:$F$60,5,0),0)</f>
        <v>0</v>
      </c>
      <c r="GW72" s="569">
        <f ca="1">IFERROR(VLOOKUP(GX63,$B$62:$F$63,5,0),0)</f>
        <v>0</v>
      </c>
      <c r="GX72" s="569">
        <f ca="1" t="shared" si="785" ref="GX72:GX74">IFERROR(VLOOKUP(GX58,$D$57:$G$60,4,0),0)</f>
        <v>0</v>
      </c>
      <c r="GY72" s="108"/>
      <c r="GZ72"/>
      <c r="HA72"/>
      <c r="HB72"/>
      <c r="HC72"/>
      <c r="HD72"/>
      <c r="HE72"/>
      <c r="HF72"/>
      <c r="HI72" s="569">
        <f ca="1" t="shared" si="786" ref="HI72:HI73">IFERROR(VLOOKUP(HK58,$B$57:$F$60,5,0),0)</f>
        <v>0</v>
      </c>
      <c r="HJ72" s="569">
        <f ca="1">IFERROR(VLOOKUP(HK63,$B$62:$F$63,5,0),0)</f>
        <v>0</v>
      </c>
      <c r="HK72" s="569">
        <f ca="1" t="shared" si="787" ref="HK72:HK74">IFERROR(VLOOKUP(HK58,$D$57:$G$60,4,0),0)</f>
        <v>0</v>
      </c>
      <c r="HL72" s="108"/>
      <c r="HM72"/>
      <c r="HN72"/>
      <c r="HO72"/>
      <c r="HP72"/>
      <c r="HQ72"/>
      <c r="HR72"/>
      <c r="HS72"/>
      <c r="HV72" s="569">
        <f ca="1" t="shared" si="788" ref="HV72:HV73">IFERROR(VLOOKUP(HX58,$B$57:$F$60,5,0),0)</f>
        <v>0</v>
      </c>
      <c r="HW72" s="569">
        <f ca="1">IFERROR(VLOOKUP(HX63,$B$62:$F$63,5,0),0)</f>
        <v>0</v>
      </c>
      <c r="HX72" s="569">
        <f ca="1" t="shared" si="789" ref="HX72:HX74">IFERROR(VLOOKUP(HX58,$D$57:$G$60,4,0),0)</f>
        <v>0</v>
      </c>
      <c r="HY72" s="108"/>
      <c r="HZ72"/>
      <c r="IA72"/>
      <c r="IB72"/>
      <c r="IC72"/>
      <c r="ID72"/>
      <c r="IE72"/>
      <c r="IF72"/>
      <c r="II72" s="569">
        <f ca="1" t="shared" si="790" ref="II72:II73">IFERROR(VLOOKUP(IK58,$B$57:$F$60,5,0),0)</f>
        <v>0</v>
      </c>
      <c r="IJ72" s="569">
        <f ca="1">IFERROR(VLOOKUP(IK63,$B$62:$F$63,5,0),0)</f>
        <v>0</v>
      </c>
      <c r="IK72" s="569">
        <f ca="1" t="shared" si="791" ref="IK72:IK74">IFERROR(VLOOKUP(IK58,$D$57:$G$60,4,0),0)</f>
        <v>0</v>
      </c>
      <c r="IL72" s="108"/>
      <c r="IM72"/>
      <c r="IN72"/>
      <c r="IO72"/>
      <c r="IP72"/>
      <c r="IQ72"/>
      <c r="IR72"/>
      <c r="IS72"/>
      <c r="IV72" s="569">
        <f ca="1" t="shared" si="792" ref="IV72:IV73">IFERROR(VLOOKUP(IX58,$B$57:$F$60,5,0),0)</f>
        <v>0</v>
      </c>
      <c r="IW72" s="569">
        <f ca="1">IFERROR(VLOOKUP(IX63,$B$62:$F$63,5,0),0)</f>
        <v>0</v>
      </c>
      <c r="IX72" s="569">
        <f ca="1" t="shared" si="793" ref="IX72:IX74">IFERROR(VLOOKUP(IX58,$D$57:$G$60,4,0),0)</f>
        <v>0</v>
      </c>
      <c r="IY72" s="108"/>
      <c r="IZ72"/>
      <c r="JA72"/>
      <c r="JB72"/>
      <c r="JC72"/>
      <c r="JD72"/>
      <c r="JE72"/>
      <c r="JF72"/>
      <c r="JI72" s="569">
        <f ca="1" t="shared" si="794" ref="JI72:JI73">IFERROR(VLOOKUP(JK58,$B$57:$F$60,5,0),0)</f>
        <v>0</v>
      </c>
      <c r="JJ72" s="569">
        <f ca="1">IFERROR(VLOOKUP(JK63,$B$62:$F$63,5,0),0)</f>
        <v>0</v>
      </c>
      <c r="JK72" s="569">
        <f ca="1" t="shared" si="795" ref="JK72:JK74">IFERROR(VLOOKUP(JK58,$D$57:$G$60,4,0),0)</f>
        <v>0</v>
      </c>
      <c r="JL72" s="108"/>
      <c r="JM72"/>
      <c r="JN72"/>
      <c r="JO72"/>
      <c r="JP72"/>
      <c r="JQ72"/>
      <c r="JR72"/>
      <c r="JS72"/>
      <c r="JV72" s="569">
        <f ca="1" t="shared" si="796" ref="JV72:JV73">IFERROR(VLOOKUP(JX58,$B$57:$F$60,5,0),0)</f>
        <v>0</v>
      </c>
      <c r="JW72" s="569">
        <f ca="1">IFERROR(VLOOKUP(JX63,$B$62:$F$63,5,0),0)</f>
        <v>0</v>
      </c>
      <c r="JX72" s="569">
        <f ca="1" t="shared" si="797" ref="JX72:JX74">IFERROR(VLOOKUP(JX58,$D$57:$G$60,4,0),0)</f>
        <v>0</v>
      </c>
      <c r="JY72" s="108"/>
      <c r="JZ72"/>
      <c r="KA72"/>
      <c r="KB72"/>
      <c r="KC72"/>
      <c r="KD72"/>
      <c r="KE72"/>
      <c r="KF72"/>
      <c r="KI72" s="569">
        <f ca="1" t="shared" si="798" ref="KI72:KI73">IFERROR(VLOOKUP(KK58,$B$57:$F$60,5,0),0)</f>
        <v>0</v>
      </c>
      <c r="KJ72" s="569">
        <f ca="1">IFERROR(VLOOKUP(KK63,$B$62:$F$63,5,0),0)</f>
        <v>0</v>
      </c>
      <c r="KK72" s="569">
        <f ca="1" t="shared" si="799" ref="KK72:KK74">IFERROR(VLOOKUP(KK58,$D$57:$G$60,4,0),0)</f>
        <v>0</v>
      </c>
      <c r="KL72" s="108"/>
      <c r="KM72"/>
      <c r="KN72"/>
      <c r="KO72"/>
      <c r="KP72"/>
      <c r="KQ72"/>
      <c r="KR72"/>
      <c r="KS72"/>
      <c r="KV72" s="569">
        <f ca="1" t="shared" si="800" ref="KV72:KV73">IFERROR(VLOOKUP(KX58,$B$57:$F$60,5,0),0)</f>
        <v>0</v>
      </c>
      <c r="KW72" s="569">
        <f ca="1">IFERROR(VLOOKUP(KX63,$B$62:$F$63,5,0),0)</f>
        <v>0</v>
      </c>
      <c r="KX72" s="569">
        <f ca="1" t="shared" si="801" ref="KX72:KX74">IFERROR(VLOOKUP(KX58,$D$57:$G$60,4,0),0)</f>
        <v>0</v>
      </c>
      <c r="KY72" s="108"/>
      <c r="KZ72"/>
      <c r="LA72"/>
      <c r="LB72"/>
      <c r="LC72"/>
      <c r="LD72"/>
      <c r="LE72"/>
      <c r="LF72"/>
      <c r="LI72" s="569">
        <f ca="1" t="shared" si="802" ref="LI72:LI73">IFERROR(VLOOKUP(LK58,$B$57:$F$60,5,0),0)</f>
        <v>0</v>
      </c>
      <c r="LJ72" s="569">
        <f ca="1">IFERROR(VLOOKUP(LK63,$B$62:$F$63,5,0),0)</f>
        <v>0</v>
      </c>
      <c r="LK72" s="569">
        <f ca="1" t="shared" si="803" ref="LK72:LK74">IFERROR(VLOOKUP(LK58,$D$57:$G$60,4,0),0)</f>
        <v>0</v>
      </c>
      <c r="LL72" s="108"/>
      <c r="LM72"/>
      <c r="LN72"/>
      <c r="LO72"/>
      <c r="LP72"/>
      <c r="LQ72"/>
      <c r="LR72"/>
      <c r="LS72"/>
      <c r="LV72" s="569">
        <f ca="1" t="shared" si="804" ref="LV72:LV73">IFERROR(VLOOKUP(LX58,$B$57:$F$60,5,0),0)</f>
        <v>0</v>
      </c>
      <c r="LW72" s="569">
        <f ca="1">IFERROR(VLOOKUP(LX63,$B$62:$F$63,5,0),0)</f>
        <v>0</v>
      </c>
      <c r="LX72" s="569">
        <f ca="1" t="shared" si="805" ref="LX72:LX74">IFERROR(VLOOKUP(LX58,$D$57:$G$60,4,0),0)</f>
        <v>0</v>
      </c>
      <c r="LY72" s="108"/>
      <c r="LZ72"/>
      <c r="MA72"/>
      <c r="MB72"/>
      <c r="MC72"/>
      <c r="MD72"/>
      <c r="ME72"/>
      <c r="MF72"/>
    </row>
    <row r="73" spans="2:344" ht="16.5" customHeight="1" thickTop="1">
      <c r="B73" s="805" t="str">
        <f>Language!$E$197</f>
        <v>For example, to add ten more people, select columns HI through MG and copy them to the right. Finished.
(Remove sheet protection!)</v>
      </c>
      <c r="C73" s="806"/>
      <c r="D73" s="806"/>
      <c r="E73" s="806"/>
      <c r="F73" s="806"/>
      <c r="G73" s="806"/>
      <c r="H73" s="807"/>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4" ht="15.5">
      <c r="B74" s="808"/>
      <c r="C74" s="809"/>
      <c r="D74" s="809"/>
      <c r="E74" s="809"/>
      <c r="F74" s="809"/>
      <c r="G74" s="809"/>
      <c r="H74" s="810"/>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4" ht="15.5">
      <c r="B75" s="808"/>
      <c r="C75" s="809"/>
      <c r="D75" s="809"/>
      <c r="E75" s="809"/>
      <c r="F75" s="809"/>
      <c r="G75" s="809"/>
      <c r="H75" s="81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4" ht="15.75" customHeight="1">
      <c r="B76" s="808" t="str">
        <f>Language!$E$198</f>
        <v>To predict the teams in the KO round, enter the team numbers in the yellow fields.</v>
      </c>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4" ht="15.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4" ht="15.5">
      <c r="B78" s="808"/>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8" ht="15.5">
      <c r="B79" s="808" t="str">
        <f>Language!$E$199</f>
        <v>The factors for the individual categories and other presettings can be selected on the 'PrSettings' worksheet.</v>
      </c>
      <c r="C79" s="809"/>
      <c r="D79" s="809"/>
      <c r="E79" s="809"/>
      <c r="F79" s="809"/>
      <c r="G79" s="809"/>
      <c r="H79" s="810"/>
    </row>
    <row r="80" spans="2:8" ht="15.5">
      <c r="B80" s="808"/>
      <c r="C80" s="809"/>
      <c r="D80" s="809"/>
      <c r="E80" s="809"/>
      <c r="F80" s="809"/>
      <c r="G80" s="809"/>
      <c r="H80" s="810"/>
    </row>
    <row r="81" spans="2:8" ht="16" thickBot="1">
      <c r="B81" s="811"/>
      <c r="C81" s="812"/>
      <c r="D81" s="812"/>
      <c r="E81" s="812"/>
      <c r="F81" s="812"/>
      <c r="G81" s="812"/>
      <c r="H81" s="813"/>
    </row>
    <row r="82" ht="16" thickTop="1"/>
    <row r="83" ht="15.5"/>
    <row r="84" ht="15.5"/>
    <row r="85" ht="15.5"/>
    <row r="86" ht="15.5"/>
    <row r="87" ht="15.5"/>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J60">
    <cfRule type="expression" priority="7029" dxfId="214">
      <formula>O57&gt;1</formula>
    </cfRule>
  </conditionalFormatting>
  <conditionalFormatting sqref="J62:J63">
    <cfRule type="expression" priority="7027" dxfId="214">
      <formula>O62&gt;1</formula>
    </cfRule>
  </conditionalFormatting>
  <conditionalFormatting sqref="J65">
    <cfRule type="expression" priority="7021" dxfId="214">
      <formula>P65&gt;1</formula>
    </cfRule>
  </conditionalFormatting>
  <conditionalFormatting sqref="L57:L60">
    <cfRule type="expression" priority="7032" dxfId="214">
      <formula>O52&gt;1</formula>
    </cfRule>
  </conditionalFormatting>
  <conditionalFormatting sqref="L62:L63">
    <cfRule type="expression" priority="7025" dxfId="214">
      <formula>O50&gt;1</formula>
    </cfRule>
  </conditionalFormatting>
  <conditionalFormatting sqref="L65">
    <cfRule type="expression" priority="7020" dxfId="214">
      <formula>O49&gt;1</formula>
    </cfRule>
  </conditionalFormatting>
  <conditionalFormatting sqref="Q6:Q11 Q13:Q18 Q20:Q25 Q27:Q32 Q34:Q39 Q41:Q46 Q48:Q55">
    <cfRule type="expression" priority="6843" dxfId="586">
      <formula>AND(PrSettings!$M$4&lt;&gt;"●",$F6=$G6)</formula>
    </cfRule>
  </conditionalFormatting>
  <conditionalFormatting sqref="Q57:Q60">
    <cfRule type="expression" priority="52" dxfId="587">
      <formula>AND(I66+K66=I71+K71,PrSettings!$M$4&lt;&gt;"●")</formula>
    </cfRule>
  </conditionalFormatting>
  <conditionalFormatting sqref="Q62:Q63">
    <cfRule type="expression" priority="51" dxfId="587">
      <formula>AND(J66+J68=J71+J73,PrSettings!$M$4&lt;&gt;"●")</formula>
    </cfRule>
  </conditionalFormatting>
  <conditionalFormatting sqref="AD6:AD11 AD13:AD18 AD20:AD25 AD27:AD32 AD34:AD39 AD41:AD46 AD48:AD55">
    <cfRule type="expression" priority="463" dxfId="586">
      <formula>AND(PrSettings!$M$4&lt;&gt;"●",$F6=$G6)</formula>
    </cfRule>
  </conditionalFormatting>
  <conditionalFormatting sqref="AD57:AD60">
    <cfRule type="expression" priority="50" dxfId="587">
      <formula>AND(V66+X66=V71+X71,PrSettings!$M$4&lt;&gt;"●")</formula>
    </cfRule>
  </conditionalFormatting>
  <conditionalFormatting sqref="AD62:AD63">
    <cfRule type="expression" priority="49" dxfId="587">
      <formula>AND(W66+W68=W71+W73,PrSettings!$M$4&lt;&gt;"●")</formula>
    </cfRule>
  </conditionalFormatting>
  <conditionalFormatting sqref="AQ6:AQ11 AQ13:AQ18 AQ20:AQ25 AQ27:AQ32 AQ34:AQ39 AQ41:AQ46 AQ48:AQ55">
    <cfRule type="expression" priority="446" dxfId="586">
      <formula>AND(PrSettings!$M$4&lt;&gt;"●",$F6=$G6)</formula>
    </cfRule>
  </conditionalFormatting>
  <conditionalFormatting sqref="AQ57:AQ60">
    <cfRule type="expression" priority="48" dxfId="587">
      <formula>AND(AI66+AK66=AI71+AK71,PrSettings!$M$4&lt;&gt;"●")</formula>
    </cfRule>
  </conditionalFormatting>
  <conditionalFormatting sqref="AQ62:AQ63">
    <cfRule type="expression" priority="47" dxfId="587">
      <formula>AND(AJ66+AJ68=AJ71+AJ73,PrSettings!$M$4&lt;&gt;"●")</formula>
    </cfRule>
  </conditionalFormatting>
  <conditionalFormatting sqref="BD6:BD11 BD13:BD18 BD20:BD25 BD27:BD32 BD34:BD39 BD41:BD46 BD48:BD55">
    <cfRule type="expression" priority="429" dxfId="586">
      <formula>AND(PrSettings!$M$4&lt;&gt;"●",$F6=$G6)</formula>
    </cfRule>
  </conditionalFormatting>
  <conditionalFormatting sqref="BD57:BD60">
    <cfRule type="expression" priority="46" dxfId="587">
      <formula>AND(AV66+AX66=AV71+AX71,PrSettings!$M$4&lt;&gt;"●")</formula>
    </cfRule>
  </conditionalFormatting>
  <conditionalFormatting sqref="BD62:BD63">
    <cfRule type="expression" priority="45" dxfId="587">
      <formula>AND(AW66+AW68=AW71+AW73,PrSettings!$M$4&lt;&gt;"●")</formula>
    </cfRule>
  </conditionalFormatting>
  <conditionalFormatting sqref="BQ6:BQ11 BQ13:BQ18 BQ20:BQ25 BQ27:BQ32 BQ34:BQ39 BQ41:BQ46 BQ48:BQ55">
    <cfRule type="expression" priority="412" dxfId="586">
      <formula>AND(PrSettings!$M$4&lt;&gt;"●",$F6=$G6)</formula>
    </cfRule>
  </conditionalFormatting>
  <conditionalFormatting sqref="BQ57:BQ60">
    <cfRule type="expression" priority="44" dxfId="587">
      <formula>AND(BI66+BK66=BI71+BK71,PrSettings!$M$4&lt;&gt;"●")</formula>
    </cfRule>
  </conditionalFormatting>
  <conditionalFormatting sqref="BQ62:BQ63">
    <cfRule type="expression" priority="43" dxfId="587">
      <formula>AND(BJ66+BJ68=BJ71+BJ73,PrSettings!$M$4&lt;&gt;"●")</formula>
    </cfRule>
  </conditionalFormatting>
  <conditionalFormatting sqref="CD6:CD11 CD13:CD18 CD20:CD25 CD27:CD32 CD34:CD39 CD41:CD46 CD48:CD55">
    <cfRule type="expression" priority="395" dxfId="586">
      <formula>AND(PrSettings!$M$4&lt;&gt;"●",$F6=$G6)</formula>
    </cfRule>
  </conditionalFormatting>
  <conditionalFormatting sqref="CD57:CD60">
    <cfRule type="expression" priority="42" dxfId="587">
      <formula>AND(BV66+BX66=BV71+BX71,PrSettings!$M$4&lt;&gt;"●")</formula>
    </cfRule>
  </conditionalFormatting>
  <conditionalFormatting sqref="CD62:CD63">
    <cfRule type="expression" priority="41" dxfId="587">
      <formula>AND(BW66+BW68=BW71+BW73,PrSettings!$M$4&lt;&gt;"●")</formula>
    </cfRule>
  </conditionalFormatting>
  <conditionalFormatting sqref="CQ6:CQ11 CQ13:CQ18 CQ20:CQ25 CQ27:CQ32 CQ34:CQ39 CQ41:CQ46 CQ48:CQ55">
    <cfRule type="expression" priority="378" dxfId="586">
      <formula>AND(PrSettings!$M$4&lt;&gt;"●",$F6=$G6)</formula>
    </cfRule>
  </conditionalFormatting>
  <conditionalFormatting sqref="CQ57:CQ60">
    <cfRule type="expression" priority="40" dxfId="587">
      <formula>AND(CI66+CK66=CI71+CK71,PrSettings!$M$4&lt;&gt;"●")</formula>
    </cfRule>
  </conditionalFormatting>
  <conditionalFormatting sqref="CQ62:CQ63">
    <cfRule type="expression" priority="39" dxfId="587">
      <formula>AND(CJ66+CJ68=CJ71+CJ73,PrSettings!$M$4&lt;&gt;"●")</formula>
    </cfRule>
  </conditionalFormatting>
  <conditionalFormatting sqref="DD6:DD11 DD13:DD18 DD20:DD25 DD27:DD32 DD34:DD39 DD41:DD46 DD48:DD55">
    <cfRule type="expression" priority="361" dxfId="586">
      <formula>AND(PrSettings!$M$4&lt;&gt;"●",$F6=$G6)</formula>
    </cfRule>
  </conditionalFormatting>
  <conditionalFormatting sqref="DD57:DD60">
    <cfRule type="expression" priority="38" dxfId="587">
      <formula>AND(CV66+CX66=CV71+CX71,PrSettings!$M$4&lt;&gt;"●")</formula>
    </cfRule>
  </conditionalFormatting>
  <conditionalFormatting sqref="DD62:DD63">
    <cfRule type="expression" priority="37" dxfId="587">
      <formula>AND(CW66+CW68=CW71+CW73,PrSettings!$M$4&lt;&gt;"●")</formula>
    </cfRule>
  </conditionalFormatting>
  <conditionalFormatting sqref="DQ6:DQ11 DQ13:DQ18 DQ20:DQ25 DQ27:DQ32 DQ34:DQ39 DQ41:DQ46 DQ48:DQ55">
    <cfRule type="expression" priority="344" dxfId="586">
      <formula>AND(PrSettings!$M$4&lt;&gt;"●",$F6=$G6)</formula>
    </cfRule>
  </conditionalFormatting>
  <conditionalFormatting sqref="DQ57:DQ60">
    <cfRule type="expression" priority="36" dxfId="587">
      <formula>AND(DI66+DK66=DI71+DK71,PrSettings!$M$4&lt;&gt;"●")</formula>
    </cfRule>
  </conditionalFormatting>
  <conditionalFormatting sqref="DQ62:DQ63">
    <cfRule type="expression" priority="35" dxfId="587">
      <formula>AND(DJ66+DJ68=DJ71+DJ73,PrSettings!$M$4&lt;&gt;"●")</formula>
    </cfRule>
  </conditionalFormatting>
  <conditionalFormatting sqref="ED6:ED11 ED13:ED18 ED20:ED25 ED27:ED32 ED34:ED39 ED41:ED46 ED48:ED55">
    <cfRule type="expression" priority="327" dxfId="586">
      <formula>AND(PrSettings!$M$4&lt;&gt;"●",$F6=$G6)</formula>
    </cfRule>
  </conditionalFormatting>
  <conditionalFormatting sqref="ED57:ED60">
    <cfRule type="expression" priority="34" dxfId="587">
      <formula>AND(DV66+DX66=DV71+DX71,PrSettings!$M$4&lt;&gt;"●")</formula>
    </cfRule>
  </conditionalFormatting>
  <conditionalFormatting sqref="ED62:ED63">
    <cfRule type="expression" priority="33" dxfId="587">
      <formula>AND(DW66+DW68=DW71+DW73,PrSettings!$M$4&lt;&gt;"●")</formula>
    </cfRule>
  </conditionalFormatting>
  <conditionalFormatting sqref="EQ6:EQ11 EQ13:EQ18 EQ20:EQ25 EQ27:EQ32 EQ34:EQ39 EQ41:EQ46 EQ48:EQ55">
    <cfRule type="expression" priority="310" dxfId="586">
      <formula>AND(PrSettings!$M$4&lt;&gt;"●",$F6=$G6)</formula>
    </cfRule>
  </conditionalFormatting>
  <conditionalFormatting sqref="EQ57:EQ60">
    <cfRule type="expression" priority="32" dxfId="587">
      <formula>AND(EI66+EK66=EI71+EK71,PrSettings!$M$4&lt;&gt;"●")</formula>
    </cfRule>
  </conditionalFormatting>
  <conditionalFormatting sqref="EQ62:EQ63">
    <cfRule type="expression" priority="31" dxfId="587">
      <formula>AND(EJ66+EJ68=EJ71+EJ73,PrSettings!$M$4&lt;&gt;"●")</formula>
    </cfRule>
  </conditionalFormatting>
  <conditionalFormatting sqref="FD6:FD11 FD13:FD18 FD20:FD25 FD27:FD32 FD34:FD39 FD41:FD46 FD48:FD55">
    <cfRule type="expression" priority="293" dxfId="586">
      <formula>AND(PrSettings!$M$4&lt;&gt;"●",$F6=$G6)</formula>
    </cfRule>
  </conditionalFormatting>
  <conditionalFormatting sqref="FD57:FD60">
    <cfRule type="expression" priority="30" dxfId="587">
      <formula>AND(EV66+EX66=EV71+EX71,PrSettings!$M$4&lt;&gt;"●")</formula>
    </cfRule>
  </conditionalFormatting>
  <conditionalFormatting sqref="FD62:FD63">
    <cfRule type="expression" priority="29" dxfId="587">
      <formula>AND(EW66+EW68=EW71+EW73,PrSettings!$M$4&lt;&gt;"●")</formula>
    </cfRule>
  </conditionalFormatting>
  <conditionalFormatting sqref="FQ6:FQ11 FQ13:FQ18 FQ20:FQ25 FQ27:FQ32 FQ34:FQ39 FQ41:FQ46 FQ48:FQ55">
    <cfRule type="expression" priority="276" dxfId="586">
      <formula>AND(PrSettings!$M$4&lt;&gt;"●",$F6=$G6)</formula>
    </cfRule>
  </conditionalFormatting>
  <conditionalFormatting sqref="FQ57:FQ60">
    <cfRule type="expression" priority="28" dxfId="587">
      <formula>AND(FI66+FK66=FI71+FK71,PrSettings!$M$4&lt;&gt;"●")</formula>
    </cfRule>
  </conditionalFormatting>
  <conditionalFormatting sqref="FQ62:FQ63">
    <cfRule type="expression" priority="27" dxfId="587">
      <formula>AND(FJ66+FJ68=FJ71+FJ73,PrSettings!$M$4&lt;&gt;"●")</formula>
    </cfRule>
  </conditionalFormatting>
  <conditionalFormatting sqref="GD6:GD11 GD13:GD18 GD20:GD25 GD27:GD32 GD34:GD39 GD41:GD46 GD48:GD55">
    <cfRule type="expression" priority="259" dxfId="586">
      <formula>AND(PrSettings!$M$4&lt;&gt;"●",$F6=$G6)</formula>
    </cfRule>
  </conditionalFormatting>
  <conditionalFormatting sqref="GD57:GD60">
    <cfRule type="expression" priority="26" dxfId="587">
      <formula>AND(FV66+FX66=FV71+FX71,PrSettings!$M$4&lt;&gt;"●")</formula>
    </cfRule>
  </conditionalFormatting>
  <conditionalFormatting sqref="GD62:GD63">
    <cfRule type="expression" priority="25" dxfId="587">
      <formula>AND(FW66+FW68=FW71+FW73,PrSettings!$M$4&lt;&gt;"●")</formula>
    </cfRule>
  </conditionalFormatting>
  <conditionalFormatting sqref="GQ6:GQ11 GQ13:GQ18 GQ20:GQ25 GQ27:GQ32 GQ34:GQ39 GQ41:GQ46 GQ48:GQ55">
    <cfRule type="expression" priority="242" dxfId="586">
      <formula>AND(PrSettings!$M$4&lt;&gt;"●",$F6=$G6)</formula>
    </cfRule>
  </conditionalFormatting>
  <conditionalFormatting sqref="GQ57:GQ60">
    <cfRule type="expression" priority="24" dxfId="587">
      <formula>AND(GI66+GK66=GI71+GK71,PrSettings!$M$4&lt;&gt;"●")</formula>
    </cfRule>
  </conditionalFormatting>
  <conditionalFormatting sqref="GQ62:GQ63">
    <cfRule type="expression" priority="23" dxfId="587">
      <formula>AND(GJ66+GJ68=GJ71+GJ73,PrSettings!$M$4&lt;&gt;"●")</formula>
    </cfRule>
  </conditionalFormatting>
  <conditionalFormatting sqref="HD6:HD11 HD13:HD18 HD20:HD25 HD27:HD32 HD34:HD39 HD41:HD46 HD48:HD55">
    <cfRule type="expression" priority="225" dxfId="586">
      <formula>AND(PrSettings!$M$4&lt;&gt;"●",$F6=$G6)</formula>
    </cfRule>
  </conditionalFormatting>
  <conditionalFormatting sqref="HD57:HD60">
    <cfRule type="expression" priority="22" dxfId="587">
      <formula>AND(GV66+GX66=GV71+GX71,PrSettings!$M$4&lt;&gt;"●")</formula>
    </cfRule>
  </conditionalFormatting>
  <conditionalFormatting sqref="HD62:HD63">
    <cfRule type="expression" priority="21" dxfId="587">
      <formula>AND(GW66+GW68=GW71+GW73,PrSettings!$M$4&lt;&gt;"●")</formula>
    </cfRule>
  </conditionalFormatting>
  <conditionalFormatting sqref="HQ6:HQ11 HQ13:HQ18 HQ20:HQ25 HQ27:HQ32 HQ34:HQ39 HQ41:HQ46 HQ48:HQ55">
    <cfRule type="expression" priority="208" dxfId="586">
      <formula>AND(PrSettings!$M$4&lt;&gt;"●",$F6=$G6)</formula>
    </cfRule>
  </conditionalFormatting>
  <conditionalFormatting sqref="HQ57:HQ60">
    <cfRule type="expression" priority="20" dxfId="587">
      <formula>AND(HI66+HK66=HI71+HK71,PrSettings!$M$4&lt;&gt;"●")</formula>
    </cfRule>
  </conditionalFormatting>
  <conditionalFormatting sqref="HQ62:HQ63">
    <cfRule type="expression" priority="19" dxfId="587">
      <formula>AND(HJ66+HJ68=HJ71+HJ73,PrSettings!$M$4&lt;&gt;"●")</formula>
    </cfRule>
  </conditionalFormatting>
  <conditionalFormatting sqref="ID6:ID11 ID13:ID18 ID20:ID25 ID27:ID32 ID34:ID39 ID41:ID46 ID48:ID55">
    <cfRule type="expression" priority="191" dxfId="586">
      <formula>AND(PrSettings!$M$4&lt;&gt;"●",$F6=$G6)</formula>
    </cfRule>
  </conditionalFormatting>
  <conditionalFormatting sqref="ID57:ID60">
    <cfRule type="expression" priority="18" dxfId="587">
      <formula>AND(HV66+HX66=HV71+HX71,PrSettings!$M$4&lt;&gt;"●")</formula>
    </cfRule>
  </conditionalFormatting>
  <conditionalFormatting sqref="ID62:ID63">
    <cfRule type="expression" priority="17" dxfId="587">
      <formula>AND(HW66+HW68=HW71+HW73,PrSettings!$M$4&lt;&gt;"●")</formula>
    </cfRule>
  </conditionalFormatting>
  <conditionalFormatting sqref="IQ6:IQ11 IQ13:IQ18 IQ20:IQ25 IQ27:IQ32 IQ34:IQ39 IQ41:IQ46 IQ48:IQ55">
    <cfRule type="expression" priority="174" dxfId="586">
      <formula>AND(PrSettings!$M$4&lt;&gt;"●",$F6=$G6)</formula>
    </cfRule>
  </conditionalFormatting>
  <conditionalFormatting sqref="IQ57:IQ60">
    <cfRule type="expression" priority="16" dxfId="587">
      <formula>AND(II66+IK66=II71+IK71,PrSettings!$M$4&lt;&gt;"●")</formula>
    </cfRule>
  </conditionalFormatting>
  <conditionalFormatting sqref="IQ62:IQ63">
    <cfRule type="expression" priority="15" dxfId="587">
      <formula>AND(IJ66+IJ68=IJ71+IJ73,PrSettings!$M$4&lt;&gt;"●")</formula>
    </cfRule>
  </conditionalFormatting>
  <conditionalFormatting sqref="JD6:JD11 JD13:JD18 JD20:JD25 JD27:JD32 JD34:JD39 JD41:JD46 JD48:JD55">
    <cfRule type="expression" priority="157" dxfId="586">
      <formula>AND(PrSettings!$M$4&lt;&gt;"●",$F6=$G6)</formula>
    </cfRule>
  </conditionalFormatting>
  <conditionalFormatting sqref="JD57:JD60">
    <cfRule type="expression" priority="14" dxfId="587">
      <formula>AND(IV66+IX66=IV71+IX71,PrSettings!$M$4&lt;&gt;"●")</formula>
    </cfRule>
  </conditionalFormatting>
  <conditionalFormatting sqref="JD62:JD63">
    <cfRule type="expression" priority="13" dxfId="587">
      <formula>AND(IW66+IW68=IW71+IW73,PrSettings!$M$4&lt;&gt;"●")</formula>
    </cfRule>
  </conditionalFormatting>
  <conditionalFormatting sqref="JQ6:JQ11 JQ13:JQ18 JQ20:JQ25 JQ27:JQ32 JQ34:JQ39 JQ41:JQ46 JQ48:JQ55">
    <cfRule type="expression" priority="140" dxfId="586">
      <formula>AND(PrSettings!$M$4&lt;&gt;"●",$F6=$G6)</formula>
    </cfRule>
  </conditionalFormatting>
  <conditionalFormatting sqref="JQ57:JQ60">
    <cfRule type="expression" priority="12" dxfId="587">
      <formula>AND(JI66+JK66=JI71+JK71,PrSettings!$M$4&lt;&gt;"●")</formula>
    </cfRule>
  </conditionalFormatting>
  <conditionalFormatting sqref="JQ62:JQ63">
    <cfRule type="expression" priority="11" dxfId="587">
      <formula>AND(JJ66+JJ68=JJ71+JJ73,PrSettings!$M$4&lt;&gt;"●")</formula>
    </cfRule>
  </conditionalFormatting>
  <conditionalFormatting sqref="KD6:KD11 KD13:KD18 KD20:KD25 KD27:KD32 KD34:KD39 KD41:KD46 KD48:KD55">
    <cfRule type="expression" priority="123" dxfId="586">
      <formula>AND(PrSettings!$M$4&lt;&gt;"●",$F6=$G6)</formula>
    </cfRule>
  </conditionalFormatting>
  <conditionalFormatting sqref="KD57:KD60">
    <cfRule type="expression" priority="10" dxfId="587">
      <formula>AND(JV66+JX66=JV71+JX71,PrSettings!$M$4&lt;&gt;"●")</formula>
    </cfRule>
  </conditionalFormatting>
  <conditionalFormatting sqref="KD62:KD63">
    <cfRule type="expression" priority="9" dxfId="587">
      <formula>AND(JW66+JW68=JW71+JW73,PrSettings!$M$4&lt;&gt;"●")</formula>
    </cfRule>
  </conditionalFormatting>
  <conditionalFormatting sqref="KQ6:KQ11 KQ13:KQ18 KQ20:KQ25 KQ27:KQ32 KQ34:KQ39 KQ41:KQ46 KQ48:KQ55">
    <cfRule type="expression" priority="106" dxfId="586">
      <formula>AND(PrSettings!$M$4&lt;&gt;"●",$F6=$G6)</formula>
    </cfRule>
  </conditionalFormatting>
  <conditionalFormatting sqref="KQ57:KQ60">
    <cfRule type="expression" priority="8" dxfId="587">
      <formula>AND(KI66+KK66=KI71+KK71,PrSettings!$M$4&lt;&gt;"●")</formula>
    </cfRule>
  </conditionalFormatting>
  <conditionalFormatting sqref="KQ62:KQ63">
    <cfRule type="expression" priority="7" dxfId="587">
      <formula>AND(KJ66+KJ68=KJ71+KJ73,PrSettings!$M$4&lt;&gt;"●")</formula>
    </cfRule>
  </conditionalFormatting>
  <conditionalFormatting sqref="LD6:LD11 LD13:LD18 LD20:LD25 LD27:LD32 LD34:LD39 LD41:LD46 LD48:LD55">
    <cfRule type="expression" priority="89" dxfId="586">
      <formula>AND(PrSettings!$M$4&lt;&gt;"●",$F6=$G6)</formula>
    </cfRule>
  </conditionalFormatting>
  <conditionalFormatting sqref="LD57:LD60">
    <cfRule type="expression" priority="6" dxfId="587">
      <formula>AND(KV66+KX66=KV71+KX71,PrSettings!$M$4&lt;&gt;"●")</formula>
    </cfRule>
  </conditionalFormatting>
  <conditionalFormatting sqref="LD62:LD63">
    <cfRule type="expression" priority="5" dxfId="587">
      <formula>AND(KW66+KW68=KW71+KW73,PrSettings!$M$4&lt;&gt;"●")</formula>
    </cfRule>
  </conditionalFormatting>
  <conditionalFormatting sqref="LQ6:LQ11 LQ13:LQ18 LQ20:LQ25 LQ27:LQ32 LQ34:LQ39 LQ41:LQ46 LQ48:LQ55">
    <cfRule type="expression" priority="72" dxfId="586">
      <formula>AND(PrSettings!$M$4&lt;&gt;"●",$F6=$G6)</formula>
    </cfRule>
  </conditionalFormatting>
  <conditionalFormatting sqref="LQ57:LQ60">
    <cfRule type="expression" priority="4" dxfId="587">
      <formula>AND(LI66+LK66=LI71+LK71,PrSettings!$M$4&lt;&gt;"●")</formula>
    </cfRule>
  </conditionalFormatting>
  <conditionalFormatting sqref="LQ62:LQ63">
    <cfRule type="expression" priority="3" dxfId="587">
      <formula>AND(LJ66+LJ68=LJ71+LJ73,PrSettings!$M$4&lt;&gt;"●")</formula>
    </cfRule>
  </conditionalFormatting>
  <conditionalFormatting sqref="MD6:MD11 MD13:MD18 MD20:MD25 MD27:MD32 MD34:MD39 MD41:MD46 MD48:MD55">
    <cfRule type="expression" priority="55" dxfId="586">
      <formula>AND(PrSettings!$M$4&lt;&gt;"●",$F6=$G6)</formula>
    </cfRule>
  </conditionalFormatting>
  <conditionalFormatting sqref="MD57:MD60">
    <cfRule type="expression" priority="2" dxfId="587">
      <formula>AND(LV66+LX66=LV71+LX71,PrSettings!$M$4&lt;&gt;"●")</formula>
    </cfRule>
  </conditionalFormatting>
  <conditionalFormatting sqref="MD62:MD63">
    <cfRule type="expression" priority="1" dxfId="587">
      <formula>AND(LW66+LW68=LW71+LW73,PrSettings!$M$4&lt;&gt;"●")</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5" bottom="0.787401575" header="0.3" footer="0.3"/>
  <pageSetup orientation="portrait" paperSize="9"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B1:M103"/>
  <sheetViews>
    <sheetView showGridLines="0" showRowColHeaders="0" workbookViewId="0" topLeftCell="A1">
      <selection pane="topLeft" activeCell="F1" sqref="F1:XFD1048576"/>
    </sheetView>
  </sheetViews>
  <sheetFormatPr defaultColWidth="0" defaultRowHeight="15" customHeight="1" zeroHeight="1"/>
  <cols>
    <col min="1" max="1" width="11.4285714285714" customWidth="1"/>
    <col min="2" max="2" width="6.28571428571429" style="45" customWidth="1"/>
    <col min="3" max="3" width="21" style="60" customWidth="1"/>
    <col min="4" max="5" width="11.4285714285714" customWidth="1"/>
    <col min="6" max="6" width="3.28571428571429" hidden="1" customWidth="1"/>
    <col min="7" max="7" width="11.4285714285714" hidden="1" customWidth="1"/>
    <col min="8" max="8" width="21" hidden="1" customWidth="1"/>
    <col min="9" max="10" width="11.4285714285714" hidden="1" customWidth="1"/>
    <col min="11" max="11" width="8" hidden="1" customWidth="1"/>
    <col min="12" max="12" width="18.1428571428571" hidden="1" customWidth="1"/>
    <col min="13" max="13" width="5.57142857142857" hidden="1" customWidth="1"/>
    <col min="14" max="16384" width="11.4285714285714" hidden="1"/>
  </cols>
  <sheetData>
    <row r="1" spans="2:4" ht="23.5">
      <c r="B1" s="818" t="str">
        <f>Language!$E$92</f>
        <v>Predictions Ranking</v>
      </c>
      <c r="C1" s="818"/>
      <c r="D1" s="818"/>
    </row>
    <row r="2" ht="15" thickBot="1"/>
    <row r="3" spans="2:13" ht="15.5"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5">
      <c r="B4" s="525">
        <v>1</v>
      </c>
      <c r="C4" s="526" t="str">
        <f ca="1">IFERROR(VLOOKUP(B4,$G$4:$H$103,2,0),"")</f>
        <v>Anna</v>
      </c>
      <c r="D4" s="527">
        <f ca="1">IFERROR(VLOOKUP(B4,$G$4:$I$103,3,0),"")</f>
        <v>0</v>
      </c>
      <c r="E4" s="45"/>
      <c r="F4" s="45"/>
      <c r="G4" s="528">
        <f ca="1" t="shared" si="0" ref="G4:G35">IF(J4="","",RANK(J4,$J$4:$J$103,1))</f>
        <v>1</v>
      </c>
      <c r="H4" s="529" t="str">
        <f>IF(Predictions_2!$I$3="","",Predictions_2!$I$3)</f>
        <v>Anna</v>
      </c>
      <c r="I4" s="530">
        <f ca="1">IF(Predictions_2!$I$3="","",Predictions_2!$I$2)</f>
        <v>0</v>
      </c>
      <c r="J4" s="528">
        <f ca="1" t="shared" si="1" ref="J4:J35">IF(I4="","",RANK(I4,$I$4:$I$103,0)+ROW()*0.001)</f>
        <v>1.004</v>
      </c>
      <c r="L4" t="s">
        <v>939</v>
      </c>
      <c r="M4">
        <v>13</v>
      </c>
    </row>
    <row r="5" spans="2:10" ht="14.5">
      <c r="B5" s="531">
        <v>2</v>
      </c>
      <c r="C5" s="526" t="str">
        <f ca="1" t="shared" si="2" ref="C5:C68">IFERROR(VLOOKUP(B5,$G$4:$H$103,2,0),"")</f>
        <v>Peter</v>
      </c>
      <c r="D5" s="527">
        <f ca="1" t="shared" si="3" ref="D5:D68">IFERROR(VLOOKUP(B5,$G$4:$I$103,3,0),"")</f>
        <v>0</v>
      </c>
      <c r="E5" s="45"/>
      <c r="F5" s="45"/>
      <c r="G5" s="532">
        <f t="shared" ca="1" si="0"/>
        <v>2</v>
      </c>
      <c r="H5" s="533" t="str">
        <f ca="1" t="shared" si="4" ref="H5:H33">IF(INDIRECT("Predictions_2!"&amp;ADDRESS(3,$M$3+$M$4*ROW(A1)))="","",INDIRECT("Predictions_2!"&amp;ADDRESS(3,$M$3+$M$4*ROW(A1))))</f>
        <v>Peter</v>
      </c>
      <c r="I5" s="534">
        <f ca="1" t="shared" si="5" ref="I5:I33">IF(INDIRECT("Predictions_2!"&amp;ADDRESS(3,$M$3+$M$4*ROW(A1)))="","",INDIRECT("Predictions_2!"&amp;ADDRESS(2,$M$3+$M$4*ROW(A1))))</f>
        <v>0</v>
      </c>
      <c r="J5" s="532">
        <f t="shared" ca="1" si="1"/>
        <v>1.0049999999999999</v>
      </c>
    </row>
    <row r="6" spans="2:10" ht="14.5">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0" ht="14.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0" ht="14.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0" ht="14.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0" ht="14.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0" ht="14.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0" ht="14.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0" ht="14.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0" ht="14.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0" ht="14.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0" ht="14.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5">
      <c r="B34" s="531">
        <v>31</v>
      </c>
      <c r="C34" s="526" t="str">
        <f t="shared" ca="1" si="2"/>
        <v/>
      </c>
      <c r="D34" s="527" t="str">
        <f t="shared" ca="1" si="3"/>
        <v/>
      </c>
      <c r="E34" s="45"/>
      <c r="F34" s="45"/>
      <c r="G34" s="532" t="str">
        <f t="shared" ca="1" si="0"/>
        <v/>
      </c>
      <c r="H34" s="533" t="str">
        <f ca="1" t="shared" si="6" ref="H34:H97">IF(INDIRECT("Predictions_2!"&amp;ADDRESS(3,$M$3+$M$4*ROW(A30)))="","",INDIRECT("Predictions_2!"&amp;ADDRESS(3,$M$3+$M$4*ROW(A30))))</f>
        <v/>
      </c>
      <c r="I34" s="534" t="str">
        <f ca="1" t="shared" si="7" ref="I34:I97">IF(INDIRECT("Predictions_2!"&amp;ADDRESS(3,$M$3+$M$4*ROW(A30)))="","",INDIRECT("Predictions_2!"&amp;ADDRESS(2,$M$3+$M$4*ROW(A30))))</f>
        <v/>
      </c>
      <c r="J34" s="532" t="str">
        <f t="shared" ca="1" si="1"/>
        <v/>
      </c>
    </row>
    <row r="35" spans="2:10" ht="14.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5">
      <c r="B36" s="531">
        <v>33</v>
      </c>
      <c r="C36" s="526" t="str">
        <f t="shared" ca="1" si="2"/>
        <v/>
      </c>
      <c r="D36" s="527" t="str">
        <f t="shared" ca="1" si="3"/>
        <v/>
      </c>
      <c r="E36" s="45"/>
      <c r="F36" s="45"/>
      <c r="G36" s="532" t="str">
        <f ca="1" t="shared" si="8" ref="G36:G67">IF(J36="","",RANK(J36,$J$4:$J$103,1))</f>
        <v/>
      </c>
      <c r="H36" s="533" t="str">
        <f t="shared" ca="1" si="6"/>
        <v/>
      </c>
      <c r="I36" s="534" t="str">
        <f t="shared" ca="1" si="7"/>
        <v/>
      </c>
      <c r="J36" s="532" t="str">
        <f ca="1" t="shared" si="9" ref="J36:J67">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ca="1" t="shared" si="10" ref="G68:G103">IF(J68="","",RANK(J68,$J$4:$J$103,1))</f>
        <v/>
      </c>
      <c r="H68" s="533" t="str">
        <f t="shared" ca="1" si="6"/>
        <v/>
      </c>
      <c r="I68" s="534" t="str">
        <f t="shared" ca="1" si="7"/>
        <v/>
      </c>
      <c r="J68" s="532" t="str">
        <f ca="1" t="shared" si="11" ref="J68:J99">IF(I68="","",RANK(I68,$I$4:$I$103,0)+ROW()*0.001)</f>
        <v/>
      </c>
    </row>
    <row r="69" spans="2:10" ht="15" customHeight="1">
      <c r="B69" s="531">
        <v>66</v>
      </c>
      <c r="C69" s="526" t="str">
        <f ca="1" t="shared" si="12" ref="C69:C102">IFERROR(VLOOKUP(B69,$G$4:$H$103,2,0),"")</f>
        <v/>
      </c>
      <c r="D69" s="527" t="str">
        <f ca="1" t="shared" si="13" ref="D69:D102">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ca="1" t="shared" si="14" ref="H98:H103">IF(INDIRECT("Predictions_2!"&amp;ADDRESS(3,$M$3+$M$4*ROW(A94)))="","",INDIRECT("Predictions_2!"&amp;ADDRESS(3,$M$3+$M$4*ROW(A94))))</f>
        <v/>
      </c>
      <c r="I98" s="534" t="str">
        <f ca="1" t="shared" si="15" ref="I98:I103">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ca="1" t="shared" si="16" ref="J100:J103">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ht="15" customHeight="1" thickTop="1"/>
    <row r="105" ht="15" customHeight="1"/>
    <row r="106" ht="15" customHeight="1"/>
  </sheetData>
  <sheetProtection sheet="1" selectLockedCells="1"/>
  <mergeCells count="1">
    <mergeCell ref="B1:D1"/>
  </mergeCells>
  <pageMargins left="0.7" right="0.7" top="0.787401575" bottom="0.7874015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B1:O24"/>
  <sheetViews>
    <sheetView showGridLines="0" showRowColHeaders="0" workbookViewId="0" topLeftCell="A1">
      <selection pane="topLeft" activeCell="M4" sqref="M4"/>
    </sheetView>
  </sheetViews>
  <sheetFormatPr defaultColWidth="0" defaultRowHeight="15" customHeight="1" zeroHeight="1"/>
  <cols>
    <col min="1" max="12" width="11.4285714285714" customWidth="1"/>
    <col min="13" max="13" width="5.28571428571429" customWidth="1"/>
    <col min="14" max="14" width="4" customWidth="1"/>
    <col min="15" max="15" width="6.85714285714286" customWidth="1"/>
    <col min="16" max="16" width="11.4285714285714" customWidth="1"/>
    <col min="17" max="16384" width="11.4285714285714" hidden="1"/>
  </cols>
  <sheetData>
    <row r="1" spans="2:6" ht="28.5">
      <c r="B1" s="849" t="str">
        <f>Language!$E$190</f>
        <v>Settings</v>
      </c>
      <c r="C1" s="849"/>
      <c r="D1" s="849"/>
      <c r="E1" s="849"/>
      <c r="F1" s="849"/>
    </row>
    <row r="2" ht="14.5"/>
    <row r="3" spans="2:15" ht="16" thickBot="1">
      <c r="B3" s="850" t="str">
        <f>Language!$E$189</f>
        <v>Factors</v>
      </c>
      <c r="C3" s="850"/>
      <c r="D3" s="850"/>
      <c r="E3" s="850"/>
      <c r="F3" s="850"/>
      <c r="H3" s="850" t="str">
        <f>Language!$E$190</f>
        <v>Settings</v>
      </c>
      <c r="I3" s="850"/>
      <c r="J3" s="850"/>
      <c r="K3" s="850"/>
      <c r="L3" s="850"/>
      <c r="M3" s="850"/>
      <c r="N3" s="850"/>
      <c r="O3" s="850"/>
    </row>
    <row r="4" spans="2:15" ht="24" thickTop="1">
      <c r="B4" s="851" t="str">
        <f>Language!$E$192</f>
        <v>Won/Draw/Loss:</v>
      </c>
      <c r="C4" s="852"/>
      <c r="D4" s="852"/>
      <c r="E4" s="852"/>
      <c r="F4" s="490">
        <v>5</v>
      </c>
      <c r="H4" s="853" t="str">
        <f>Language!$E$203</f>
        <v>Points for goal difference in the event of a draw:</v>
      </c>
      <c r="I4" s="854"/>
      <c r="J4" s="854"/>
      <c r="K4" s="854"/>
      <c r="L4" s="855"/>
      <c r="M4" s="491" t="s">
        <v>1246</v>
      </c>
      <c r="N4" s="492"/>
      <c r="O4" s="493" t="str">
        <f>IF(M4="●",Language!E204,Language!E205)</f>
        <v>yes</v>
      </c>
    </row>
    <row r="5" spans="2:15" ht="18" customHeight="1">
      <c r="B5" s="828" t="str">
        <f>Language!$E$193</f>
        <v>goal difference:</v>
      </c>
      <c r="C5" s="829"/>
      <c r="D5" s="829"/>
      <c r="E5" s="829"/>
      <c r="F5" s="494">
        <v>5</v>
      </c>
      <c r="H5" s="846"/>
      <c r="I5" s="847"/>
      <c r="J5" s="847"/>
      <c r="K5" s="847"/>
      <c r="L5" s="847"/>
      <c r="M5" s="847"/>
      <c r="N5" s="847"/>
      <c r="O5" s="848"/>
    </row>
    <row r="6" spans="2:15" ht="18" customHeight="1">
      <c r="B6" s="828" t="str">
        <f>Language!$E$195</f>
        <v>goals exact:</v>
      </c>
      <c r="C6" s="829"/>
      <c r="D6" s="829"/>
      <c r="E6" s="829"/>
      <c r="F6" s="494">
        <v>10</v>
      </c>
      <c r="H6" s="830" t="str">
        <f>Language!$E$206</f>
        <v>Minimum number for 'Many Goals' in the event of a draw:</v>
      </c>
      <c r="I6" s="831"/>
      <c r="J6" s="831"/>
      <c r="K6" s="831"/>
      <c r="L6" s="832"/>
      <c r="M6" s="495">
        <v>4</v>
      </c>
      <c r="N6" s="496"/>
      <c r="O6" s="497"/>
    </row>
    <row r="7" spans="2:15" ht="18" customHeight="1">
      <c r="B7" s="828" t="str">
        <f>Language!$E$194</f>
        <v>Many goals - good approximation</v>
      </c>
      <c r="C7" s="829"/>
      <c r="D7" s="829"/>
      <c r="E7" s="829"/>
      <c r="F7" s="494">
        <v>3</v>
      </c>
      <c r="H7" s="830" t="str">
        <f>Language!$E$207</f>
        <v>Minimum number for a large goal difference:</v>
      </c>
      <c r="I7" s="831"/>
      <c r="J7" s="831"/>
      <c r="K7" s="831"/>
      <c r="L7" s="832"/>
      <c r="M7" s="495">
        <v>4</v>
      </c>
      <c r="N7" s="498"/>
      <c r="O7" s="497"/>
    </row>
    <row r="8" spans="2:15" ht="18" customHeight="1">
      <c r="B8" s="833" t="str">
        <f>Language!$E$196</f>
        <v>correct team (knockout phase):</v>
      </c>
      <c r="C8" s="834"/>
      <c r="D8" s="834"/>
      <c r="E8" s="834"/>
      <c r="F8" s="499">
        <v>10</v>
      </c>
      <c r="H8" s="830" t="str">
        <f>Language!$E$214</f>
        <v>Minimum number for a large sum of goals:</v>
      </c>
      <c r="I8" s="831"/>
      <c r="J8" s="831"/>
      <c r="K8" s="831"/>
      <c r="L8" s="832"/>
      <c r="M8" s="495">
        <v>8</v>
      </c>
      <c r="O8" s="497"/>
    </row>
    <row r="9" spans="2:15" ht="15" thickBot="1">
      <c r="B9" s="838" t="str">
        <f>Language!$E$202</f>
        <v>Final Winner:</v>
      </c>
      <c r="C9" s="839"/>
      <c r="D9" s="839"/>
      <c r="E9" s="839"/>
      <c r="F9" s="500">
        <v>10</v>
      </c>
      <c r="H9" s="840"/>
      <c r="I9" s="841"/>
      <c r="J9" s="841"/>
      <c r="K9" s="841"/>
      <c r="L9" s="841"/>
      <c r="M9" s="501"/>
      <c r="N9" s="501"/>
      <c r="O9" s="502"/>
    </row>
    <row r="10" ht="15" thickTop="1"/>
    <row r="11" ht="14.5"/>
    <row r="12" spans="8:15" ht="16" thickBot="1">
      <c r="H12" s="842" t="str">
        <f>Language!$E$188</f>
        <v>Hint</v>
      </c>
      <c r="I12" s="842"/>
      <c r="J12" s="842"/>
      <c r="K12" s="842"/>
      <c r="L12" s="842"/>
      <c r="M12" s="842"/>
      <c r="N12" s="842"/>
      <c r="O12" s="842"/>
    </row>
    <row r="13" spans="8:15" ht="16" thickTop="1">
      <c r="H13" s="843" t="s">
        <v>32</v>
      </c>
      <c r="I13" s="844"/>
      <c r="J13" s="844"/>
      <c r="K13" s="844"/>
      <c r="L13" s="844"/>
      <c r="M13" s="844"/>
      <c r="N13" s="844"/>
      <c r="O13" s="845"/>
    </row>
    <row r="14" spans="8:15" ht="15" customHeight="1">
      <c r="H14" s="819"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20"/>
      <c r="J14" s="820"/>
      <c r="K14" s="820"/>
      <c r="L14" s="820"/>
      <c r="M14" s="820"/>
      <c r="N14" s="820"/>
      <c r="O14" s="821"/>
    </row>
    <row r="15" spans="8:15" ht="15" customHeight="1">
      <c r="H15" s="819"/>
      <c r="I15" s="820"/>
      <c r="J15" s="820"/>
      <c r="K15" s="820"/>
      <c r="L15" s="820"/>
      <c r="M15" s="820"/>
      <c r="N15" s="820"/>
      <c r="O15" s="821"/>
    </row>
    <row r="16" spans="8:15" ht="15" customHeight="1">
      <c r="H16" s="819"/>
      <c r="I16" s="820"/>
      <c r="J16" s="820"/>
      <c r="K16" s="820"/>
      <c r="L16" s="820"/>
      <c r="M16" s="820"/>
      <c r="N16" s="820"/>
      <c r="O16" s="821"/>
    </row>
    <row r="17" spans="8:15" ht="15" customHeight="1">
      <c r="H17" s="819"/>
      <c r="I17" s="820"/>
      <c r="J17" s="820"/>
      <c r="K17" s="820"/>
      <c r="L17" s="820"/>
      <c r="M17" s="820"/>
      <c r="N17" s="820"/>
      <c r="O17" s="821"/>
    </row>
    <row r="18" spans="8:15" ht="15" customHeight="1">
      <c r="H18" s="822"/>
      <c r="I18" s="823"/>
      <c r="J18" s="823"/>
      <c r="K18" s="823"/>
      <c r="L18" s="823"/>
      <c r="M18" s="823"/>
      <c r="N18" s="823"/>
      <c r="O18" s="824"/>
    </row>
    <row r="19" spans="8:15" ht="30" customHeight="1">
      <c r="H19" s="835" t="s">
        <v>33</v>
      </c>
      <c r="I19" s="836"/>
      <c r="J19" s="836"/>
      <c r="K19" s="836"/>
      <c r="L19" s="836"/>
      <c r="M19" s="836"/>
      <c r="N19" s="836"/>
      <c r="O19" s="837"/>
    </row>
    <row r="20" spans="8:15" ht="42.75" customHeight="1">
      <c r="H20" s="819" t="str">
        <f>Language!$E$208</f>
        <v>If many goals have been scored, points can also be awarded for a good approximation of the result. There are 3 cases:</v>
      </c>
      <c r="I20" s="820"/>
      <c r="J20" s="820"/>
      <c r="K20" s="820"/>
      <c r="L20" s="820"/>
      <c r="M20" s="820"/>
      <c r="N20" s="820"/>
      <c r="O20" s="821"/>
    </row>
    <row r="21" spans="8:15" ht="42.75" customHeight="1">
      <c r="H21" s="819" t="str">
        <f>Language!$E$209</f>
        <v>a) Deviation of a maximum of 1 goal in a draw
     e.g. 4-4 instead of 5-5</v>
      </c>
      <c r="I21" s="820"/>
      <c r="J21" s="820"/>
      <c r="K21" s="820"/>
      <c r="L21" s="820"/>
      <c r="M21" s="820"/>
      <c r="N21" s="820"/>
      <c r="O21" s="821"/>
    </row>
    <row r="22" spans="8:15" ht="42" customHeight="1">
      <c r="H22" s="819" t="str">
        <f>Language!$E$210</f>
        <v>b) Deviation of a maximum of 1 goal in the goal difference
     e.g. 4-1 instead of 5-1</v>
      </c>
      <c r="I22" s="820"/>
      <c r="J22" s="820"/>
      <c r="K22" s="820"/>
      <c r="L22" s="820"/>
      <c r="M22" s="820"/>
      <c r="N22" s="820"/>
      <c r="O22" s="821"/>
    </row>
    <row r="23" spans="8:15" ht="69" customHeight="1">
      <c r="H23" s="819" t="str">
        <f>Language!$E$211</f>
        <v>c) Deviation of a maximum of 1 goal for one team or for both teams. A deviation for both teams must be in the same direction,
     e.g. 5-1 instead of 6-2</v>
      </c>
      <c r="I23" s="820"/>
      <c r="J23" s="820"/>
      <c r="K23" s="820"/>
      <c r="L23" s="820"/>
      <c r="M23" s="820"/>
      <c r="N23" s="820"/>
      <c r="O23" s="821"/>
    </row>
    <row r="24" spans="8:15" ht="68.25" customHeight="1" thickBot="1">
      <c r="H24" s="825" t="str">
        <f>Language!$E$212</f>
        <v>If you don't want that, you can enter a zero for the relevant factor.
You can also deactivate individual options by entering a minimum of 99.</v>
      </c>
      <c r="I24" s="826"/>
      <c r="J24" s="826"/>
      <c r="K24" s="826"/>
      <c r="L24" s="826"/>
      <c r="M24" s="826"/>
      <c r="N24" s="826"/>
      <c r="O24" s="827"/>
    </row>
    <row r="25" ht="15" thickTop="1"/>
    <row r="26" ht="14.5" hidden="1"/>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5" bottom="0.787401575" header="0.3" footer="0.3"/>
  <pageSetup orientation="portrait" paperSize="9"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2:F27"/>
  <sheetViews>
    <sheetView showGridLines="0" showRowColHeaders="0" workbookViewId="0" topLeftCell="A1">
      <selection pane="topLeft" activeCell="C6" sqref="C6"/>
    </sheetView>
  </sheetViews>
  <sheetFormatPr defaultColWidth="0" defaultRowHeight="14.5" zeroHeight="1"/>
  <cols>
    <col min="1" max="1" width="11.4285714285714" customWidth="1"/>
    <col min="2" max="2" width="16.7142857142857" customWidth="1"/>
    <col min="3" max="3" width="13" customWidth="1"/>
    <col min="4" max="4" width="11.4285714285714" customWidth="1"/>
    <col min="5" max="5" width="16.7142857142857" customWidth="1"/>
    <col min="6" max="6" width="13" customWidth="1"/>
    <col min="7" max="7" width="11.4285714285714" customWidth="1"/>
    <col min="8" max="16384" width="11.4285714285714" hidden="1"/>
  </cols>
  <sheetData>
    <row r="1" ht="14.5"/>
    <row r="2" spans="2:6" ht="38.25" customHeight="1">
      <c r="B2" s="856" t="str">
        <f>Language!$E$86</f>
        <v>Fair play or draw of lots</v>
      </c>
      <c r="C2" s="857"/>
      <c r="D2" s="857"/>
      <c r="E2" s="857"/>
      <c r="F2" s="857"/>
    </row>
    <row r="3" spans="2:6" ht="75.75" customHeight="1">
      <c r="B3" s="858" t="str">
        <f>Language!$E$142</f>
        <v>If the fair play rating or the drawing of lots decides the better placement in the group for two teams, a "1" is entered here for the better team.</v>
      </c>
      <c r="C3" s="858"/>
      <c r="D3" s="858"/>
      <c r="E3" s="858"/>
      <c r="F3" s="858"/>
    </row>
    <row r="4" spans="2:6" ht="18" customHeight="1">
      <c r="B4" s="83"/>
      <c r="C4" s="83"/>
      <c r="D4" s="83"/>
      <c r="E4" s="83"/>
      <c r="F4" s="83"/>
    </row>
    <row r="5" spans="1:6" ht="19" thickBot="1">
      <c r="A5" s="194" t="s">
        <v>30</v>
      </c>
      <c r="B5" s="313" t="str">
        <f>Language!$E$95&amp;" "&amp;A5</f>
        <v>Group A</v>
      </c>
      <c r="C5" s="314" t="str">
        <f>Language!$E$126</f>
        <v>Bonus</v>
      </c>
      <c r="D5" s="194" t="s">
        <v>31</v>
      </c>
      <c r="E5" s="313" t="str">
        <f>Language!$E$95&amp;" "&amp;D5</f>
        <v>Group D</v>
      </c>
      <c r="F5" s="314" t="str">
        <f>Language!$E$126</f>
        <v>Bonus</v>
      </c>
    </row>
    <row r="6" spans="2:6" ht="14.5">
      <c r="B6" s="26" t="str">
        <f>VLOOKUP(A5&amp;"1",Groups!$B$7:$D$35,3,0)</f>
        <v>Germany</v>
      </c>
      <c r="C6" s="84">
        <v>0</v>
      </c>
      <c r="E6" s="26" t="str">
        <f>VLOOKUP(D5&amp;"1",Groups!$B$7:$D$35,3,0)</f>
        <v>Poland</v>
      </c>
      <c r="F6" s="84">
        <v>0</v>
      </c>
    </row>
    <row r="7" spans="2:6" ht="14.5">
      <c r="B7" s="26" t="str">
        <f>VLOOKUP(A5&amp;"2",Groups!$B$7:$D$35,3,0)</f>
        <v>Scotland</v>
      </c>
      <c r="C7" s="85">
        <v>0</v>
      </c>
      <c r="E7" s="26" t="str">
        <f>VLOOKUP(D5&amp;"2",Groups!$B$7:$D$35,3,0)</f>
        <v>Netherlands</v>
      </c>
      <c r="F7" s="85">
        <v>0</v>
      </c>
    </row>
    <row r="8" spans="2:6" ht="14.5">
      <c r="B8" s="26" t="str">
        <f>VLOOKUP(A5&amp;"3",Groups!$B$7:$D$35,3,0)</f>
        <v>Hungary</v>
      </c>
      <c r="C8" s="85">
        <v>0</v>
      </c>
      <c r="E8" s="26" t="str">
        <f>VLOOKUP(D5&amp;"3",Groups!$B$7:$D$35,3,0)</f>
        <v>Austria</v>
      </c>
      <c r="F8" s="85">
        <v>0</v>
      </c>
    </row>
    <row r="9" spans="2:6" ht="14.5">
      <c r="B9" s="26" t="str">
        <f>VLOOKUP(A5&amp;"4",Groups!$B$7:$D$35,3,0)</f>
        <v>Switzerland</v>
      </c>
      <c r="C9" s="85">
        <v>0</v>
      </c>
      <c r="E9" s="26" t="str">
        <f>VLOOKUP(D5&amp;"4",Groups!$B$7:$D$35,3,0)</f>
        <v>France</v>
      </c>
      <c r="F9" s="85">
        <v>0</v>
      </c>
    </row>
    <row r="10" spans="3:3" ht="14.5">
      <c r="C10" s="25"/>
    </row>
    <row r="11" spans="1:6" ht="19" thickBot="1">
      <c r="A11" s="194" t="s">
        <v>26</v>
      </c>
      <c r="B11" s="313" t="str">
        <f>Language!$E$95&amp;" "&amp;A11</f>
        <v>Group B</v>
      </c>
      <c r="C11" s="314" t="str">
        <f>Language!$E$126</f>
        <v>Bonus</v>
      </c>
      <c r="D11" s="194" t="s">
        <v>28</v>
      </c>
      <c r="E11" s="313" t="str">
        <f>Language!$E$95&amp;" "&amp;D11</f>
        <v>Group E</v>
      </c>
      <c r="F11" s="314" t="str">
        <f>Language!$E$126</f>
        <v>Bonus</v>
      </c>
    </row>
    <row r="12" spans="2:6" ht="14.5">
      <c r="B12" s="26" t="str">
        <f>VLOOKUP(A11&amp;"1",Groups!$B$7:$D$35,3,0)</f>
        <v>Spain</v>
      </c>
      <c r="C12" s="84">
        <v>0</v>
      </c>
      <c r="E12" s="26" t="str">
        <f>VLOOKUP(D11&amp;"1",Groups!$B$7:$D$35,3,0)</f>
        <v>Belgium</v>
      </c>
      <c r="F12" s="84">
        <v>0</v>
      </c>
    </row>
    <row r="13" spans="2:6" ht="14.5">
      <c r="B13" s="26" t="str">
        <f>VLOOKUP(A11&amp;"2",Groups!$B$7:$D$35,3,0)</f>
        <v>Croatia</v>
      </c>
      <c r="C13" s="85">
        <v>0</v>
      </c>
      <c r="E13" s="26" t="str">
        <f>VLOOKUP(D11&amp;"2",Groups!$B$7:$D$35,3,0)</f>
        <v>Slovakia</v>
      </c>
      <c r="F13" s="85">
        <v>0</v>
      </c>
    </row>
    <row r="14" spans="2:6" ht="14.5">
      <c r="B14" s="26" t="str">
        <f>VLOOKUP(A11&amp;"3",Groups!$B$7:$D$35,3,0)</f>
        <v>Italy</v>
      </c>
      <c r="C14" s="85">
        <v>0</v>
      </c>
      <c r="E14" s="26" t="str">
        <f>VLOOKUP(D11&amp;"3",Groups!$B$7:$D$35,3,0)</f>
        <v>Romania</v>
      </c>
      <c r="F14" s="85">
        <v>0</v>
      </c>
    </row>
    <row r="15" spans="2:6" ht="14.5">
      <c r="B15" s="26" t="str">
        <f>VLOOKUP(A11&amp;"4",Groups!$B$7:$D$35,3,0)</f>
        <v>Albania</v>
      </c>
      <c r="C15" s="85">
        <v>0</v>
      </c>
      <c r="E15" s="26" t="str">
        <f>VLOOKUP(D11&amp;"4",Groups!$B$7:$D$35,3,0)</f>
        <v>Ukraine</v>
      </c>
      <c r="F15" s="85">
        <v>0</v>
      </c>
    </row>
    <row r="16" spans="3:6" ht="14.5">
      <c r="C16" s="25"/>
      <c r="F16" s="25"/>
    </row>
    <row r="17" spans="1:6" ht="19" thickBot="1">
      <c r="A17" s="194" t="s">
        <v>27</v>
      </c>
      <c r="B17" s="313" t="str">
        <f>Language!$E$95&amp;" "&amp;A17</f>
        <v>Group C</v>
      </c>
      <c r="C17" s="314" t="str">
        <f>Language!$E$126</f>
        <v>Bonus</v>
      </c>
      <c r="D17" s="194" t="s">
        <v>29</v>
      </c>
      <c r="E17" s="313" t="str">
        <f>Language!$E$95&amp;" "&amp;D17</f>
        <v>Group F</v>
      </c>
      <c r="F17" s="314" t="str">
        <f>Language!$E$126</f>
        <v>Bonus</v>
      </c>
    </row>
    <row r="18" spans="2:6" ht="14.5">
      <c r="B18" s="26" t="str">
        <f>VLOOKUP(A17&amp;"1",Groups!$B$7:$D$35,3,0)</f>
        <v>Slovenia</v>
      </c>
      <c r="C18" s="84">
        <v>0</v>
      </c>
      <c r="E18" s="26" t="str">
        <f>VLOOKUP(D17&amp;"1",Groups!$B$7:$D$35,3,0)</f>
        <v>Türkiye</v>
      </c>
      <c r="F18" s="84">
        <v>0</v>
      </c>
    </row>
    <row r="19" spans="2:6" ht="14.5">
      <c r="B19" s="26" t="str">
        <f>VLOOKUP(A17&amp;"2",Groups!$B$7:$D$35,3,0)</f>
        <v>Denmark</v>
      </c>
      <c r="C19" s="85">
        <v>0</v>
      </c>
      <c r="E19" s="26" t="str">
        <f>VLOOKUP(D17&amp;"2",Groups!$B$7:$D$35,3,0)</f>
        <v>Georgia</v>
      </c>
      <c r="F19" s="85">
        <v>0</v>
      </c>
    </row>
    <row r="20" spans="2:6" ht="14.5">
      <c r="B20" s="26" t="str">
        <f>VLOOKUP(A17&amp;"3",Groups!$B$7:$D$35,3,0)</f>
        <v>Serbia</v>
      </c>
      <c r="C20" s="85">
        <v>0</v>
      </c>
      <c r="E20" s="26" t="str">
        <f>VLOOKUP(D17&amp;"3",Groups!$B$7:$D$35,3,0)</f>
        <v>Portugal</v>
      </c>
      <c r="F20" s="85">
        <v>0</v>
      </c>
    </row>
    <row r="21" spans="2:6" ht="14.5">
      <c r="B21" s="26" t="str">
        <f>VLOOKUP(A17&amp;"4",Groups!$B$7:$D$35,3,0)</f>
        <v>England</v>
      </c>
      <c r="C21" s="85">
        <v>0</v>
      </c>
      <c r="E21" s="26" t="str">
        <f>VLOOKUP(D17&amp;"4",Groups!$B$7:$D$35,3,0)</f>
        <v>Czechia</v>
      </c>
      <c r="F21" s="85">
        <v>0</v>
      </c>
    </row>
    <row r="22" spans="3:6" ht="14.5">
      <c r="C22" s="25"/>
      <c r="F22" s="25"/>
    </row>
    <row r="23" spans="1:6" ht="15" customHeight="1">
      <c r="A23" s="194"/>
      <c r="D23" s="194"/>
      <c r="E23" s="233"/>
      <c r="F23" s="234"/>
    </row>
    <row r="24" spans="5:6" ht="14.5" hidden="1">
      <c r="E24" s="15"/>
      <c r="F24" s="235"/>
    </row>
    <row r="25" spans="5:6" ht="14.5" hidden="1">
      <c r="E25" s="15"/>
      <c r="F25" s="235"/>
    </row>
    <row r="26" spans="5:6" ht="14.5" hidden="1">
      <c r="E26" s="15"/>
      <c r="F26" s="235"/>
    </row>
    <row r="27" spans="5:6" ht="14.5" hidden="1">
      <c r="E27" s="15"/>
      <c r="F27" s="235"/>
    </row>
  </sheetData>
  <sheetProtection sheet="1" selectLockedCells="1"/>
  <mergeCells count="2">
    <mergeCell ref="B2:F2"/>
    <mergeCell ref="B3:F3"/>
  </mergeCells>
  <conditionalFormatting sqref="C6:C9">
    <cfRule type="cellIs" priority="13" dxfId="26" operator="notEqual" stopIfTrue="1">
      <formula>0</formula>
    </cfRule>
  </conditionalFormatting>
  <conditionalFormatting sqref="C12:C15">
    <cfRule type="cellIs" priority="5" dxfId="26" operator="notEqual" stopIfTrue="1">
      <formula>0</formula>
    </cfRule>
  </conditionalFormatting>
  <conditionalFormatting sqref="C18:C21">
    <cfRule type="cellIs" priority="4" dxfId="26" operator="notEqual" stopIfTrue="1">
      <formula>0</formula>
    </cfRule>
  </conditionalFormatting>
  <conditionalFormatting sqref="F6:F9">
    <cfRule type="cellIs" priority="3" dxfId="26" operator="notEqual" stopIfTrue="1">
      <formula>0</formula>
    </cfRule>
  </conditionalFormatting>
  <conditionalFormatting sqref="F12:F15">
    <cfRule type="cellIs" priority="2" dxfId="26" operator="notEqual" stopIfTrue="1">
      <formula>0</formula>
    </cfRule>
  </conditionalFormatting>
  <conditionalFormatting sqref="F18:F21">
    <cfRule type="cellIs" priority="1" dxfId="26" operator="notEqual" stopIfTrue="1">
      <formula>0</formula>
    </cfRule>
  </conditionalFormatting>
  <conditionalFormatting sqref="F24:F27">
    <cfRule type="cellIs" priority="6" dxfId="26" operator="greaterThan">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F6:F9 C12:C15 F12:F15 C18:C21 F18:F21">
      <formula1>-9</formula1>
      <formula2>9</formula2>
    </dataValidation>
  </dataValidations>
  <pageMargins left="0.7" right="0.7" top="0.787401575" bottom="0.787401575" header="0.3" footer="0.3"/>
  <pageSetup orientation="portrait" paperSize="9"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B1:AI49"/>
  <sheetViews>
    <sheetView showGridLines="0" showRowColHeaders="0" workbookViewId="0" topLeftCell="A1">
      <selection pane="topLeft" activeCell="Y1" sqref="Y1:XFD1048576"/>
    </sheetView>
  </sheetViews>
  <sheetFormatPr defaultColWidth="0" defaultRowHeight="14.5" zeroHeight="1"/>
  <cols>
    <col min="1" max="1" width="11.4285714285714" customWidth="1"/>
    <col min="2" max="2" width="5.28571428571429" customWidth="1"/>
    <col min="3" max="3" width="19" customWidth="1"/>
    <col min="4" max="5" width="5.71428571428571" style="25" customWidth="1"/>
    <col min="6" max="6" width="4.71428571428571" customWidth="1"/>
    <col min="7" max="7" width="2.71428571428571" style="25" customWidth="1"/>
    <col min="8" max="8" width="4.71428571428571" customWidth="1"/>
    <col min="9" max="9" width="6" customWidth="1"/>
    <col min="10" max="10" width="1.85714285714286" customWidth="1"/>
    <col min="11" max="11" width="2.14285714285714" customWidth="1"/>
    <col min="12" max="13" width="5.71428571428571" style="25" customWidth="1"/>
    <col min="14" max="14" width="2.14285714285714" style="25" customWidth="1"/>
    <col min="15" max="15" width="2" style="25" customWidth="1"/>
    <col min="16" max="17" width="5.71428571428571" style="25" customWidth="1"/>
    <col min="18" max="18" width="4.71428571428571" customWidth="1"/>
    <col min="19" max="19" width="2.85714285714286" style="25" customWidth="1"/>
    <col min="20" max="20" width="4.71428571428571" customWidth="1"/>
    <col min="21" max="21" width="4.85714285714286" customWidth="1"/>
    <col min="22" max="22" width="13.8571428571429" style="25" customWidth="1"/>
    <col min="23" max="23" width="11.4285714285714" style="25" customWidth="1"/>
    <col min="24" max="24" width="11.4285714285714" customWidth="1"/>
    <col min="25" max="25" width="11.4285714285714" style="25" hidden="1" customWidth="1"/>
    <col min="26" max="26" width="5.14285714285714" style="25" hidden="1" customWidth="1"/>
    <col min="27" max="16384" width="11.4285714285714" hidden="1"/>
  </cols>
  <sheetData>
    <row r="1" spans="2:23" ht="28.5">
      <c r="B1" s="859" t="str">
        <f>Language!$E$85</f>
        <v>Direct comparisons</v>
      </c>
      <c r="C1" s="859"/>
      <c r="D1" s="859"/>
      <c r="E1" s="859"/>
      <c r="F1" s="859"/>
      <c r="G1" s="859"/>
      <c r="H1" s="859"/>
      <c r="I1" s="859"/>
      <c r="J1" s="859"/>
      <c r="K1" s="859"/>
      <c r="L1" s="859"/>
      <c r="M1" s="859"/>
      <c r="N1" s="859"/>
      <c r="O1" s="859"/>
      <c r="P1" s="859"/>
      <c r="Q1" s="859"/>
      <c r="R1" s="859"/>
      <c r="S1" s="859"/>
      <c r="T1" s="859"/>
      <c r="U1" s="859"/>
      <c r="V1" s="859"/>
      <c r="W1" s="859"/>
    </row>
    <row r="2" spans="27:27" ht="15" thickBot="1">
      <c r="AA2" s="106"/>
    </row>
    <row r="3" spans="2:32" ht="19"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4:35" ht="15" thickBot="1">
      <c r="D4" s="99" t="str">
        <f>Language!$E$97</f>
        <v>Pts</v>
      </c>
      <c r="E4" s="25" t="str">
        <f>Language!$E$98</f>
        <v>GD</v>
      </c>
      <c r="F4" s="863" t="str">
        <f>Language!$E$99</f>
        <v>Goals</v>
      </c>
      <c r="G4" s="863"/>
      <c r="H4" s="863"/>
      <c r="I4" s="25" t="str">
        <f>Language!$E$100</f>
        <v>Wins</v>
      </c>
      <c r="L4" s="99" t="str">
        <f>Language!$E$97</f>
        <v>Pts</v>
      </c>
      <c r="M4" s="99" t="str">
        <f>Language!$E$101</f>
        <v>Pen</v>
      </c>
      <c r="N4" s="99"/>
      <c r="O4" s="99"/>
      <c r="P4" s="99" t="str">
        <f>Language!$E$97</f>
        <v>Pts</v>
      </c>
      <c r="Q4" s="25" t="str">
        <f>Language!$E$98</f>
        <v>GD</v>
      </c>
      <c r="R4" s="863" t="str">
        <f>Language!$E$99</f>
        <v>Goals</v>
      </c>
      <c r="S4" s="863"/>
      <c r="T4" s="863"/>
      <c r="V4" s="25" t="str">
        <f>Language!$E$104</f>
        <v>Fair Play</v>
      </c>
      <c r="W4" s="107" t="str">
        <f>Language!$E$105</f>
        <v>Not clear</v>
      </c>
      <c r="AF4" s="46" t="s">
        <v>192</v>
      </c>
      <c r="AG4" s="46" t="s">
        <v>191</v>
      </c>
      <c r="AH4" s="46" t="s">
        <v>1128</v>
      </c>
      <c r="AI4" s="46" t="s">
        <v>1129</v>
      </c>
    </row>
    <row r="5" spans="2:35" ht="15.5">
      <c r="B5" s="101" t="s">
        <v>32</v>
      </c>
      <c r="C5" s="331" t="str">
        <f ca="1">GrpA!$P$11</f>
        <v>Hungary</v>
      </c>
      <c r="D5" s="334">
        <f ca="1">GrpA!$Q$11</f>
        <v>7</v>
      </c>
      <c r="E5" s="335">
        <f ca="1">GrpA!$R$11</f>
        <v>4</v>
      </c>
      <c r="F5" s="340">
        <f ca="1">GrpA!$S$11</f>
        <v>7</v>
      </c>
      <c r="G5" s="332" t="s">
        <v>36</v>
      </c>
      <c r="H5" s="389">
        <f ca="1">GrpA!$T$11</f>
        <v>3</v>
      </c>
      <c r="I5" s="392">
        <f ca="1">GrpA!$U$11</f>
        <v>2</v>
      </c>
      <c r="L5" s="403">
        <f ca="1">GrpA!$AD$11</f>
        <v>1</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ca="1" ref="AF5:AI7">IF($AA9&gt;0,GrpA!$Q$18:$T$20,IF($AB9&gt;0,GrpA!$Q$23:$T$25,IF($AC9&gt;0,GrpA!$Q$28:$T$30,IF($AD9&gt;0,GrpA!$Q$33:$T$35,"0"))))</f>
        <v>0</v>
      </c>
      <c r="AG5" s="25" t="str">
        <v>0</v>
      </c>
      <c r="AH5" s="25" t="str">
        <v>0</v>
      </c>
      <c r="AI5" s="25" t="str">
        <v>0</v>
      </c>
    </row>
    <row r="6" spans="2:35" ht="15.5">
      <c r="B6" s="101" t="s">
        <v>33</v>
      </c>
      <c r="C6" s="331" t="str">
        <f ca="1">GrpA!$P$12</f>
        <v>Germany</v>
      </c>
      <c r="D6" s="336">
        <f ca="1">GrpA!$Q$12</f>
        <v>7</v>
      </c>
      <c r="E6" s="337">
        <f ca="1">GrpA!$R$12</f>
        <v>3</v>
      </c>
      <c r="F6" s="341">
        <f ca="1">GrpA!$S$12</f>
        <v>6</v>
      </c>
      <c r="G6" s="102" t="s">
        <v>36</v>
      </c>
      <c r="H6" s="390">
        <f ca="1">GrpA!$T$12</f>
        <v>3</v>
      </c>
      <c r="I6" s="393">
        <f ca="1">GrpA!$U$12</f>
        <v>2</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v>0</v>
      </c>
      <c r="AG6" s="25" t="str">
        <v>0</v>
      </c>
      <c r="AH6" s="25" t="str">
        <v>0</v>
      </c>
      <c r="AI6" s="25" t="str">
        <v>0</v>
      </c>
    </row>
    <row r="7" spans="2:35" ht="15.5">
      <c r="B7" s="101" t="s">
        <v>34</v>
      </c>
      <c r="C7" s="331" t="str">
        <f ca="1">GrpA!$P$13</f>
        <v>Scotland</v>
      </c>
      <c r="D7" s="336">
        <f ca="1">GrpA!$Q$13</f>
        <v>3</v>
      </c>
      <c r="E7" s="337">
        <f ca="1">GrpA!$R$13</f>
        <v>-1</v>
      </c>
      <c r="F7" s="341">
        <f ca="1">GrpA!$S$13</f>
        <v>3</v>
      </c>
      <c r="G7" s="102" t="s">
        <v>36</v>
      </c>
      <c r="H7" s="390">
        <f ca="1">GrpA!$T$13</f>
        <v>4</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v>0</v>
      </c>
      <c r="AG7" s="25" t="str">
        <v>0</v>
      </c>
      <c r="AH7" s="25" t="str">
        <v>0</v>
      </c>
      <c r="AI7" s="25" t="str">
        <v>0</v>
      </c>
    </row>
    <row r="8" spans="2:30" ht="16" thickBot="1">
      <c r="B8" s="101" t="s">
        <v>35</v>
      </c>
      <c r="C8" s="331" t="str">
        <f ca="1">GrpA!$P$14</f>
        <v>Switzerland</v>
      </c>
      <c r="D8" s="338">
        <f ca="1">GrpA!$Q$14</f>
        <v>0</v>
      </c>
      <c r="E8" s="339">
        <f ca="1">GrpA!$R$14</f>
        <v>-6</v>
      </c>
      <c r="F8" s="342">
        <f ca="1">GrpA!$S$14</f>
        <v>0</v>
      </c>
      <c r="G8" s="333" t="s">
        <v>36</v>
      </c>
      <c r="H8" s="391">
        <f ca="1">GrpA!$T$14</f>
        <v>6</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7:31" ht="14.5">
      <c r="AA9" s="103">
        <f ca="1">SUM(AA5:AA8)</f>
        <v>0</v>
      </c>
      <c r="AB9" s="103">
        <f ca="1" t="shared" si="0" ref="AB9:AD9">SUM(AB5:AB8)</f>
        <v>0</v>
      </c>
      <c r="AC9" s="103">
        <f t="shared" ca="1" si="0"/>
        <v>0</v>
      </c>
      <c r="AD9" s="103">
        <f t="shared" ca="1" si="0"/>
        <v>0</v>
      </c>
      <c r="AE9" s="25">
        <f t="array" ca="1" ref="AE9">MAX(IF($AA9:$AD9&gt;0,COLUMN($AA9:$AD9)-COLUMN(Z$1),0))</f>
        <v>0</v>
      </c>
    </row>
    <row r="10" ht="15" thickBot="1"/>
    <row r="11" spans="2:23" ht="19"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4:23" ht="15" thickBot="1">
      <c r="D12" s="99" t="str">
        <f>Language!$E$97</f>
        <v>Pts</v>
      </c>
      <c r="E12" s="25" t="str">
        <f>Language!$E$98</f>
        <v>GD</v>
      </c>
      <c r="F12" s="863" t="str">
        <f>Language!$E$99</f>
        <v>Goals</v>
      </c>
      <c r="G12" s="863"/>
      <c r="H12" s="863"/>
      <c r="I12" s="25" t="str">
        <f>Language!$E$100</f>
        <v>Wins</v>
      </c>
      <c r="L12" s="99" t="str">
        <f>Language!$E$97</f>
        <v>Pts</v>
      </c>
      <c r="M12" s="99" t="str">
        <f>Language!$E$101</f>
        <v>Pen</v>
      </c>
      <c r="N12" s="99"/>
      <c r="O12" s="99"/>
      <c r="P12" s="99" t="str">
        <f>Language!$E$97</f>
        <v>Pts</v>
      </c>
      <c r="Q12" s="25" t="str">
        <f>Language!$E$98</f>
        <v>GD</v>
      </c>
      <c r="R12" s="863" t="str">
        <f>Language!$E$99</f>
        <v>Goals</v>
      </c>
      <c r="S12" s="863"/>
      <c r="T12" s="863"/>
      <c r="V12" s="25" t="str">
        <f>Language!$E$104</f>
        <v>Fair Play</v>
      </c>
      <c r="W12" s="107" t="str">
        <f>Language!$E$105</f>
        <v>Not clear</v>
      </c>
    </row>
    <row r="13" spans="2:35" ht="15.5">
      <c r="B13" s="101" t="s">
        <v>32</v>
      </c>
      <c r="C13" s="100" t="str">
        <f ca="1">GrpB!$P$11</f>
        <v>Croatia</v>
      </c>
      <c r="D13" s="334">
        <f ca="1">GrpB!$Q$11</f>
        <v>7</v>
      </c>
      <c r="E13" s="335">
        <f ca="1">GrpB!$R$11</f>
        <v>3</v>
      </c>
      <c r="F13" s="340">
        <f ca="1">GrpB!$S$11</f>
        <v>5</v>
      </c>
      <c r="G13" s="332" t="s">
        <v>36</v>
      </c>
      <c r="H13" s="389">
        <f ca="1">GrpB!$T$11</f>
        <v>2</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ca="1" ref="AF13:AI15">IF($AA17&gt;0,GrpB!$Q$18:$T$20,IF($AB17&gt;0,GrpB!$Q$23:$T$25,IF($AC17&gt;0,GrpB!$Q$28:$T$30,IF($AD17&gt;0,GrpB!$Q$33:$T$35,"0"))))</f>
        <v>0</v>
      </c>
      <c r="AG13" s="25" t="str">
        <v>0</v>
      </c>
      <c r="AH13" s="25" t="str">
        <v>0</v>
      </c>
      <c r="AI13" s="25" t="str">
        <v>0</v>
      </c>
    </row>
    <row r="14" spans="2:35" ht="15.5">
      <c r="B14" s="101" t="s">
        <v>33</v>
      </c>
      <c r="C14" s="100" t="str">
        <f ca="1">GrpB!$P$12</f>
        <v>Spain</v>
      </c>
      <c r="D14" s="336">
        <f ca="1">GrpB!$Q$12</f>
        <v>5</v>
      </c>
      <c r="E14" s="337">
        <f ca="1">GrpB!$R$12</f>
        <v>2</v>
      </c>
      <c r="F14" s="341">
        <f ca="1">GrpB!$S$12</f>
        <v>5</v>
      </c>
      <c r="G14" s="102" t="s">
        <v>36</v>
      </c>
      <c r="H14" s="390">
        <f ca="1">GrpB!$T$12</f>
        <v>3</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v>0</v>
      </c>
      <c r="AG14" s="25" t="str">
        <v>0</v>
      </c>
      <c r="AH14" s="25" t="str">
        <v>0</v>
      </c>
      <c r="AI14" s="25" t="str">
        <v>0</v>
      </c>
    </row>
    <row r="15" spans="2:35" ht="15.5">
      <c r="B15" s="101" t="s">
        <v>34</v>
      </c>
      <c r="C15" s="100" t="str">
        <f ca="1">GrpB!$P$13</f>
        <v>Italy</v>
      </c>
      <c r="D15" s="336">
        <f ca="1">GrpB!$Q$13</f>
        <v>4</v>
      </c>
      <c r="E15" s="337">
        <f ca="1">GrpB!$R$13</f>
        <v>3</v>
      </c>
      <c r="F15" s="341">
        <f ca="1">GrpB!$S$13</f>
        <v>6</v>
      </c>
      <c r="G15" s="102" t="s">
        <v>36</v>
      </c>
      <c r="H15" s="390">
        <f ca="1">GrpB!$T$13</f>
        <v>3</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v>0</v>
      </c>
      <c r="AG15" s="25" t="str">
        <v>0</v>
      </c>
      <c r="AH15" s="25" t="str">
        <v>0</v>
      </c>
      <c r="AI15" s="25" t="str">
        <v>0</v>
      </c>
    </row>
    <row r="16" spans="2:30" ht="16" thickBot="1">
      <c r="B16" s="101" t="s">
        <v>35</v>
      </c>
      <c r="C16" s="100" t="str">
        <f ca="1">GrpB!$P$14</f>
        <v>Albania</v>
      </c>
      <c r="D16" s="338">
        <f ca="1">GrpB!$Q$14</f>
        <v>0</v>
      </c>
      <c r="E16" s="339">
        <f ca="1">GrpB!$R$14</f>
        <v>-8</v>
      </c>
      <c r="F16" s="342">
        <f ca="1">GrpB!$S$14</f>
        <v>1</v>
      </c>
      <c r="G16" s="333" t="s">
        <v>36</v>
      </c>
      <c r="H16" s="391">
        <f ca="1">GrpB!$T$14</f>
        <v>9</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7:31" ht="14.5">
      <c r="AA17" s="103">
        <f ca="1">SUM(AA13:AA16)</f>
        <v>0</v>
      </c>
      <c r="AB17" s="103">
        <f ca="1" t="shared" si="1" ref="AB17:AD17">SUM(AB13:AB16)</f>
        <v>0</v>
      </c>
      <c r="AC17" s="103">
        <f t="shared" ca="1" si="1"/>
        <v>0</v>
      </c>
      <c r="AD17" s="103">
        <f t="shared" ca="1" si="1"/>
        <v>0</v>
      </c>
      <c r="AE17" s="25">
        <f t="array" ca="1" ref="AE17">MAX(IF($AA17:$AD17&gt;0,COLUMN($AA17:$AD17)-COLUMN(Z$1),0))</f>
        <v>0</v>
      </c>
    </row>
    <row r="18" ht="15" thickBot="1"/>
    <row r="19" spans="2:23" ht="19"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4:23" ht="15" thickBot="1">
      <c r="D20" s="99" t="str">
        <f>Language!$E$97</f>
        <v>Pts</v>
      </c>
      <c r="E20" s="25" t="str">
        <f>Language!$E$98</f>
        <v>GD</v>
      </c>
      <c r="F20" s="863" t="str">
        <f>Language!$E$99</f>
        <v>Goals</v>
      </c>
      <c r="G20" s="863"/>
      <c r="H20" s="863"/>
      <c r="I20" s="25" t="str">
        <f>Language!$E$100</f>
        <v>Wins</v>
      </c>
      <c r="L20" s="99" t="str">
        <f>Language!$E$97</f>
        <v>Pts</v>
      </c>
      <c r="M20" s="99" t="str">
        <f>Language!$E$101</f>
        <v>Pen</v>
      </c>
      <c r="N20" s="99"/>
      <c r="O20" s="99"/>
      <c r="P20" s="99" t="str">
        <f>Language!$E$97</f>
        <v>Pts</v>
      </c>
      <c r="Q20" s="25" t="str">
        <f>Language!$E$98</f>
        <v>GD</v>
      </c>
      <c r="R20" s="863" t="str">
        <f>Language!$E$99</f>
        <v>Goals</v>
      </c>
      <c r="S20" s="863"/>
      <c r="T20" s="863"/>
      <c r="V20" s="25" t="str">
        <f>Language!$E$104</f>
        <v>Fair Play</v>
      </c>
      <c r="W20" s="107" t="str">
        <f>Language!$E$105</f>
        <v>Not clear</v>
      </c>
    </row>
    <row r="21" spans="2:35" ht="15.5">
      <c r="B21" s="101" t="s">
        <v>32</v>
      </c>
      <c r="C21" s="100" t="str">
        <f ca="1">GrpC!$P$11</f>
        <v>England</v>
      </c>
      <c r="D21" s="334">
        <f ca="1">GrpC!$Q$11</f>
        <v>5</v>
      </c>
      <c r="E21" s="335">
        <f ca="1">GrpC!$R$11</f>
        <v>4</v>
      </c>
      <c r="F21" s="340">
        <f ca="1">GrpC!$S$11</f>
        <v>7</v>
      </c>
      <c r="G21" s="332" t="s">
        <v>36</v>
      </c>
      <c r="H21" s="389">
        <f ca="1">GrpC!$T$11</f>
        <v>3</v>
      </c>
      <c r="I21" s="392">
        <f ca="1">GrpC!$U$11</f>
        <v>1</v>
      </c>
      <c r="L21" s="403">
        <f ca="1">GrpC!$AD$11</f>
        <v>1</v>
      </c>
      <c r="M21" s="404" t="str">
        <f ca="1">GrpC!$AE$11</f>
        <v/>
      </c>
      <c r="N21" s="343"/>
      <c r="O21" s="343"/>
      <c r="P21" s="344">
        <f ca="1">IF($AE25=0,"",IF(INDEX($AA21:$AD24,1,$AE25)=0,"",INDEX($AF21:$AI23,INDEX($AA21:$AD24,1,$AE25),1)))</f>
        <v>2</v>
      </c>
      <c r="Q21" s="345">
        <f ca="1">IF($AE25=0,"",IF(INDEX($AA21:$AD24,1,$AE25)=0,"",INDEX($AF21:$AI23,INDEX($AA21:$AD24,1,$AE25),2)))</f>
        <v>0</v>
      </c>
      <c r="R21" s="346">
        <f ca="1">IF($AE25=0,"",IF(INDEX($AA21:$AD24,1,$AE25)=0,"",INDEX($AF21:$AI23,INDEX($AA21:$AD24,1,$AE25),3)))</f>
        <v>3</v>
      </c>
      <c r="S21" s="347" t="s">
        <v>36</v>
      </c>
      <c r="T21" s="348">
        <f ca="1">IF($AE25=0,"",IF(INDEX($AA21:$AD24,1,$AE25)=0,"",INDEX($AF21:$AI23,INDEX($AA21:$AD24,1,$AE25),4)))</f>
        <v>3</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3</v>
      </c>
      <c r="AF21" s="25">
        <f t="array" ca="1" ref="AF21:AI23">IF($AA25&gt;0,GrpC!$Q$18:$T$20,IF($AB25&gt;0,GrpC!$Q$23:$T$25,IF($AC25&gt;0,GrpC!$Q$28:$T$30,IF($AD25&gt;0,GrpC!$Q$33:$T$35,"0"))))</f>
        <v>2</v>
      </c>
      <c r="AG21" s="25">
        <v>0</v>
      </c>
      <c r="AH21" s="25">
        <v>2</v>
      </c>
      <c r="AI21" s="25">
        <v>2</v>
      </c>
    </row>
    <row r="22" spans="2:35" ht="15.5">
      <c r="B22" s="101" t="s">
        <v>33</v>
      </c>
      <c r="C22" s="100" t="str">
        <f ca="1">GrpC!$P$12</f>
        <v>Serbia</v>
      </c>
      <c r="D22" s="336">
        <f ca="1">GrpC!$Q$12</f>
        <v>5</v>
      </c>
      <c r="E22" s="337">
        <f ca="1">GrpC!$R$12</f>
        <v>1</v>
      </c>
      <c r="F22" s="341">
        <f ca="1">GrpC!$S$12</f>
        <v>5</v>
      </c>
      <c r="G22" s="102" t="s">
        <v>36</v>
      </c>
      <c r="H22" s="390">
        <f ca="1">GrpC!$T$12</f>
        <v>4</v>
      </c>
      <c r="I22" s="393">
        <f ca="1">GrpC!$U$12</f>
        <v>1</v>
      </c>
      <c r="L22" s="405">
        <f ca="1">GrpC!$AD$12</f>
        <v>1</v>
      </c>
      <c r="M22" s="406" t="str">
        <f ca="1">GrpC!$AE$12</f>
        <v/>
      </c>
      <c r="N22" s="343"/>
      <c r="O22" s="343"/>
      <c r="P22" s="349">
        <f ca="1">IF($AE25=0,"",IF(INDEX($AA21:$AD24,2,$AE25)=0,"",INDEX($AF21:$AI23,INDEX($AA21:$AD24,2,$AE25),1)))</f>
        <v>2</v>
      </c>
      <c r="Q22" s="350">
        <f ca="1">IF($AE25=0,"",IF(INDEX($AA21:$AD24,2,$AE25)=0,"",INDEX($AF21:$AI23,INDEX($AA21:$AD24,2,$AE25),2)))</f>
        <v>0</v>
      </c>
      <c r="R22" s="351">
        <f ca="1">IF($AE25=0,"",IF(INDEX($AA21:$AD24,2,$AE25)=0,"",INDEX($AF21:$AI23,INDEX($AA21:$AD24,2,$AE25),3)))</f>
        <v>3</v>
      </c>
      <c r="S22" s="352" t="s">
        <v>36</v>
      </c>
      <c r="T22" s="353">
        <f ca="1">IF($AE25=0,"",IF(INDEX($AA21:$AD24,2,$AE25)=0,"",INDEX($AF21:$AI23,INDEX($AA21:$AD24,2,$AE25),4)))</f>
        <v>3</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2</v>
      </c>
      <c r="AF22" s="25">
        <v>2</v>
      </c>
      <c r="AG22" s="25">
        <v>0</v>
      </c>
      <c r="AH22" s="25">
        <v>3</v>
      </c>
      <c r="AI22" s="25">
        <v>3</v>
      </c>
    </row>
    <row r="23" spans="2:35" ht="15.5">
      <c r="B23" s="101" t="s">
        <v>34</v>
      </c>
      <c r="C23" s="100" t="str">
        <f ca="1">GrpC!$P$13</f>
        <v>Denmark</v>
      </c>
      <c r="D23" s="336">
        <f ca="1">GrpC!$Q$13</f>
        <v>5</v>
      </c>
      <c r="E23" s="337">
        <f ca="1">GrpC!$R$13</f>
        <v>1</v>
      </c>
      <c r="F23" s="341">
        <f ca="1">GrpC!$S$13</f>
        <v>3</v>
      </c>
      <c r="G23" s="102" t="s">
        <v>36</v>
      </c>
      <c r="H23" s="390">
        <f ca="1">GrpC!$T$13</f>
        <v>2</v>
      </c>
      <c r="I23" s="393">
        <f ca="1">GrpC!$U$13</f>
        <v>1</v>
      </c>
      <c r="L23" s="405" t="str">
        <f ca="1">GrpC!$AD$13</f>
        <v/>
      </c>
      <c r="M23" s="406" t="str">
        <f ca="1">GrpC!$AE$13</f>
        <v/>
      </c>
      <c r="N23" s="343"/>
      <c r="O23" s="343"/>
      <c r="P23" s="349">
        <f ca="1">IF($AE25=0,"",IF(INDEX($AA21:$AD24,3,$AE25)=0,"",INDEX($AF21:$AI23,INDEX($AA21:$AD24,3,$AE25),1)))</f>
        <v>2</v>
      </c>
      <c r="Q23" s="350">
        <f ca="1">IF($AE25=0,"",IF(INDEX($AA21:$AD24,3,$AE25)=0,"",INDEX($AF21:$AI23,INDEX($AA21:$AD24,3,$AE25),2)))</f>
        <v>0</v>
      </c>
      <c r="R23" s="351">
        <f ca="1">IF($AE25=0,"",IF(INDEX($AA21:$AD24,3,$AE25)=0,"",INDEX($AF21:$AI23,INDEX($AA21:$AD24,3,$AE25),3)))</f>
        <v>2</v>
      </c>
      <c r="S23" s="352" t="s">
        <v>36</v>
      </c>
      <c r="T23" s="353">
        <f ca="1">IF($AE25=0,"",IF(INDEX($AA21:$AD24,3,$AE25)=0,"",INDEX($AF21:$AI23,INDEX($AA21:$AD24,3,$AE25),4)))</f>
        <v>2</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1</v>
      </c>
      <c r="AF23" s="25">
        <v>2</v>
      </c>
      <c r="AG23" s="25">
        <v>0</v>
      </c>
      <c r="AH23" s="25">
        <v>3</v>
      </c>
      <c r="AI23" s="25">
        <v>3</v>
      </c>
    </row>
    <row r="24" spans="2:30" ht="16" thickBot="1">
      <c r="B24" s="101" t="s">
        <v>35</v>
      </c>
      <c r="C24" s="100" t="str">
        <f ca="1">GrpC!$P$14</f>
        <v>Slovenia</v>
      </c>
      <c r="D24" s="338">
        <f ca="1">GrpC!$Q$14</f>
        <v>0</v>
      </c>
      <c r="E24" s="339">
        <f ca="1">GrpC!$R$14</f>
        <v>-6</v>
      </c>
      <c r="F24" s="342">
        <f ca="1">GrpC!$S$14</f>
        <v>1</v>
      </c>
      <c r="G24" s="333" t="s">
        <v>36</v>
      </c>
      <c r="H24" s="391">
        <f ca="1">GrpC!$T$14</f>
        <v>7</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7:31" ht="14.5">
      <c r="AA25" s="103">
        <f ca="1">SUM(AA21:AA24)</f>
        <v>0</v>
      </c>
      <c r="AB25" s="103">
        <f ca="1" t="shared" si="2" ref="AB25:AD25">SUM(AB21:AB24)</f>
        <v>0</v>
      </c>
      <c r="AC25" s="103">
        <f t="shared" ca="1" si="2"/>
        <v>0</v>
      </c>
      <c r="AD25" s="103">
        <f t="shared" ca="1" si="2"/>
        <v>6</v>
      </c>
      <c r="AE25" s="25">
        <f t="array" ca="1" ref="AE25">MAX(IF($AA25:$AD25&gt;0,COLUMN($AA25:$AD25)-COLUMN(Z$1),0))</f>
        <v>4</v>
      </c>
    </row>
    <row r="26" ht="15" thickBot="1"/>
    <row r="27" spans="2:23" ht="19"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4:23" ht="15" thickBot="1">
      <c r="D28" s="99" t="str">
        <f>Language!$E$97</f>
        <v>Pts</v>
      </c>
      <c r="E28" s="25" t="str">
        <f>Language!$E$98</f>
        <v>GD</v>
      </c>
      <c r="F28" s="863" t="str">
        <f>Language!$E$99</f>
        <v>Goals</v>
      </c>
      <c r="G28" s="863"/>
      <c r="H28" s="863"/>
      <c r="I28" s="25" t="str">
        <f>Language!$E$100</f>
        <v>Wins</v>
      </c>
      <c r="L28" s="99" t="str">
        <f>Language!$E$97</f>
        <v>Pts</v>
      </c>
      <c r="M28" s="99" t="str">
        <f>Language!$E$101</f>
        <v>Pen</v>
      </c>
      <c r="N28" s="99"/>
      <c r="O28" s="99"/>
      <c r="P28" s="99" t="str">
        <f>Language!$E$97</f>
        <v>Pts</v>
      </c>
      <c r="Q28" s="25" t="str">
        <f>Language!$E$98</f>
        <v>GD</v>
      </c>
      <c r="R28" s="863" t="str">
        <f>Language!$E$99</f>
        <v>Goals</v>
      </c>
      <c r="S28" s="863"/>
      <c r="T28" s="863"/>
      <c r="V28" s="25" t="str">
        <f>Language!$E$104</f>
        <v>Fair Play</v>
      </c>
      <c r="W28" s="107" t="str">
        <f>Language!$E$105</f>
        <v>Not clear</v>
      </c>
    </row>
    <row r="29" spans="2:35" ht="15.5">
      <c r="B29" s="101" t="s">
        <v>32</v>
      </c>
      <c r="C29" s="100" t="str">
        <f ca="1">GrpD!$P$11</f>
        <v>France</v>
      </c>
      <c r="D29" s="334">
        <f ca="1">GrpD!$Q$11</f>
        <v>9</v>
      </c>
      <c r="E29" s="335">
        <f ca="1">GrpD!$R$11</f>
        <v>8</v>
      </c>
      <c r="F29" s="340">
        <f ca="1">GrpD!$S$11</f>
        <v>9</v>
      </c>
      <c r="G29" s="332" t="s">
        <v>36</v>
      </c>
      <c r="H29" s="389">
        <f ca="1">GrpD!$T$11</f>
        <v>1</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ca="1" ref="AF29:AI31">IF($AA33&gt;0,GrpD!$Q$18:$T$20,IF($AB33&gt;0,GrpD!$Q$23:$T$25,IF($AC33&gt;0,GrpD!$Q$28:$T$30,IF($AD33&gt;0,GrpD!$Q$33:$T$35,"0"))))</f>
        <v>0</v>
      </c>
      <c r="AG29" s="25" t="str">
        <v>0</v>
      </c>
      <c r="AH29" s="25" t="str">
        <v>0</v>
      </c>
      <c r="AI29" s="25" t="str">
        <v>0</v>
      </c>
    </row>
    <row r="30" spans="2:35" ht="15.5">
      <c r="B30" s="101" t="s">
        <v>33</v>
      </c>
      <c r="C30" s="100" t="str">
        <f ca="1">GrpD!$P$12</f>
        <v>Netherlands</v>
      </c>
      <c r="D30" s="336">
        <f ca="1">GrpD!$Q$12</f>
        <v>6</v>
      </c>
      <c r="E30" s="337">
        <f ca="1">GrpD!$R$12</f>
        <v>3</v>
      </c>
      <c r="F30" s="341">
        <f ca="1">GrpD!$S$12</f>
        <v>6</v>
      </c>
      <c r="G30" s="102" t="s">
        <v>36</v>
      </c>
      <c r="H30" s="390">
        <f ca="1">GrpD!$T$12</f>
        <v>3</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v>0</v>
      </c>
      <c r="AG30" s="25" t="str">
        <v>0</v>
      </c>
      <c r="AH30" s="25" t="str">
        <v>0</v>
      </c>
      <c r="AI30" s="25" t="str">
        <v>0</v>
      </c>
    </row>
    <row r="31" spans="2:35" ht="15.5">
      <c r="B31" s="101" t="s">
        <v>34</v>
      </c>
      <c r="C31" s="100" t="str">
        <f ca="1">GrpD!$P$13</f>
        <v>Austria</v>
      </c>
      <c r="D31" s="336">
        <f ca="1">GrpD!$Q$13</f>
        <v>1</v>
      </c>
      <c r="E31" s="337">
        <f ca="1">GrpD!$R$13</f>
        <v>-5</v>
      </c>
      <c r="F31" s="341">
        <f ca="1">GrpD!$S$13</f>
        <v>2</v>
      </c>
      <c r="G31" s="102" t="s">
        <v>36</v>
      </c>
      <c r="H31" s="390">
        <f ca="1">GrpD!$T$13</f>
        <v>7</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v>0</v>
      </c>
      <c r="AG31" s="25" t="str">
        <v>0</v>
      </c>
      <c r="AH31" s="25" t="str">
        <v>0</v>
      </c>
      <c r="AI31" s="25" t="str">
        <v>0</v>
      </c>
    </row>
    <row r="32" spans="2:30" ht="16" thickBot="1">
      <c r="B32" s="101" t="s">
        <v>35</v>
      </c>
      <c r="C32" s="100" t="str">
        <f ca="1">GrpD!$P$14</f>
        <v>Poland</v>
      </c>
      <c r="D32" s="338">
        <f ca="1">GrpD!$Q$14</f>
        <v>1</v>
      </c>
      <c r="E32" s="339">
        <f ca="1">GrpD!$R$14</f>
        <v>-6</v>
      </c>
      <c r="F32" s="342">
        <f ca="1">GrpD!$S$14</f>
        <v>3</v>
      </c>
      <c r="G32" s="333" t="s">
        <v>36</v>
      </c>
      <c r="H32" s="391">
        <f ca="1">GrpD!$T$14</f>
        <v>9</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7:31" ht="14.5">
      <c r="AA33" s="103">
        <f ca="1">SUM(AA29:AA32)</f>
        <v>0</v>
      </c>
      <c r="AB33" s="103">
        <f ca="1" t="shared" si="3" ref="AB33:AD33">SUM(AB29:AB32)</f>
        <v>0</v>
      </c>
      <c r="AC33" s="103">
        <f t="shared" ca="1" si="3"/>
        <v>0</v>
      </c>
      <c r="AD33" s="103">
        <f t="shared" ca="1" si="3"/>
        <v>0</v>
      </c>
      <c r="AE33" s="25">
        <f t="array" ca="1" ref="AE33">MAX(IF($AA33:$AD33&gt;0,COLUMN($AA33:$AD33)-COLUMN(Z$1),0))</f>
        <v>0</v>
      </c>
    </row>
    <row r="34" ht="15" thickBot="1"/>
    <row r="35" spans="2:23" ht="19"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4:23" ht="15" thickBot="1">
      <c r="D36" s="99" t="str">
        <f>Language!$E$97</f>
        <v>Pts</v>
      </c>
      <c r="E36" s="25" t="str">
        <f>Language!$E$98</f>
        <v>GD</v>
      </c>
      <c r="F36" s="863" t="str">
        <f>Language!$E$99</f>
        <v>Goals</v>
      </c>
      <c r="G36" s="863"/>
      <c r="H36" s="863"/>
      <c r="I36" s="25" t="str">
        <f>Language!$E$100</f>
        <v>Wins</v>
      </c>
      <c r="L36" s="99" t="str">
        <f>Language!$E$97</f>
        <v>Pts</v>
      </c>
      <c r="M36" s="99" t="str">
        <f>Language!$E$101</f>
        <v>Pen</v>
      </c>
      <c r="N36" s="99"/>
      <c r="O36" s="99"/>
      <c r="P36" s="99" t="str">
        <f>Language!$E$97</f>
        <v>Pts</v>
      </c>
      <c r="Q36" s="25" t="str">
        <f>Language!$E$98</f>
        <v>GD</v>
      </c>
      <c r="R36" s="863" t="str">
        <f>Language!$E$99</f>
        <v>Goals</v>
      </c>
      <c r="S36" s="863"/>
      <c r="T36" s="863"/>
      <c r="V36" s="25" t="str">
        <f>Language!$E$104</f>
        <v>Fair Play</v>
      </c>
      <c r="W36" s="107" t="str">
        <f>Language!$E$105</f>
        <v>Not clear</v>
      </c>
    </row>
    <row r="37" spans="2:35" ht="15.5">
      <c r="B37" s="101" t="s">
        <v>32</v>
      </c>
      <c r="C37" s="100" t="str">
        <f ca="1">GrpE!$P$11</f>
        <v>Belgium</v>
      </c>
      <c r="D37" s="334">
        <f ca="1">GrpE!$Q$11</f>
        <v>7</v>
      </c>
      <c r="E37" s="335">
        <f ca="1">GrpE!$R$11</f>
        <v>5</v>
      </c>
      <c r="F37" s="340">
        <f ca="1">GrpE!$S$11</f>
        <v>7</v>
      </c>
      <c r="G37" s="332" t="s">
        <v>36</v>
      </c>
      <c r="H37" s="389">
        <f ca="1">GrpE!$T$11</f>
        <v>2</v>
      </c>
      <c r="I37" s="392">
        <f ca="1">GrpE!$U$11</f>
        <v>2</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ca="1" ref="AF37:AI39">IF($AA41&gt;0,GrpE!$Q$18:$T$20,IF($AB41&gt;0,GrpE!$Q$23:$T$25,IF($AC41&gt;0,GrpE!$Q$28:$T$30,IF($AD41&gt;0,GrpE!$Q$33:$T$35,"0"))))</f>
        <v>0</v>
      </c>
      <c r="AG37" s="25" t="str">
        <v>0</v>
      </c>
      <c r="AH37" s="25" t="str">
        <v>0</v>
      </c>
      <c r="AI37" s="25" t="str">
        <v>0</v>
      </c>
    </row>
    <row r="38" spans="2:35" ht="15.5">
      <c r="B38" s="101" t="s">
        <v>33</v>
      </c>
      <c r="C38" s="100" t="str">
        <f ca="1">GrpE!$P$12</f>
        <v>Ukraine</v>
      </c>
      <c r="D38" s="336">
        <f ca="1">GrpE!$Q$12</f>
        <v>5</v>
      </c>
      <c r="E38" s="337">
        <f ca="1">GrpE!$R$12</f>
        <v>1</v>
      </c>
      <c r="F38" s="341">
        <f ca="1">GrpE!$S$12</f>
        <v>4</v>
      </c>
      <c r="G38" s="102" t="s">
        <v>36</v>
      </c>
      <c r="H38" s="390">
        <f ca="1">GrpE!$T$12</f>
        <v>3</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v>0</v>
      </c>
      <c r="AG38" s="25" t="str">
        <v>0</v>
      </c>
      <c r="AH38" s="25" t="str">
        <v>0</v>
      </c>
      <c r="AI38" s="25" t="str">
        <v>0</v>
      </c>
    </row>
    <row r="39" spans="2:35" ht="15.5">
      <c r="B39" s="101" t="s">
        <v>34</v>
      </c>
      <c r="C39" s="100" t="str">
        <f ca="1">GrpE!$P$13</f>
        <v>Slovakia</v>
      </c>
      <c r="D39" s="336">
        <f ca="1">GrpE!$Q$13</f>
        <v>2</v>
      </c>
      <c r="E39" s="337">
        <f ca="1">GrpE!$R$13</f>
        <v>-2</v>
      </c>
      <c r="F39" s="341">
        <f ca="1">GrpE!$S$13</f>
        <v>3</v>
      </c>
      <c r="G39" s="102" t="s">
        <v>36</v>
      </c>
      <c r="H39" s="390">
        <f ca="1">GrpE!$T$13</f>
        <v>5</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v>0</v>
      </c>
      <c r="AG39" s="25" t="str">
        <v>0</v>
      </c>
      <c r="AH39" s="25" t="str">
        <v>0</v>
      </c>
      <c r="AI39" s="25" t="str">
        <v>0</v>
      </c>
    </row>
    <row r="40" spans="2:30" ht="16" thickBot="1">
      <c r="B40" s="101" t="s">
        <v>35</v>
      </c>
      <c r="C40" s="100" t="str">
        <f ca="1">GrpE!$P$14</f>
        <v>Romania</v>
      </c>
      <c r="D40" s="338">
        <f ca="1">GrpE!$Q$14</f>
        <v>1</v>
      </c>
      <c r="E40" s="339">
        <f ca="1">GrpE!$R$14</f>
        <v>-4</v>
      </c>
      <c r="F40" s="342">
        <f ca="1">GrpE!$S$14</f>
        <v>2</v>
      </c>
      <c r="G40" s="333" t="s">
        <v>36</v>
      </c>
      <c r="H40" s="391">
        <f ca="1">GrpE!$T$14</f>
        <v>6</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7:31" ht="14.5">
      <c r="AA41" s="103">
        <f ca="1">SUM(AA37:AA40)</f>
        <v>0</v>
      </c>
      <c r="AB41" s="103">
        <f ca="1" t="shared" si="4" ref="AB41:AD41">SUM(AB37:AB40)</f>
        <v>0</v>
      </c>
      <c r="AC41" s="103">
        <f t="shared" ca="1" si="4"/>
        <v>0</v>
      </c>
      <c r="AD41" s="103">
        <f t="shared" ca="1" si="4"/>
        <v>0</v>
      </c>
      <c r="AE41" s="25">
        <f t="array" ca="1" ref="AE41">MAX(IF($AA41:$AD41&gt;0,COLUMN($AA41:$AD41)-COLUMN(Z$1),0))</f>
        <v>0</v>
      </c>
    </row>
    <row r="42" ht="15" thickBot="1"/>
    <row r="43" spans="2:23" ht="19"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4:23" ht="15" thickBot="1">
      <c r="D44" s="99" t="str">
        <f>Language!$E$97</f>
        <v>Pts</v>
      </c>
      <c r="E44" s="25" t="str">
        <f>Language!$E$98</f>
        <v>GD</v>
      </c>
      <c r="F44" s="863" t="str">
        <f>Language!$E$99</f>
        <v>Goals</v>
      </c>
      <c r="G44" s="863"/>
      <c r="H44" s="863"/>
      <c r="I44" s="25" t="str">
        <f>Language!$E$100</f>
        <v>Wins</v>
      </c>
      <c r="L44" s="99" t="str">
        <f>Language!$E$97</f>
        <v>Pts</v>
      </c>
      <c r="M44" s="99" t="str">
        <f>Language!$E$101</f>
        <v>Pen</v>
      </c>
      <c r="N44" s="99"/>
      <c r="O44" s="99"/>
      <c r="P44" s="99" t="str">
        <f>Language!$E$97</f>
        <v>Pts</v>
      </c>
      <c r="Q44" s="25" t="str">
        <f>Language!$E$98</f>
        <v>GD</v>
      </c>
      <c r="R44" s="863" t="str">
        <f>Language!$E$99</f>
        <v>Goals</v>
      </c>
      <c r="S44" s="863"/>
      <c r="T44" s="863"/>
      <c r="V44" s="25" t="str">
        <f>Language!$E$104</f>
        <v>Fair Play</v>
      </c>
      <c r="W44" s="107" t="str">
        <f>Language!$E$105</f>
        <v>Not clear</v>
      </c>
    </row>
    <row r="45" spans="2:35" ht="15.5">
      <c r="B45" s="101" t="s">
        <v>32</v>
      </c>
      <c r="C45" s="100" t="str">
        <f ca="1">GrpF!$P$11</f>
        <v>Portugal</v>
      </c>
      <c r="D45" s="334">
        <f ca="1">GrpF!$Q$11</f>
        <v>7</v>
      </c>
      <c r="E45" s="335">
        <f ca="1">GrpF!$R$11</f>
        <v>4</v>
      </c>
      <c r="F45" s="340">
        <f ca="1">GrpF!$S$11</f>
        <v>6</v>
      </c>
      <c r="G45" s="332" t="s">
        <v>36</v>
      </c>
      <c r="H45" s="389">
        <f ca="1">GrpF!$T$11</f>
        <v>2</v>
      </c>
      <c r="I45" s="392">
        <f ca="1">GrpF!$U$11</f>
        <v>2</v>
      </c>
      <c r="L45" s="403">
        <f ca="1">GrpF!$AD$11</f>
        <v>1</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ca="1" ref="AF45:AI47">IF($AA49&gt;0,GrpF!$Q$18:$T$20,IF($AB49&gt;0,GrpF!$Q$23:$T$25,IF($AC49&gt;0,GrpF!$Q$28:$T$30,IF($AD49&gt;0,GrpF!$Q$33:$T$35,"0"))))</f>
        <v>0</v>
      </c>
      <c r="AG45" s="25" t="str">
        <v>0</v>
      </c>
      <c r="AH45" s="25" t="str">
        <v>0</v>
      </c>
      <c r="AI45" s="25" t="str">
        <v>0</v>
      </c>
    </row>
    <row r="46" spans="2:35" ht="15.5">
      <c r="B46" s="101" t="s">
        <v>33</v>
      </c>
      <c r="C46" s="100" t="str">
        <f ca="1">GrpF!$P$12</f>
        <v>Czechia</v>
      </c>
      <c r="D46" s="336">
        <f ca="1">GrpF!$Q$12</f>
        <v>7</v>
      </c>
      <c r="E46" s="337">
        <f ca="1">GrpF!$R$12</f>
        <v>3</v>
      </c>
      <c r="F46" s="341">
        <f ca="1">GrpF!$S$12</f>
        <v>5</v>
      </c>
      <c r="G46" s="102" t="s">
        <v>36</v>
      </c>
      <c r="H46" s="390">
        <f ca="1">GrpF!$T$12</f>
        <v>2</v>
      </c>
      <c r="I46" s="393">
        <f ca="1">GrpF!$U$12</f>
        <v>2</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v>0</v>
      </c>
      <c r="AG46" s="25" t="str">
        <v>0</v>
      </c>
      <c r="AH46" s="25" t="str">
        <v>0</v>
      </c>
      <c r="AI46" s="25" t="str">
        <v>0</v>
      </c>
    </row>
    <row r="47" spans="2:35" ht="15.5">
      <c r="B47" s="101" t="s">
        <v>34</v>
      </c>
      <c r="C47" s="100" t="str">
        <f ca="1">GrpF!$P$13</f>
        <v>Türkiye</v>
      </c>
      <c r="D47" s="336">
        <f ca="1">GrpF!$Q$13</f>
        <v>3</v>
      </c>
      <c r="E47" s="337">
        <f ca="1">GrpF!$R$13</f>
        <v>-2</v>
      </c>
      <c r="F47" s="341">
        <f ca="1">GrpF!$S$13</f>
        <v>2</v>
      </c>
      <c r="G47" s="102" t="s">
        <v>36</v>
      </c>
      <c r="H47" s="390">
        <f ca="1">GrpF!$T$13</f>
        <v>4</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v>0</v>
      </c>
      <c r="AG47" s="25" t="str">
        <v>0</v>
      </c>
      <c r="AH47" s="25" t="str">
        <v>0</v>
      </c>
      <c r="AI47" s="25" t="str">
        <v>0</v>
      </c>
    </row>
    <row r="48" spans="2:30" ht="16" thickBot="1">
      <c r="B48" s="101" t="s">
        <v>35</v>
      </c>
      <c r="C48" s="100" t="str">
        <f ca="1">GrpF!$P$14</f>
        <v>Georgia</v>
      </c>
      <c r="D48" s="338">
        <f ca="1">GrpF!$Q$14</f>
        <v>0</v>
      </c>
      <c r="E48" s="339">
        <f ca="1">GrpF!$R$14</f>
        <v>-5</v>
      </c>
      <c r="F48" s="342">
        <f ca="1">GrpF!$S$14</f>
        <v>3</v>
      </c>
      <c r="G48" s="333" t="s">
        <v>36</v>
      </c>
      <c r="H48" s="391">
        <f ca="1">GrpF!$T$14</f>
        <v>8</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ht="14.5">
      <c r="AA49" s="103">
        <f ca="1">SUM(AA45:AA48)</f>
        <v>0</v>
      </c>
      <c r="AB49" s="103">
        <f ca="1" t="shared" si="5" ref="AB49:AD49">SUM(AB45:AB48)</f>
        <v>0</v>
      </c>
      <c r="AC49" s="103">
        <f t="shared" ca="1" si="5"/>
        <v>0</v>
      </c>
      <c r="AD49" s="103">
        <f t="shared" ca="1" si="5"/>
        <v>0</v>
      </c>
      <c r="AE49" s="25">
        <f t="array" ca="1" ref="AE49">MAX(IF($AA49:$AD49&gt;0,COLUMN($AA49:$AD49)-COLUMN(Z$1),0))</f>
        <v>0</v>
      </c>
    </row>
    <row r="50" ht="14.5"/>
    <row r="51" ht="14.5"/>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5:V8">
    <cfRule type="cellIs" priority="1" dxfId="19" operator="greaterThan">
      <formula>0</formula>
    </cfRule>
  </conditionalFormatting>
  <conditionalFormatting sqref="V13:V16">
    <cfRule type="cellIs" priority="5" dxfId="19" operator="greaterThan">
      <formula>0</formula>
    </cfRule>
  </conditionalFormatting>
  <conditionalFormatting sqref="V21:V24">
    <cfRule type="cellIs" priority="9" dxfId="19" operator="greaterThan">
      <formula>0</formula>
    </cfRule>
  </conditionalFormatting>
  <conditionalFormatting sqref="V29:V32">
    <cfRule type="cellIs" priority="13" dxfId="19" operator="greaterThan">
      <formula>0</formula>
    </cfRule>
  </conditionalFormatting>
  <conditionalFormatting sqref="V37:V40">
    <cfRule type="cellIs" priority="17" dxfId="19" operator="greaterThan">
      <formula>0</formula>
    </cfRule>
  </conditionalFormatting>
  <conditionalFormatting sqref="V45:V48">
    <cfRule type="cellIs" priority="21" dxfId="19" operator="greaterThan">
      <formula>0</formula>
    </cfRule>
  </conditionalFormatting>
  <pageMargins left="0.7" right="0.7" top="0.787401575" bottom="0.7874015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2:I22"/>
  <sheetViews>
    <sheetView showGridLines="0" showRowColHeaders="0" workbookViewId="0" topLeftCell="A1">
      <selection pane="topLeft" activeCell="J1" sqref="J1:XFD1048576"/>
    </sheetView>
  </sheetViews>
  <sheetFormatPr defaultColWidth="0" defaultRowHeight="14.5" zeroHeight="1"/>
  <cols>
    <col min="1" max="2" width="11.4285714285714" customWidth="1"/>
    <col min="3" max="3" width="17.1428571428571" customWidth="1"/>
    <col min="4" max="7" width="15.2857142857143" customWidth="1"/>
    <col min="8" max="9" width="11.4285714285714" customWidth="1"/>
    <col min="10" max="16384" width="11.4285714285714" hidden="1"/>
  </cols>
  <sheetData>
    <row r="1" ht="14.5"/>
    <row r="2" spans="1:9" ht="28.5">
      <c r="A2" s="867" t="str">
        <f>Language!$E$90</f>
        <v>Assignment of the group third in the round of 16</v>
      </c>
      <c r="B2" s="867"/>
      <c r="C2" s="867"/>
      <c r="D2" s="867"/>
      <c r="E2" s="867"/>
      <c r="F2" s="867"/>
      <c r="G2" s="867"/>
      <c r="H2" s="867"/>
      <c r="I2" s="867"/>
    </row>
    <row r="3" ht="14.5"/>
    <row r="4" spans="3:7" ht="15.5" thickBot="1">
      <c r="C4" s="242"/>
      <c r="D4" s="586" t="s">
        <v>570</v>
      </c>
      <c r="E4" s="586" t="s">
        <v>571</v>
      </c>
      <c r="F4" s="586" t="s">
        <v>572</v>
      </c>
      <c r="G4" s="586" t="s">
        <v>569</v>
      </c>
    </row>
    <row r="5" spans="3:7"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3:7" ht="15.5">
      <c r="C6" s="865"/>
      <c r="D6" s="248" t="s">
        <v>26</v>
      </c>
      <c r="E6" s="249" t="s">
        <v>27</v>
      </c>
      <c r="F6" s="249" t="s">
        <v>28</v>
      </c>
      <c r="G6" s="250" t="s">
        <v>29</v>
      </c>
    </row>
    <row r="7" spans="3:7"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3:7" ht="22.5" customHeight="1">
      <c r="C8" s="243" t="s">
        <v>573</v>
      </c>
      <c r="D8" s="254" t="s">
        <v>30</v>
      </c>
      <c r="E8" s="255" t="s">
        <v>31</v>
      </c>
      <c r="F8" s="255" t="s">
        <v>26</v>
      </c>
      <c r="G8" s="256" t="s">
        <v>27</v>
      </c>
    </row>
    <row r="9" spans="3:7" ht="22.5" customHeight="1">
      <c r="C9" s="243" t="s">
        <v>574</v>
      </c>
      <c r="D9" s="254" t="s">
        <v>30</v>
      </c>
      <c r="E9" s="255" t="s">
        <v>28</v>
      </c>
      <c r="F9" s="255" t="s">
        <v>26</v>
      </c>
      <c r="G9" s="256" t="s">
        <v>27</v>
      </c>
    </row>
    <row r="10" spans="3:7" ht="22.5" customHeight="1">
      <c r="C10" s="243" t="s">
        <v>575</v>
      </c>
      <c r="D10" s="254" t="s">
        <v>30</v>
      </c>
      <c r="E10" s="255" t="s">
        <v>29</v>
      </c>
      <c r="F10" s="255" t="s">
        <v>26</v>
      </c>
      <c r="G10" s="256" t="s">
        <v>27</v>
      </c>
    </row>
    <row r="11" spans="3:7" ht="22.5" customHeight="1">
      <c r="C11" s="243" t="s">
        <v>576</v>
      </c>
      <c r="D11" s="254" t="s">
        <v>31</v>
      </c>
      <c r="E11" s="255" t="s">
        <v>28</v>
      </c>
      <c r="F11" s="255" t="s">
        <v>30</v>
      </c>
      <c r="G11" s="256" t="s">
        <v>26</v>
      </c>
    </row>
    <row r="12" spans="3:7" ht="22.5" customHeight="1">
      <c r="C12" s="243" t="s">
        <v>577</v>
      </c>
      <c r="D12" s="254" t="s">
        <v>31</v>
      </c>
      <c r="E12" s="255" t="s">
        <v>29</v>
      </c>
      <c r="F12" s="255" t="s">
        <v>30</v>
      </c>
      <c r="G12" s="256" t="s">
        <v>26</v>
      </c>
    </row>
    <row r="13" spans="3:7" ht="22.5" customHeight="1">
      <c r="C13" s="243" t="s">
        <v>578</v>
      </c>
      <c r="D13" s="254" t="s">
        <v>28</v>
      </c>
      <c r="E13" s="255" t="s">
        <v>29</v>
      </c>
      <c r="F13" s="255" t="s">
        <v>26</v>
      </c>
      <c r="G13" s="256" t="s">
        <v>30</v>
      </c>
    </row>
    <row r="14" spans="3:7" ht="22.5" customHeight="1">
      <c r="C14" s="243" t="s">
        <v>579</v>
      </c>
      <c r="D14" s="254" t="s">
        <v>28</v>
      </c>
      <c r="E14" s="255" t="s">
        <v>31</v>
      </c>
      <c r="F14" s="255" t="s">
        <v>27</v>
      </c>
      <c r="G14" s="256" t="s">
        <v>30</v>
      </c>
    </row>
    <row r="15" spans="3:7" ht="22.5" customHeight="1">
      <c r="C15" s="243" t="s">
        <v>580</v>
      </c>
      <c r="D15" s="254" t="s">
        <v>29</v>
      </c>
      <c r="E15" s="255" t="s">
        <v>31</v>
      </c>
      <c r="F15" s="255" t="s">
        <v>27</v>
      </c>
      <c r="G15" s="256" t="s">
        <v>30</v>
      </c>
    </row>
    <row r="16" spans="3:7"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ht="15" thickTop="1"/>
    <row r="24" ht="14.5"/>
  </sheetData>
  <sheetProtection sheet="1" selectLockedCells="1"/>
  <mergeCells count="2">
    <mergeCell ref="C5:C7"/>
    <mergeCell ref="A2:I2"/>
  </mergeCells>
  <conditionalFormatting sqref="C8:G22">
    <cfRule type="expression" priority="1" dxfId="13">
      <formula>$C8=ThirdPlaced!$J$18</formula>
    </cfRule>
  </conditionalFormatting>
  <pageMargins left="0.7" right="0.7" top="0.787401575" bottom="0.787401575" header="0.3" footer="0.3"/>
  <pageSetup orientation="portrait" paperSize="9"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B1:R233"/>
  <sheetViews>
    <sheetView showGridLines="0" showRowColHeaders="0" workbookViewId="0" topLeftCell="A1">
      <selection pane="topLeft" activeCell="N1" sqref="N1"/>
    </sheetView>
  </sheetViews>
  <sheetFormatPr defaultColWidth="0" defaultRowHeight="14.5" zeroHeight="1"/>
  <cols>
    <col min="1" max="1" width="8" customWidth="1"/>
    <col min="2" max="2" width="19.2857142857143" hidden="1" customWidth="1"/>
    <col min="3" max="3" width="11.4285714285714" hidden="1" customWidth="1"/>
    <col min="4" max="4" width="7" customWidth="1"/>
    <col min="5" max="5" width="22.7142857142857" hidden="1" customWidth="1"/>
    <col min="6" max="15" width="22.7142857142857" customWidth="1"/>
    <col min="16" max="16" width="3.85714285714286" customWidth="1"/>
    <col min="17" max="17" width="17.7142857142857" customWidth="1"/>
    <col min="18" max="18" width="9.14285714285714" customWidth="1"/>
    <col min="19" max="16384" width="11.4285714285714" hidden="1"/>
  </cols>
  <sheetData>
    <row r="1" spans="2:16"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4:17" ht="11.25" customHeight="1" thickBot="1">
      <c r="D2" s="630">
        <v>45280</v>
      </c>
      <c r="F2" s="870"/>
      <c r="G2" s="870"/>
      <c r="H2" s="870"/>
      <c r="I2" s="870"/>
      <c r="J2" s="870"/>
      <c r="K2" s="552"/>
      <c r="L2" s="552"/>
      <c r="M2" s="552"/>
      <c r="N2" s="552"/>
      <c r="P2" s="112"/>
      <c r="Q2" s="113"/>
    </row>
    <row r="3" spans="2:16"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ht="14.5">
      <c r="B4" t="s">
        <v>1401</v>
      </c>
      <c r="C4" s="50">
        <f t="shared" si="0" ref="C4:C12">IF($N$1=B4,1,0)</f>
        <v>0</v>
      </c>
      <c r="D4" s="872"/>
      <c r="E4" s="875"/>
      <c r="F4" s="877"/>
      <c r="G4" s="874"/>
      <c r="H4" s="874"/>
      <c r="I4" s="874"/>
      <c r="J4" s="874"/>
      <c r="K4" s="874"/>
      <c r="L4" s="874"/>
      <c r="M4" s="874"/>
      <c r="N4" s="874"/>
      <c r="O4" s="869"/>
      <c r="P4" s="56"/>
      <c r="Q4" s="57"/>
    </row>
    <row r="5" spans="2:15" ht="14.5">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5" ht="14.5">
      <c r="B6" s="24" t="s">
        <v>964</v>
      </c>
      <c r="C6" s="50">
        <f t="shared" si="0"/>
        <v>0</v>
      </c>
      <c r="D6" s="163">
        <v>2</v>
      </c>
      <c r="E6" s="24" t="str">
        <f t="shared" si="1" ref="E6:E69">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5" ht="14.5">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5" ht="14.5">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5" ht="14.5">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5" ht="14.5">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5" ht="14.5">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5" ht="14.5">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4:15" ht="14.5">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4:15" ht="14.5">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4:15" ht="14.5">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4:15" ht="14.5">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ht="14.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ht="14.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ht="14.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ht="14.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ht="14.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ht="14.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ht="14.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ht="14.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ht="14.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ht="14.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ht="14.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ht="14.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ht="14.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ht="14.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ht="14.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ht="14.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ht="14.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ht="14.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ht="14.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ht="14.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ht="14.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ht="14.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ht="14.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ht="14.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ht="14.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ht="14.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ht="14.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ht="14.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ht="14.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ht="14.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ht="14.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ht="14.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ht="14.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ht="14.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ht="14.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ht="14.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ht="14.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ht="14.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ht="14.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ht="14.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ht="14.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ht="14.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ht="14.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ht="14.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ht="14.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ht="14.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5:15" ht="15.5" thickTop="1" thickBot="1">
      <c r="E64" s="24"/>
      <c r="F64" s="60"/>
      <c r="G64" s="60"/>
      <c r="H64" s="60"/>
      <c r="I64" s="60"/>
      <c r="J64" s="60"/>
      <c r="K64" s="60"/>
      <c r="L64" s="60"/>
      <c r="M64" s="60"/>
      <c r="N64" s="60"/>
      <c r="O64" s="60"/>
    </row>
    <row r="65" spans="4:15" ht="29.5" thickTop="1">
      <c r="D65" s="162" t="s">
        <v>361</v>
      </c>
      <c r="E65" s="24"/>
      <c r="F65" s="166" t="s">
        <v>108</v>
      </c>
      <c r="G65" s="167"/>
      <c r="H65" s="167"/>
      <c r="I65" s="167"/>
      <c r="J65" s="167"/>
      <c r="K65" s="167"/>
      <c r="L65" s="167"/>
      <c r="M65" s="167"/>
      <c r="N65" s="167"/>
      <c r="O65" s="168"/>
    </row>
    <row r="66" spans="4:15" ht="14.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ht="14.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ht="14.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ht="14.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ht="14.5">
      <c r="D70" s="137">
        <v>5</v>
      </c>
      <c r="E70" s="24" t="str">
        <f t="shared" si="2" ref="E70:E133">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ht="14.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ht="14.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ht="14.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ht="14.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ht="14.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ht="14.5">
      <c r="D76" s="137">
        <v>11</v>
      </c>
      <c r="E76" s="24">
        <f t="shared" si="2"/>
        <v>0</v>
      </c>
      <c r="F76" s="142"/>
      <c r="G76" s="143"/>
      <c r="H76" s="141"/>
      <c r="I76" s="144"/>
      <c r="J76" s="141"/>
      <c r="K76" s="553"/>
      <c r="L76" s="663"/>
      <c r="M76" s="144"/>
      <c r="N76" s="663"/>
      <c r="O76" s="90"/>
    </row>
    <row r="77" spans="4:15" ht="14.5">
      <c r="D77" s="137">
        <v>12</v>
      </c>
      <c r="E77" s="24">
        <f t="shared" si="2"/>
        <v>0</v>
      </c>
      <c r="F77" s="142"/>
      <c r="G77" s="143"/>
      <c r="H77" s="141"/>
      <c r="I77" s="144"/>
      <c r="J77" s="141"/>
      <c r="K77" s="553"/>
      <c r="L77" s="663"/>
      <c r="M77" s="144"/>
      <c r="N77" s="663"/>
      <c r="O77" s="90"/>
    </row>
    <row r="78" spans="4:15" ht="14.5">
      <c r="D78" s="137">
        <v>13</v>
      </c>
      <c r="E78" s="24">
        <f t="shared" si="2"/>
        <v>0</v>
      </c>
      <c r="F78" s="142"/>
      <c r="G78" s="143"/>
      <c r="H78" s="141"/>
      <c r="I78" s="144"/>
      <c r="J78" s="141"/>
      <c r="K78" s="553"/>
      <c r="L78" s="663"/>
      <c r="M78" s="144"/>
      <c r="N78" s="663"/>
      <c r="O78" s="90"/>
    </row>
    <row r="79" spans="4:15" ht="14.5">
      <c r="D79" s="137">
        <v>14</v>
      </c>
      <c r="E79" s="24">
        <f t="shared" si="2"/>
        <v>0</v>
      </c>
      <c r="F79" s="142"/>
      <c r="G79" s="143"/>
      <c r="H79" s="141"/>
      <c r="I79" s="144"/>
      <c r="J79" s="141"/>
      <c r="K79" s="553"/>
      <c r="L79" s="663"/>
      <c r="M79" s="144"/>
      <c r="N79" s="663"/>
      <c r="O79" s="90"/>
    </row>
    <row r="80" spans="4:15" ht="14.5">
      <c r="D80" s="137">
        <v>15</v>
      </c>
      <c r="E80" s="24">
        <f t="shared" si="2"/>
        <v>0</v>
      </c>
      <c r="F80" s="142"/>
      <c r="G80" s="143"/>
      <c r="H80" s="141"/>
      <c r="I80" s="144"/>
      <c r="J80" s="141"/>
      <c r="K80" s="553"/>
      <c r="L80" s="663"/>
      <c r="M80" s="144"/>
      <c r="N80" s="663"/>
      <c r="O80" s="90"/>
    </row>
    <row r="81" spans="4:15" ht="15" thickBot="1">
      <c r="D81" s="140">
        <v>16</v>
      </c>
      <c r="E81" s="24">
        <f t="shared" si="2"/>
        <v>0</v>
      </c>
      <c r="F81" s="145"/>
      <c r="G81" s="146"/>
      <c r="H81" s="147"/>
      <c r="I81" s="148"/>
      <c r="J81" s="147"/>
      <c r="K81" s="675"/>
      <c r="L81" s="664"/>
      <c r="M81" s="148"/>
      <c r="N81" s="664"/>
      <c r="O81" s="91"/>
    </row>
    <row r="82" spans="4:15" ht="15.5" thickTop="1" thickBot="1">
      <c r="D82" s="25"/>
      <c r="E82" s="24"/>
      <c r="F82" s="169"/>
      <c r="G82" s="169"/>
      <c r="H82" s="169"/>
      <c r="I82" s="169"/>
      <c r="J82" s="169"/>
      <c r="K82" s="169"/>
      <c r="L82" s="169"/>
      <c r="M82" s="169"/>
      <c r="N82" s="169"/>
      <c r="O82" s="169"/>
    </row>
    <row r="83" spans="5:15" ht="29" thickTop="1">
      <c r="E83" s="24"/>
      <c r="F83" s="92" t="s">
        <v>270</v>
      </c>
      <c r="G83" s="93"/>
      <c r="H83" s="93"/>
      <c r="I83" s="93"/>
      <c r="J83" s="93"/>
      <c r="K83" s="93"/>
      <c r="L83" s="93"/>
      <c r="M83" s="93"/>
      <c r="N83" s="93"/>
      <c r="O83" s="94"/>
    </row>
    <row r="84" spans="5:15" ht="29">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5:15" ht="29">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5:15" ht="29">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5:15" ht="29">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5:15" ht="14.5">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5:15" ht="14.5">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5:15"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5:15" ht="14.5">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5:15" ht="29">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5:15" ht="14.5">
      <c r="E93" s="24">
        <f t="shared" si="2"/>
        <v>0</v>
      </c>
      <c r="F93" s="503"/>
      <c r="G93" s="504"/>
      <c r="H93" s="505"/>
      <c r="I93" s="506"/>
      <c r="J93" s="505"/>
      <c r="K93" s="553"/>
      <c r="L93" s="663"/>
      <c r="M93" s="506"/>
      <c r="N93" s="665"/>
      <c r="O93" s="507"/>
    </row>
    <row r="94" spans="5:16" ht="28.5">
      <c r="E94" s="24"/>
      <c r="F94" s="555" t="s">
        <v>150</v>
      </c>
      <c r="G94" s="554"/>
      <c r="H94" s="554"/>
      <c r="I94" s="554"/>
      <c r="J94" s="554"/>
      <c r="K94" s="554"/>
      <c r="L94" s="554"/>
      <c r="M94" s="554"/>
      <c r="N94" s="554"/>
      <c r="O94" s="556"/>
      <c r="P94" s="58"/>
    </row>
    <row r="95" spans="5: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5: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5:16"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5:16"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5:16"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5:16"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5:16"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5:16"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5:16"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5:16"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5:16"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5:16"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5:16"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5:18" ht="14.5">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5:18" ht="29.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ht="14.5">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ht="14.5">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ht="14.5">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ht="14.5">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ht="14.5">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5" ht="14.5">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5"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5"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5" ht="14.5">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5" ht="14.5">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5"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5:15"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5:15" ht="14.5">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5:15" ht="14.5">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5:15" ht="14.5">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5:15" ht="14.5">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5:15" ht="29">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5:15" ht="14.5">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9">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ht="14.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9">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ht="14.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ht="14.5">
      <c r="E134" s="24" t="str">
        <f t="shared" si="3" ref="E134:E197">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ht="14.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ht="14.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ht="14.5">
      <c r="E165" s="24"/>
      <c r="F165" s="554"/>
      <c r="G165" s="554"/>
      <c r="H165" s="554"/>
      <c r="I165" s="554"/>
      <c r="J165" s="554"/>
      <c r="K165" s="554"/>
      <c r="L165" s="554"/>
      <c r="M165" s="554"/>
      <c r="N165" s="554"/>
      <c r="O165" s="554"/>
    </row>
    <row r="166" spans="5:15" ht="14.5">
      <c r="E166" s="24"/>
      <c r="F166" s="554"/>
      <c r="G166" s="554"/>
      <c r="H166" s="554"/>
      <c r="I166" s="554"/>
      <c r="J166" s="554"/>
      <c r="K166" s="554"/>
      <c r="L166" s="554"/>
      <c r="M166" s="554"/>
      <c r="N166" s="554"/>
      <c r="O166" s="554"/>
    </row>
    <row r="167" spans="5:15" ht="14.5">
      <c r="E167" s="24"/>
      <c r="F167" s="554"/>
      <c r="G167" s="554"/>
      <c r="H167" s="554"/>
      <c r="I167" s="554"/>
      <c r="J167" s="554"/>
      <c r="K167" s="554"/>
      <c r="L167" s="554"/>
      <c r="M167" s="554"/>
      <c r="N167" s="554"/>
      <c r="O167" s="554"/>
    </row>
    <row r="168" spans="5:15" ht="14.5">
      <c r="E168" s="24"/>
      <c r="F168" s="554"/>
      <c r="G168" s="554"/>
      <c r="H168" s="554"/>
      <c r="I168" s="554"/>
      <c r="J168" s="554"/>
      <c r="K168" s="554"/>
      <c r="L168" s="554"/>
      <c r="M168" s="554"/>
      <c r="N168" s="554"/>
      <c r="O168" s="554"/>
    </row>
    <row r="169" spans="5:15" ht="14.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 thickTop="1">
      <c r="E171" s="24"/>
      <c r="F171" s="565" t="s">
        <v>786</v>
      </c>
      <c r="G171" s="566"/>
      <c r="H171" s="566"/>
      <c r="I171" s="566"/>
      <c r="J171" s="566"/>
      <c r="K171" s="566"/>
      <c r="L171" s="566"/>
      <c r="M171" s="566"/>
      <c r="N171" s="566"/>
      <c r="O171" s="567"/>
    </row>
    <row r="172" spans="5:15" ht="14.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ht="14.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ht="14.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ht="14.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ht="14.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ht="14.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ht="14.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ht="14.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ht="14.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ht="14.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ht="14.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ht="14.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ht="14.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ht="14.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ht="14.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ht="14.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ht="14.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ht="14.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ht="14.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ht="14.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si="4" ref="E198:E233">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ht="14.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ht="14.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ht="14.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ht="14.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ht="14.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5">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46.5">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5" ht="15.5" thickTop="1" thickBot="1">
      <c r="E219" s="24"/>
    </row>
    <row r="220" spans="5:15" ht="29" thickTop="1">
      <c r="E220" s="24"/>
      <c r="F220" s="92" t="s">
        <v>1134</v>
      </c>
      <c r="G220" s="614"/>
      <c r="H220" s="614"/>
      <c r="I220" s="614"/>
      <c r="J220" s="614"/>
      <c r="K220" s="615"/>
      <c r="L220" s="614"/>
      <c r="M220" s="614"/>
      <c r="N220" s="614"/>
      <c r="O220" s="616"/>
    </row>
    <row r="221" spans="5:15" ht="14.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ht="14.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ht="14.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ht="14.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ht="14.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ht="14.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ht="14.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ht="14.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ht="14.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ht="14.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ht="14.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9">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ht="15" thickTop="1"/>
    <row r="235" ht="14.5"/>
    <row r="236" ht="14.5"/>
    <row r="237" ht="14.5"/>
    <row r="238" ht="14.5"/>
    <row r="239" ht="14.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priority="399" dxfId="19">
      <formula>#REF!</formula>
    </cfRule>
  </conditionalFormatting>
  <conditionalFormatting sqref="F3:F4">
    <cfRule type="expression" priority="15" dxfId="11">
      <formula>$C$3</formula>
    </cfRule>
  </conditionalFormatting>
  <conditionalFormatting sqref="G3:G4">
    <cfRule type="expression" priority="14" dxfId="11">
      <formula>$C$11</formula>
    </cfRule>
  </conditionalFormatting>
  <conditionalFormatting sqref="H3:H4">
    <cfRule type="expression" priority="400" dxfId="11">
      <formula>$C$9</formula>
    </cfRule>
  </conditionalFormatting>
  <conditionalFormatting sqref="I3:I4">
    <cfRule type="expression" priority="401" dxfId="11">
      <formula>$C$7</formula>
    </cfRule>
  </conditionalFormatting>
  <conditionalFormatting sqref="J3:J4">
    <cfRule type="expression" priority="402" dxfId="7">
      <formula>$C$8</formula>
    </cfRule>
  </conditionalFormatting>
  <conditionalFormatting sqref="K3:K4">
    <cfRule type="expression" priority="4" dxfId="7">
      <formula>$C$6</formula>
    </cfRule>
  </conditionalFormatting>
  <conditionalFormatting sqref="L3:L4">
    <cfRule type="expression" priority="1" dxfId="5">
      <formula>$C$5</formula>
    </cfRule>
  </conditionalFormatting>
  <conditionalFormatting sqref="M3:M4">
    <cfRule type="expression" priority="3" dxfId="5">
      <formula>$C$10</formula>
    </cfRule>
  </conditionalFormatting>
  <conditionalFormatting sqref="N3:N4">
    <cfRule type="expression" priority="2" dxfId="5">
      <formula>$C$4</formula>
    </cfRule>
  </conditionalFormatting>
  <conditionalFormatting sqref="O3:O4">
    <cfRule type="expression" priority="403" dxfId="7">
      <formula>$C$12</formula>
    </cfRule>
  </conditionalFormatting>
  <dataValidations count="3">
    <dataValidation type="whole" allowBlank="1" showInputMessage="1" showErrorMessage="1" sqref="Q2">
      <formula1>1</formula1>
      <formula2>5</formula2>
    </dataValidation>
    <dataValidation allowBlank="1" showErrorMessage="1" promptTitle="Language" prompt="Please choose a language for the country names" errorTitle="Language" error="Invalid language" sqref="P3"/>
    <dataValidation type="list" allowBlank="1" showErrorMessage="1" errorTitle="Language" error="Invalid language" sqref="N1">
      <formula1>$B$3:$B$12</formula1>
    </dataValidation>
  </dataValidations>
  <pageMargins left="0.7" right="0.7" top="0.787401575" bottom="0.787401575" header="0.3" footer="0.3"/>
  <pageSetup orientation="portrait" paperSize="9"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topLeftCell="A1">
      <selection pane="topLeft" activeCell="H1" sqref="H1"/>
    </sheetView>
  </sheetViews>
  <sheetFormatPr defaultColWidth="0" defaultRowHeight="14.5" zeroHeight="1"/>
  <cols>
    <col min="1" max="1" width="28" customWidth="1"/>
    <col min="2" max="2" width="11.4285714285714" hidden="1" customWidth="1"/>
    <col min="3" max="3" width="11.4285714285714" customWidth="1"/>
    <col min="4" max="4" width="13.1428571428571" customWidth="1"/>
    <col min="5" max="5" width="5.14285714285714" hidden="1" customWidth="1"/>
    <col min="6" max="6" width="11.4285714285714" customWidth="1"/>
    <col min="7" max="7" width="20.4285714285714" customWidth="1"/>
    <col min="8" max="8" width="15.5714285714286" customWidth="1"/>
    <col min="9" max="9" width="17" customWidth="1"/>
    <col min="10" max="10" width="20.2857142857143" customWidth="1"/>
    <col min="11" max="11" width="25.8571428571429" hidden="1" customWidth="1"/>
    <col min="12" max="12" width="15.8571428571429" hidden="1" customWidth="1"/>
    <col min="13" max="13" width="16.5714285714286" hidden="1" customWidth="1"/>
    <col min="14" max="14" width="16.8571428571429" hidden="1" customWidth="1"/>
    <col min="15" max="16384" width="11.4285714285714" hidden="1"/>
  </cols>
  <sheetData>
    <row r="1" spans="1:9" ht="36.75" customHeight="1" thickBot="1">
      <c r="A1" s="867" t="str">
        <f>Language!$E$87</f>
        <v>Choose time zone</v>
      </c>
      <c r="B1" s="867"/>
      <c r="C1" s="867"/>
      <c r="D1" s="867"/>
      <c r="E1" s="867"/>
      <c r="F1" s="867"/>
      <c r="G1" s="319" t="str">
        <f>Language!$E$143</f>
        <v>Click here and
choose time zone:</v>
      </c>
      <c r="H1" s="59" t="s">
        <v>148</v>
      </c>
      <c r="I1" s="371" t="s">
        <v>1229</v>
      </c>
    </row>
    <row r="2" ht="14.5"/>
    <row r="3" spans="3:4" ht="14.5">
      <c r="C3" s="36"/>
      <c r="D3" s="5"/>
    </row>
    <row r="4" spans="2:10" ht="15" thickBot="1">
      <c r="B4" s="153">
        <v>-12</v>
      </c>
      <c r="C4" s="184" t="s">
        <v>136</v>
      </c>
      <c r="D4" s="185" t="s">
        <v>111</v>
      </c>
      <c r="E4">
        <f>$B4/24</f>
        <v>-0.50</v>
      </c>
      <c r="F4" s="154"/>
      <c r="G4" s="881" t="str">
        <f>Language!$E$147</f>
        <v>For daylight saving time, the time zone must be adjusted accordingly (e.g. UTC+2 instead of UTC+1)</v>
      </c>
      <c r="H4" s="881"/>
      <c r="I4" s="881"/>
      <c r="J4" s="156"/>
    </row>
    <row r="5" spans="2:14" ht="15" customHeight="1">
      <c r="B5" s="153">
        <v>-11</v>
      </c>
      <c r="C5" s="184" t="s">
        <v>137</v>
      </c>
      <c r="D5" s="185"/>
      <c r="E5">
        <f t="shared" si="0" ref="E5:E39">$B5/24</f>
        <v>-0.45833333333333331</v>
      </c>
      <c r="G5" s="881"/>
      <c r="H5" s="881"/>
      <c r="I5" s="881"/>
      <c r="J5" s="87"/>
      <c r="K5" s="878" t="str">
        <f>Language!$E$144</f>
        <v>Time zone of
the host country:</v>
      </c>
      <c r="L5" s="879" t="s">
        <v>148</v>
      </c>
      <c r="M5" s="60"/>
      <c r="N5" s="60"/>
    </row>
    <row r="6" spans="2:14" ht="15" thickBot="1">
      <c r="B6" s="153">
        <v>-10</v>
      </c>
      <c r="C6" s="184" t="s">
        <v>138</v>
      </c>
      <c r="D6" s="185" t="s">
        <v>112</v>
      </c>
      <c r="E6">
        <f t="shared" si="0"/>
        <v>-0.41666666666666669</v>
      </c>
      <c r="G6" s="881"/>
      <c r="H6" s="881"/>
      <c r="I6" s="881"/>
      <c r="J6" s="87"/>
      <c r="K6" s="878"/>
      <c r="L6" s="880"/>
      <c r="M6" s="60"/>
      <c r="N6" s="60"/>
    </row>
    <row r="7" spans="2:14" ht="14.5">
      <c r="B7" s="153">
        <v>-9</v>
      </c>
      <c r="C7" s="184" t="s">
        <v>139</v>
      </c>
      <c r="D7" s="185" t="s">
        <v>113</v>
      </c>
      <c r="E7">
        <f t="shared" si="0"/>
        <v>-0.375</v>
      </c>
      <c r="G7" s="158"/>
      <c r="I7" s="153"/>
      <c r="J7" s="87"/>
      <c r="K7" s="87"/>
      <c r="L7" s="60"/>
      <c r="M7" s="60"/>
      <c r="N7" s="60"/>
    </row>
    <row r="8" spans="2:14" ht="14.5">
      <c r="B8" s="153">
        <v>-8</v>
      </c>
      <c r="C8" s="184" t="s">
        <v>140</v>
      </c>
      <c r="D8" s="185" t="s">
        <v>114</v>
      </c>
      <c r="E8">
        <f t="shared" si="0"/>
        <v>-0.33333333333333331</v>
      </c>
      <c r="I8" s="153"/>
      <c r="J8" s="87"/>
      <c r="K8" s="87"/>
      <c r="L8" s="60"/>
      <c r="M8" s="60"/>
      <c r="N8" s="60"/>
    </row>
    <row r="9" spans="2:14" ht="14.5">
      <c r="B9" s="153">
        <v>-7</v>
      </c>
      <c r="C9" s="184" t="s">
        <v>141</v>
      </c>
      <c r="D9" s="185" t="s">
        <v>115</v>
      </c>
      <c r="E9">
        <f t="shared" si="0"/>
        <v>-0.29166666666666669</v>
      </c>
      <c r="I9" s="153"/>
      <c r="J9" s="87"/>
      <c r="K9" s="87"/>
      <c r="L9" s="60"/>
      <c r="M9" s="60"/>
      <c r="N9" s="60"/>
    </row>
    <row r="10" spans="2:14" ht="15" customHeight="1">
      <c r="B10" s="153">
        <v>-6</v>
      </c>
      <c r="C10" s="184" t="s">
        <v>142</v>
      </c>
      <c r="D10" s="185" t="s">
        <v>116</v>
      </c>
      <c r="E10">
        <f t="shared" si="0"/>
        <v>-0.25</v>
      </c>
      <c r="J10" s="87"/>
      <c r="K10" s="87"/>
      <c r="L10" s="60"/>
      <c r="M10" s="60"/>
      <c r="N10" s="60"/>
    </row>
    <row r="11" spans="2:14" ht="14.5">
      <c r="B11" s="153">
        <v>-5</v>
      </c>
      <c r="C11" s="184" t="s">
        <v>143</v>
      </c>
      <c r="D11" s="185" t="s">
        <v>117</v>
      </c>
      <c r="E11">
        <f t="shared" si="0"/>
        <v>-0.20833333333333334</v>
      </c>
      <c r="J11" s="153"/>
      <c r="K11" s="87"/>
      <c r="L11" s="60"/>
      <c r="M11" s="60"/>
      <c r="N11" s="60"/>
    </row>
    <row r="12" spans="2:14" ht="14.5">
      <c r="B12" s="153">
        <v>-4</v>
      </c>
      <c r="C12" s="184" t="s">
        <v>144</v>
      </c>
      <c r="D12" s="185" t="s">
        <v>118</v>
      </c>
      <c r="E12">
        <f t="shared" si="0"/>
        <v>-0.16666666666666666</v>
      </c>
      <c r="J12" s="87"/>
      <c r="K12" s="87"/>
      <c r="L12" s="60"/>
      <c r="M12" s="60"/>
      <c r="N12" s="60"/>
    </row>
    <row r="13" spans="2:14" ht="14.5">
      <c r="B13" s="153">
        <v>-3.50</v>
      </c>
      <c r="C13" s="184" t="s">
        <v>135</v>
      </c>
      <c r="D13" s="185" t="s">
        <v>119</v>
      </c>
      <c r="E13">
        <f t="shared" si="0"/>
        <v>-0.14583333333333334</v>
      </c>
      <c r="I13" s="153"/>
      <c r="J13" s="87"/>
      <c r="K13" s="87"/>
      <c r="L13" s="60"/>
      <c r="M13" s="60"/>
      <c r="N13" s="60"/>
    </row>
    <row r="14" spans="2:14" ht="14.5">
      <c r="B14" s="153">
        <v>-3</v>
      </c>
      <c r="C14" s="184" t="s">
        <v>145</v>
      </c>
      <c r="D14" s="185"/>
      <c r="E14">
        <f t="shared" si="0"/>
        <v>-0.125</v>
      </c>
      <c r="I14" s="153"/>
      <c r="J14" s="87"/>
      <c r="K14" s="87"/>
      <c r="L14" s="60"/>
      <c r="M14" s="60"/>
      <c r="N14" s="60"/>
    </row>
    <row r="15" spans="2:14" ht="14.5">
      <c r="B15" s="153">
        <v>-2</v>
      </c>
      <c r="C15" s="184" t="s">
        <v>146</v>
      </c>
      <c r="D15" s="185"/>
      <c r="E15">
        <f t="shared" si="0"/>
        <v>-0.083333333333333329</v>
      </c>
      <c r="I15" s="153"/>
      <c r="J15" s="87"/>
      <c r="K15" s="87"/>
      <c r="L15" s="60"/>
      <c r="M15" s="60"/>
      <c r="N15" s="60"/>
    </row>
    <row r="16" spans="2:14" ht="14.5">
      <c r="B16" s="153">
        <v>-1</v>
      </c>
      <c r="C16" s="184" t="s">
        <v>147</v>
      </c>
      <c r="D16" s="185"/>
      <c r="E16">
        <f t="shared" si="0"/>
        <v>-0.041666666666666664</v>
      </c>
      <c r="I16" s="153"/>
      <c r="J16" s="87"/>
      <c r="K16" s="87"/>
      <c r="L16" s="60"/>
      <c r="M16" s="60"/>
      <c r="N16" s="60"/>
    </row>
    <row r="17" spans="2:14" ht="14.5">
      <c r="B17" s="153">
        <v>0</v>
      </c>
      <c r="C17" s="184" t="s">
        <v>130</v>
      </c>
      <c r="D17" s="185" t="s">
        <v>120</v>
      </c>
      <c r="E17">
        <f t="shared" si="0"/>
        <v>0</v>
      </c>
      <c r="I17" s="153"/>
      <c r="J17" s="87"/>
      <c r="K17" s="87"/>
      <c r="L17" s="60"/>
      <c r="M17" s="60"/>
      <c r="N17" s="60"/>
    </row>
    <row r="18" spans="2:14" ht="14.5">
      <c r="B18" s="153">
        <v>1</v>
      </c>
      <c r="C18" s="184" t="s">
        <v>134</v>
      </c>
      <c r="D18" s="185" t="s">
        <v>121</v>
      </c>
      <c r="E18">
        <f t="shared" si="0"/>
        <v>0.041666666666666664</v>
      </c>
      <c r="I18" s="155"/>
      <c r="J18" s="153"/>
      <c r="K18" s="87"/>
      <c r="L18" s="60"/>
      <c r="M18" s="60"/>
      <c r="N18" s="60"/>
    </row>
    <row r="19" spans="2:14" ht="14.5">
      <c r="B19" s="153">
        <v>2</v>
      </c>
      <c r="C19" s="184" t="s">
        <v>148</v>
      </c>
      <c r="D19" s="185" t="s">
        <v>629</v>
      </c>
      <c r="E19">
        <f t="shared" si="0"/>
        <v>0.083333333333333329</v>
      </c>
      <c r="I19" s="153"/>
      <c r="J19" s="87"/>
      <c r="K19" s="87"/>
      <c r="L19" s="60"/>
      <c r="M19" s="60"/>
      <c r="N19" s="60"/>
    </row>
    <row r="20" spans="2:14" ht="14.5">
      <c r="B20" s="153">
        <v>3</v>
      </c>
      <c r="C20" s="184" t="s">
        <v>149</v>
      </c>
      <c r="D20" s="185" t="s">
        <v>122</v>
      </c>
      <c r="E20">
        <f t="shared" si="0"/>
        <v>0.125</v>
      </c>
      <c r="I20" s="153"/>
      <c r="J20" s="87"/>
      <c r="K20" s="87"/>
      <c r="L20" s="60"/>
      <c r="M20" s="60"/>
      <c r="N20" s="60"/>
    </row>
    <row r="21" spans="2:14" ht="14.5">
      <c r="B21" s="153">
        <v>3.50</v>
      </c>
      <c r="C21" s="184" t="s">
        <v>1095</v>
      </c>
      <c r="D21" s="185" t="s">
        <v>129</v>
      </c>
      <c r="E21">
        <f t="shared" si="0"/>
        <v>0.14583333333333334</v>
      </c>
      <c r="I21" s="153"/>
      <c r="J21" s="87"/>
      <c r="K21" s="87"/>
      <c r="L21" s="60"/>
      <c r="M21" s="60"/>
      <c r="N21" s="60"/>
    </row>
    <row r="22" spans="2:14" ht="14.5">
      <c r="B22" s="153">
        <v>4</v>
      </c>
      <c r="C22" s="184" t="s">
        <v>1096</v>
      </c>
      <c r="D22" s="185"/>
      <c r="E22">
        <f t="shared" si="0"/>
        <v>0.16666666666666666</v>
      </c>
      <c r="I22" s="153"/>
      <c r="J22" s="87"/>
      <c r="K22" s="87"/>
      <c r="L22" s="60"/>
      <c r="M22" s="60"/>
      <c r="N22" s="60"/>
    </row>
    <row r="23" spans="2:14" ht="14.5">
      <c r="B23" s="153">
        <v>4.50</v>
      </c>
      <c r="C23" s="184" t="s">
        <v>1097</v>
      </c>
      <c r="D23" s="185"/>
      <c r="E23">
        <f t="shared" si="0"/>
        <v>0.1875</v>
      </c>
      <c r="I23" s="153"/>
      <c r="J23" s="87"/>
      <c r="K23" s="87"/>
      <c r="L23" s="60"/>
      <c r="M23" s="60"/>
      <c r="N23" s="60"/>
    </row>
    <row r="24" spans="2:14" ht="14.5">
      <c r="B24" s="153">
        <v>5</v>
      </c>
      <c r="C24" s="184" t="s">
        <v>1098</v>
      </c>
      <c r="D24" s="185"/>
      <c r="E24">
        <f t="shared" si="0"/>
        <v>0.20833333333333334</v>
      </c>
      <c r="I24" s="153"/>
      <c r="J24" s="87"/>
      <c r="K24" s="87"/>
      <c r="L24" s="60"/>
      <c r="M24" s="60"/>
      <c r="N24" s="60"/>
    </row>
    <row r="25" spans="2:14" ht="14.5">
      <c r="B25" s="153">
        <v>5.50</v>
      </c>
      <c r="C25" s="184" t="s">
        <v>1099</v>
      </c>
      <c r="D25" s="185" t="s">
        <v>128</v>
      </c>
      <c r="E25">
        <f t="shared" si="0"/>
        <v>0.22916666666666666</v>
      </c>
      <c r="I25" s="155"/>
      <c r="J25" s="153"/>
      <c r="K25" s="87"/>
      <c r="L25" s="60"/>
      <c r="M25" s="60"/>
      <c r="N25" s="60"/>
    </row>
    <row r="26" spans="2:14" ht="14.5">
      <c r="B26" s="153">
        <v>5.75</v>
      </c>
      <c r="C26" s="184" t="s">
        <v>1100</v>
      </c>
      <c r="D26" s="185"/>
      <c r="E26">
        <f t="shared" si="0"/>
        <v>0.23958333333333334</v>
      </c>
      <c r="I26" s="153"/>
      <c r="J26" s="87"/>
      <c r="K26" s="87"/>
      <c r="L26" s="60"/>
      <c r="M26" s="60"/>
      <c r="N26" s="60"/>
    </row>
    <row r="27" spans="2:14" ht="14.5">
      <c r="B27" s="153">
        <v>6</v>
      </c>
      <c r="C27" s="184" t="s">
        <v>1101</v>
      </c>
      <c r="D27" s="185"/>
      <c r="E27">
        <f t="shared" si="0"/>
        <v>0.25</v>
      </c>
      <c r="I27" s="153"/>
      <c r="J27" s="87"/>
      <c r="K27" s="87"/>
      <c r="L27" s="60"/>
      <c r="M27" s="60"/>
      <c r="N27" s="60"/>
    </row>
    <row r="28" spans="2:14" ht="14.5">
      <c r="B28" s="153">
        <v>6.50</v>
      </c>
      <c r="C28" s="184" t="s">
        <v>1102</v>
      </c>
      <c r="D28" s="185"/>
      <c r="E28">
        <f t="shared" si="0"/>
        <v>0.27083333333333331</v>
      </c>
      <c r="I28" s="153"/>
      <c r="J28" s="87"/>
      <c r="K28" s="87"/>
      <c r="L28" s="60"/>
      <c r="M28" s="60"/>
      <c r="N28" s="60"/>
    </row>
    <row r="29" spans="2:14" ht="14.5">
      <c r="B29" s="153">
        <v>7</v>
      </c>
      <c r="C29" s="184" t="s">
        <v>1103</v>
      </c>
      <c r="D29" s="185" t="s">
        <v>123</v>
      </c>
      <c r="E29">
        <f t="shared" si="0"/>
        <v>0.29166666666666669</v>
      </c>
      <c r="I29" s="153"/>
      <c r="J29" s="87"/>
      <c r="K29" s="87"/>
      <c r="L29" s="60"/>
      <c r="M29" s="60"/>
      <c r="N29" s="60"/>
    </row>
    <row r="30" spans="2:14" ht="14.5">
      <c r="B30" s="153">
        <v>8</v>
      </c>
      <c r="C30" s="184" t="s">
        <v>1104</v>
      </c>
      <c r="D30" s="185" t="s">
        <v>124</v>
      </c>
      <c r="E30">
        <f t="shared" si="0"/>
        <v>0.33333333333333331</v>
      </c>
      <c r="I30" s="153"/>
      <c r="J30" s="87"/>
      <c r="K30" s="87"/>
      <c r="L30" s="60"/>
      <c r="M30" s="60"/>
      <c r="N30" s="60"/>
    </row>
    <row r="31" spans="2:14" ht="14.5">
      <c r="B31" s="153">
        <v>9</v>
      </c>
      <c r="C31" s="184" t="s">
        <v>1105</v>
      </c>
      <c r="D31" s="185" t="s">
        <v>125</v>
      </c>
      <c r="E31">
        <f t="shared" si="0"/>
        <v>0.375</v>
      </c>
      <c r="I31" s="153"/>
      <c r="J31" s="87"/>
      <c r="K31" s="87"/>
      <c r="L31" s="60"/>
      <c r="M31" s="60"/>
      <c r="N31" s="60"/>
    </row>
    <row r="32" spans="2:14" ht="14.5">
      <c r="B32" s="153">
        <v>9.50</v>
      </c>
      <c r="C32" s="184" t="s">
        <v>1106</v>
      </c>
      <c r="D32" s="185" t="s">
        <v>127</v>
      </c>
      <c r="E32">
        <f t="shared" si="0"/>
        <v>0.39583333333333331</v>
      </c>
      <c r="I32" s="155"/>
      <c r="J32" s="153"/>
      <c r="K32" s="87"/>
      <c r="L32" s="60"/>
      <c r="M32" s="60"/>
      <c r="N32" s="60"/>
    </row>
    <row r="33" spans="2:14" ht="14.5">
      <c r="B33" s="153">
        <v>10</v>
      </c>
      <c r="C33" s="184" t="s">
        <v>1107</v>
      </c>
      <c r="D33" s="185"/>
      <c r="E33">
        <f t="shared" si="0"/>
        <v>0.41666666666666669</v>
      </c>
      <c r="I33" s="153"/>
      <c r="J33" s="87"/>
      <c r="K33" s="87"/>
      <c r="L33" s="60"/>
      <c r="M33" s="60"/>
      <c r="N33" s="60"/>
    </row>
    <row r="34" spans="2:14" ht="14.5">
      <c r="B34" s="153">
        <v>10.50</v>
      </c>
      <c r="C34" s="184" t="s">
        <v>1108</v>
      </c>
      <c r="D34" s="185"/>
      <c r="E34">
        <f t="shared" si="0"/>
        <v>0.4375</v>
      </c>
      <c r="I34" s="153"/>
      <c r="J34" s="87"/>
      <c r="K34" s="87"/>
      <c r="L34" s="60"/>
      <c r="M34" s="60"/>
      <c r="N34" s="60"/>
    </row>
    <row r="35" spans="2:14" ht="14.5">
      <c r="B35" s="153">
        <v>11</v>
      </c>
      <c r="C35" s="184" t="s">
        <v>1109</v>
      </c>
      <c r="D35" s="185"/>
      <c r="E35">
        <f t="shared" si="0"/>
        <v>0.45833333333333331</v>
      </c>
      <c r="I35" s="153"/>
      <c r="J35" s="87"/>
      <c r="K35" s="87"/>
      <c r="L35" s="60"/>
      <c r="M35" s="60"/>
      <c r="N35" s="60"/>
    </row>
    <row r="36" spans="2:14" ht="14.5">
      <c r="B36" s="153">
        <v>12</v>
      </c>
      <c r="C36" s="184" t="s">
        <v>1110</v>
      </c>
      <c r="D36" s="185" t="s">
        <v>126</v>
      </c>
      <c r="E36">
        <f t="shared" si="0"/>
        <v>0.50</v>
      </c>
      <c r="I36" s="153"/>
      <c r="J36" s="87"/>
      <c r="K36" s="87"/>
      <c r="L36" s="60"/>
      <c r="M36" s="60"/>
      <c r="N36" s="60"/>
    </row>
    <row r="37" spans="2:14" ht="14.5">
      <c r="B37" s="153">
        <v>12.75</v>
      </c>
      <c r="C37" s="184" t="s">
        <v>1111</v>
      </c>
      <c r="D37" s="185"/>
      <c r="E37">
        <f t="shared" si="0"/>
        <v>0.53125</v>
      </c>
      <c r="I37" s="153"/>
      <c r="J37" s="87"/>
      <c r="K37" s="87"/>
      <c r="L37" s="60"/>
      <c r="M37" s="60"/>
      <c r="N37" s="60"/>
    </row>
    <row r="38" spans="2:14" ht="14.5">
      <c r="B38" s="153">
        <v>13</v>
      </c>
      <c r="C38" s="184" t="s">
        <v>1112</v>
      </c>
      <c r="D38" s="185"/>
      <c r="E38">
        <f t="shared" si="0"/>
        <v>0.54166666666666663</v>
      </c>
      <c r="I38" s="153"/>
      <c r="J38" s="87"/>
      <c r="K38" s="87"/>
      <c r="L38" s="60"/>
      <c r="M38" s="60"/>
      <c r="N38" s="60"/>
    </row>
    <row r="39" spans="2:14" ht="14.5">
      <c r="B39" s="153">
        <v>14</v>
      </c>
      <c r="C39" s="184" t="s">
        <v>1113</v>
      </c>
      <c r="D39" s="185"/>
      <c r="E39">
        <f t="shared" si="0"/>
        <v>0.58333333333333337</v>
      </c>
      <c r="I39" s="155"/>
      <c r="J39" s="87"/>
      <c r="K39" s="87"/>
      <c r="L39" s="60"/>
      <c r="M39" s="60"/>
      <c r="N39" s="60"/>
    </row>
    <row r="40" spans="9:14" ht="14.5">
      <c r="I40" s="153"/>
      <c r="J40" s="87"/>
      <c r="K40" s="87"/>
      <c r="L40" s="60"/>
      <c r="M40" s="60"/>
      <c r="N40" s="60"/>
    </row>
    <row r="41" spans="9:14" ht="14.5">
      <c r="I41" s="153"/>
      <c r="J41" s="87"/>
      <c r="K41" s="87"/>
      <c r="L41" s="60"/>
      <c r="M41" s="60"/>
      <c r="N41" s="60"/>
    </row>
    <row r="42" spans="9:14" ht="14.5" hidden="1">
      <c r="I42" s="153"/>
      <c r="J42" s="87"/>
      <c r="K42" s="87"/>
      <c r="L42" s="60"/>
      <c r="M42" s="60"/>
      <c r="N42" s="60"/>
    </row>
    <row r="43" spans="9:14" ht="14.5" hidden="1">
      <c r="I43" s="153"/>
      <c r="J43" s="87"/>
      <c r="K43" s="87"/>
      <c r="L43" s="60"/>
      <c r="M43" s="60"/>
      <c r="N43" s="60"/>
    </row>
    <row r="44" spans="9:14" ht="14.5" hidden="1">
      <c r="I44" s="153"/>
      <c r="J44" s="87"/>
      <c r="K44" s="87"/>
      <c r="L44" s="60"/>
      <c r="M44" s="60"/>
      <c r="N44" s="60"/>
    </row>
    <row r="45" spans="9:14" ht="14.5" hidden="1">
      <c r="I45" s="153"/>
      <c r="J45" s="87"/>
      <c r="K45" s="87"/>
      <c r="L45" s="60"/>
      <c r="M45" s="60"/>
      <c r="N45" s="60"/>
    </row>
    <row r="46" spans="9:14" ht="14.5" hidden="1">
      <c r="I46" s="155"/>
      <c r="J46" s="153"/>
      <c r="K46" s="87"/>
      <c r="L46" s="60"/>
      <c r="M46" s="60"/>
      <c r="N46" s="60"/>
    </row>
    <row r="47" spans="9:14" ht="14.5" hidden="1">
      <c r="I47" s="153"/>
      <c r="J47" s="87"/>
      <c r="K47" s="87"/>
      <c r="L47" s="60"/>
      <c r="M47" s="60"/>
      <c r="N47" s="60"/>
    </row>
    <row r="48" spans="9:14" ht="14.5" hidden="1">
      <c r="I48" s="153"/>
      <c r="J48" s="87"/>
      <c r="K48" s="87"/>
      <c r="L48" s="60"/>
      <c r="M48" s="60"/>
      <c r="N48" s="60"/>
    </row>
    <row r="49" spans="9:14" ht="14.5" hidden="1">
      <c r="I49" s="153"/>
      <c r="J49" s="87"/>
      <c r="K49" s="87"/>
      <c r="L49" s="60"/>
      <c r="M49" s="60"/>
      <c r="N49" s="60"/>
    </row>
    <row r="50" spans="9:14" ht="14.5" hidden="1">
      <c r="I50" s="153"/>
      <c r="J50" s="87"/>
      <c r="K50" s="87"/>
      <c r="L50" s="60"/>
      <c r="M50" s="60"/>
      <c r="N50" s="60"/>
    </row>
    <row r="51" spans="9:14" ht="14.5" hidden="1">
      <c r="I51" s="153"/>
      <c r="J51" s="87"/>
      <c r="K51" s="87"/>
      <c r="L51" s="60"/>
      <c r="M51" s="60"/>
      <c r="N51" s="60"/>
    </row>
    <row r="52" spans="9:14" ht="14.5" hidden="1">
      <c r="I52" s="153"/>
      <c r="J52" s="87"/>
      <c r="K52" s="87"/>
      <c r="L52" s="60"/>
      <c r="M52" s="60"/>
      <c r="N52" s="60"/>
    </row>
    <row r="53" spans="9:14" ht="14.5" hidden="1">
      <c r="I53" s="155"/>
      <c r="J53" s="153"/>
      <c r="K53" s="87"/>
      <c r="L53" s="60"/>
      <c r="M53" s="60"/>
      <c r="N53" s="60"/>
    </row>
    <row r="54" spans="9:14" ht="14.5" hidden="1">
      <c r="I54" s="153"/>
      <c r="J54" s="87"/>
      <c r="K54" s="87"/>
      <c r="L54" s="60"/>
      <c r="M54" s="60"/>
      <c r="N54" s="60"/>
    </row>
    <row r="55" spans="9:14" ht="14.5" hidden="1">
      <c r="I55" s="153"/>
      <c r="J55" s="87"/>
      <c r="K55" s="87"/>
      <c r="L55" s="60"/>
      <c r="M55" s="60"/>
      <c r="N55" s="60"/>
    </row>
    <row r="56" spans="9:14" ht="14.5" hidden="1">
      <c r="I56" s="153"/>
      <c r="J56" s="87"/>
      <c r="K56" s="87"/>
      <c r="L56" s="60"/>
      <c r="M56" s="60"/>
      <c r="N56" s="60"/>
    </row>
    <row r="57" spans="9:14" ht="14.5" hidden="1">
      <c r="I57" s="153"/>
      <c r="J57" s="87"/>
      <c r="K57" s="87"/>
      <c r="L57" s="60"/>
      <c r="M57" s="60"/>
      <c r="N57" s="60"/>
    </row>
    <row r="58" spans="9:14" ht="14.5" hidden="1">
      <c r="I58" s="153"/>
      <c r="J58" s="87"/>
      <c r="K58" s="87"/>
      <c r="L58" s="60"/>
      <c r="M58" s="60"/>
      <c r="N58" s="60"/>
    </row>
    <row r="59" spans="9:14" ht="14.5" hidden="1">
      <c r="I59" s="153"/>
      <c r="J59" s="87"/>
      <c r="K59" s="87"/>
      <c r="L59" s="60"/>
      <c r="M59" s="60"/>
      <c r="N59" s="60"/>
    </row>
    <row r="60" spans="9:14" ht="14.5" hidden="1">
      <c r="I60" s="108"/>
      <c r="J60" s="153"/>
      <c r="K60" s="87"/>
      <c r="L60" s="60"/>
      <c r="M60" s="60"/>
      <c r="N60" s="60"/>
    </row>
    <row r="61" spans="9:14" ht="14.5" hidden="1">
      <c r="I61" s="153"/>
      <c r="J61" s="87"/>
      <c r="K61" s="87"/>
      <c r="L61" s="60"/>
      <c r="M61" s="60"/>
      <c r="N61" s="60"/>
    </row>
    <row r="62" spans="9:14" ht="14.5" hidden="1">
      <c r="I62" s="153"/>
      <c r="J62" s="87"/>
      <c r="K62" s="87"/>
      <c r="L62" s="60"/>
      <c r="M62" s="60"/>
      <c r="N62" s="60"/>
    </row>
    <row r="63" spans="9:14" ht="14.5" hidden="1">
      <c r="I63" s="153"/>
      <c r="J63" s="87"/>
      <c r="K63" s="87"/>
      <c r="L63" s="60"/>
      <c r="M63" s="60"/>
      <c r="N63" s="60"/>
    </row>
    <row r="64" spans="9:14" ht="14.5" hidden="1">
      <c r="I64" s="153"/>
      <c r="J64" s="87"/>
      <c r="K64" s="87"/>
      <c r="L64" s="60"/>
      <c r="M64" s="60"/>
      <c r="N64" s="60"/>
    </row>
    <row r="65" spans="9:14" ht="14.5" hidden="1">
      <c r="I65" s="153"/>
      <c r="J65" s="87"/>
      <c r="K65" s="87"/>
      <c r="L65" s="60"/>
      <c r="M65" s="60"/>
      <c r="N65" s="60"/>
    </row>
    <row r="66" spans="9:14" ht="14.5" hidden="1">
      <c r="I66" s="153"/>
      <c r="J66" s="87"/>
      <c r="K66" s="87"/>
      <c r="L66" s="60"/>
      <c r="M66" s="60"/>
      <c r="N66" s="60"/>
    </row>
    <row r="67" spans="9:14" ht="14.5" hidden="1">
      <c r="I67" s="153"/>
      <c r="J67" s="87"/>
      <c r="K67" s="87"/>
      <c r="L67" s="60"/>
      <c r="M67" s="60"/>
      <c r="N67" s="60"/>
    </row>
    <row r="68" spans="9:14" ht="14.5" hidden="1">
      <c r="I68" s="153"/>
      <c r="J68" s="87"/>
      <c r="K68" s="87"/>
      <c r="L68" s="60"/>
      <c r="M68" s="60"/>
      <c r="N68" s="60"/>
    </row>
    <row r="69" spans="9:14" ht="14.5" hidden="1">
      <c r="I69" s="108"/>
      <c r="J69" s="153"/>
      <c r="K69" s="87"/>
      <c r="L69" s="60"/>
      <c r="M69" s="60"/>
      <c r="N69" s="60"/>
    </row>
    <row r="70" spans="9:14" ht="14.5" hidden="1">
      <c r="I70" s="153"/>
      <c r="J70" s="87"/>
      <c r="K70" s="87"/>
      <c r="L70" s="60"/>
      <c r="M70" s="60"/>
      <c r="N70" s="60"/>
    </row>
    <row r="71" spans="9:14" ht="14.5" hidden="1">
      <c r="I71" s="153"/>
      <c r="J71" s="87"/>
      <c r="K71" s="87"/>
      <c r="L71" s="60"/>
      <c r="M71" s="60"/>
      <c r="N71" s="60"/>
    </row>
    <row r="72" spans="9:14" ht="14.5" hidden="1">
      <c r="I72" s="153"/>
      <c r="J72" s="87"/>
      <c r="K72" s="87"/>
      <c r="L72" s="60"/>
      <c r="M72" s="60"/>
      <c r="N72" s="60"/>
    </row>
    <row r="73" spans="9:14" ht="14.5" hidden="1">
      <c r="I73" s="153"/>
      <c r="J73" s="87"/>
      <c r="K73" s="87"/>
      <c r="L73" s="60"/>
      <c r="M73" s="60"/>
      <c r="N73" s="60"/>
    </row>
    <row r="74" spans="9:14" ht="14.5" hidden="1">
      <c r="I74" s="108"/>
      <c r="J74" s="153"/>
      <c r="K74" s="87"/>
      <c r="L74" s="60"/>
      <c r="M74" s="60"/>
      <c r="N74" s="60"/>
    </row>
    <row r="75" spans="9:14" ht="14.5" hidden="1">
      <c r="I75" s="153"/>
      <c r="J75" s="87"/>
      <c r="K75" s="87"/>
      <c r="L75" s="60"/>
      <c r="M75" s="60"/>
      <c r="N75" s="60"/>
    </row>
    <row r="76" spans="9:14" ht="14.5" hidden="1">
      <c r="I76" s="153"/>
      <c r="J76" s="87"/>
      <c r="K76" s="87"/>
      <c r="L76" s="60"/>
      <c r="M76" s="60"/>
      <c r="N76" s="60"/>
    </row>
    <row r="77" spans="9:14" ht="14.5" hidden="1">
      <c r="I77" s="108"/>
      <c r="J77" s="153"/>
      <c r="K77" s="87"/>
      <c r="L77" s="60"/>
      <c r="M77" s="60"/>
      <c r="N77" s="60"/>
    </row>
    <row r="78" spans="9:14" ht="14.5" hidden="1">
      <c r="I78" s="153"/>
      <c r="J78" s="87"/>
      <c r="K78" s="87"/>
      <c r="L78" s="60"/>
      <c r="M78" s="60"/>
      <c r="N78" s="60"/>
    </row>
    <row r="79" spans="9:14" ht="14.5" hidden="1">
      <c r="I79" s="108"/>
      <c r="J79" s="153"/>
      <c r="K79" s="87"/>
      <c r="L79" s="60"/>
      <c r="M79" s="60"/>
      <c r="N79" s="60"/>
    </row>
    <row r="80" spans="9:14" ht="14.5" hidden="1" thickBot="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priority="36" dxfId="13">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5" bottom="0.787401575" header="0.3" footer="0.3"/>
  <pageSetup orientation="portrait" paperSize="9"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B2:T52"/>
  <sheetViews>
    <sheetView showGridLines="0" showRowColHeaders="0" workbookViewId="0" topLeftCell="A1">
      <selection pane="topLeft" activeCell="V1" sqref="V1:XFD1048576"/>
    </sheetView>
  </sheetViews>
  <sheetFormatPr defaultColWidth="0" defaultRowHeight="14.5" zeroHeight="1"/>
  <cols>
    <col min="1" max="1" width="5.14285714285714" customWidth="1"/>
    <col min="2" max="2" width="8" customWidth="1"/>
    <col min="3" max="7" width="11.4285714285714" customWidth="1"/>
    <col min="8" max="8" width="16.1428571428571" customWidth="1"/>
    <col min="9" max="9" width="15.1428571428571" customWidth="1"/>
    <col min="10" max="10" width="6" customWidth="1"/>
    <col min="11" max="19" width="11.4285714285714" customWidth="1"/>
    <col min="20" max="20" width="6.57142857142857" customWidth="1"/>
    <col min="21" max="21" width="11.4285714285714" customWidth="1"/>
    <col min="22" max="16384" width="11.4285714285714" hidden="1"/>
  </cols>
  <sheetData>
    <row r="1" ht="15" thickBot="1"/>
    <row r="2" spans="2:20" ht="26">
      <c r="B2" s="127"/>
      <c r="C2" s="882" t="s">
        <v>67</v>
      </c>
      <c r="D2" s="882"/>
      <c r="E2" s="882"/>
      <c r="F2" s="882"/>
      <c r="G2" s="882"/>
      <c r="H2" s="882"/>
      <c r="I2" s="128"/>
      <c r="K2" s="127"/>
      <c r="L2" s="882" t="s">
        <v>320</v>
      </c>
      <c r="M2" s="882"/>
      <c r="N2" s="882"/>
      <c r="O2" s="882"/>
      <c r="P2" s="882"/>
      <c r="Q2" s="882"/>
      <c r="R2" s="134"/>
      <c r="S2" s="134"/>
      <c r="T2" s="128"/>
    </row>
    <row r="3" spans="2:20" ht="14.5">
      <c r="B3" s="129"/>
      <c r="C3" s="699"/>
      <c r="D3" s="699"/>
      <c r="E3" s="699"/>
      <c r="F3" s="699"/>
      <c r="G3" s="699"/>
      <c r="H3" s="699"/>
      <c r="I3" s="130"/>
      <c r="K3" s="129"/>
      <c r="L3" s="699"/>
      <c r="M3" s="699"/>
      <c r="N3" s="699"/>
      <c r="O3" s="699"/>
      <c r="P3" s="699"/>
      <c r="Q3" s="699"/>
      <c r="R3" s="699"/>
      <c r="S3" s="699"/>
      <c r="T3" s="130"/>
    </row>
    <row r="4" spans="2:20" ht="14.5">
      <c r="B4" s="129"/>
      <c r="C4" s="699"/>
      <c r="D4" s="699"/>
      <c r="E4" s="699"/>
      <c r="F4" s="699"/>
      <c r="G4" s="699"/>
      <c r="H4" s="699"/>
      <c r="I4" s="130"/>
      <c r="K4" s="129"/>
      <c r="L4" s="699"/>
      <c r="M4" s="699"/>
      <c r="N4" s="702"/>
      <c r="O4" s="702"/>
      <c r="P4" s="702"/>
      <c r="Q4" s="702"/>
      <c r="R4" s="702"/>
      <c r="S4" s="702"/>
      <c r="T4" s="130"/>
    </row>
    <row r="5" spans="2:20" ht="18.5">
      <c r="B5" s="129"/>
      <c r="C5" s="700" t="s">
        <v>307</v>
      </c>
      <c r="D5" s="699"/>
      <c r="E5" s="699"/>
      <c r="F5" s="699"/>
      <c r="G5" s="699"/>
      <c r="H5" s="699"/>
      <c r="I5" s="130"/>
      <c r="K5" s="129"/>
      <c r="L5" s="700" t="s">
        <v>321</v>
      </c>
      <c r="M5" s="699"/>
      <c r="N5" s="702"/>
      <c r="O5" s="702"/>
      <c r="P5" s="702"/>
      <c r="Q5" s="702"/>
      <c r="R5" s="702"/>
      <c r="S5" s="702"/>
      <c r="T5" s="130"/>
    </row>
    <row r="6" spans="2:20" ht="14.5">
      <c r="B6" s="129"/>
      <c r="C6" s="699"/>
      <c r="D6" s="699"/>
      <c r="E6" s="699"/>
      <c r="F6" s="699"/>
      <c r="G6" s="699"/>
      <c r="H6" s="699"/>
      <c r="I6" s="130"/>
      <c r="K6" s="129"/>
      <c r="L6" s="699"/>
      <c r="M6" s="699"/>
      <c r="N6" s="702"/>
      <c r="O6" s="702"/>
      <c r="P6" s="702"/>
      <c r="Q6" s="702"/>
      <c r="R6" s="702"/>
      <c r="S6" s="702"/>
      <c r="T6" s="130"/>
    </row>
    <row r="7" spans="2:20" ht="14.5">
      <c r="B7" s="129"/>
      <c r="C7" s="701" t="s">
        <v>32</v>
      </c>
      <c r="D7" s="699"/>
      <c r="E7" s="699"/>
      <c r="F7" s="699"/>
      <c r="G7" s="699"/>
      <c r="H7" s="699"/>
      <c r="I7" s="130"/>
      <c r="K7" s="129"/>
      <c r="L7" s="701" t="s">
        <v>32</v>
      </c>
      <c r="M7" s="699"/>
      <c r="N7" s="702"/>
      <c r="O7" s="702"/>
      <c r="P7" s="702"/>
      <c r="Q7" s="702"/>
      <c r="R7" s="702"/>
      <c r="S7" s="702"/>
      <c r="T7" s="130"/>
    </row>
    <row r="8" spans="2:20" ht="14.5">
      <c r="B8" s="129"/>
      <c r="C8" s="699" t="s">
        <v>719</v>
      </c>
      <c r="D8" s="699"/>
      <c r="E8" s="699"/>
      <c r="F8" s="699"/>
      <c r="G8" s="699"/>
      <c r="H8" s="699"/>
      <c r="I8" s="130"/>
      <c r="K8" s="129"/>
      <c r="L8" s="699" t="s">
        <v>714</v>
      </c>
      <c r="M8" s="699"/>
      <c r="N8" s="702"/>
      <c r="O8" s="702"/>
      <c r="P8" s="702"/>
      <c r="Q8" s="702"/>
      <c r="R8" s="702"/>
      <c r="S8" s="702"/>
      <c r="T8" s="130"/>
    </row>
    <row r="9" spans="2:20" ht="14.5">
      <c r="B9" s="129"/>
      <c r="C9" s="699"/>
      <c r="D9" s="699"/>
      <c r="E9" s="699"/>
      <c r="F9" s="699"/>
      <c r="G9" s="699"/>
      <c r="H9" s="699"/>
      <c r="I9" s="130"/>
      <c r="K9" s="129"/>
      <c r="L9" s="699"/>
      <c r="M9" s="699"/>
      <c r="N9" s="702"/>
      <c r="O9" s="702"/>
      <c r="P9" s="702"/>
      <c r="Q9" s="702"/>
      <c r="R9" s="702"/>
      <c r="S9" s="702"/>
      <c r="T9" s="130"/>
    </row>
    <row r="10" spans="2:20" ht="14.5">
      <c r="B10" s="129"/>
      <c r="C10" s="701" t="s">
        <v>33</v>
      </c>
      <c r="D10" s="699"/>
      <c r="E10" s="699"/>
      <c r="F10" s="699"/>
      <c r="G10" s="699"/>
      <c r="H10" s="699"/>
      <c r="I10" s="130"/>
      <c r="K10" s="129"/>
      <c r="L10" s="701" t="s">
        <v>33</v>
      </c>
      <c r="M10" s="699"/>
      <c r="N10" s="702"/>
      <c r="O10" s="702"/>
      <c r="P10" s="702"/>
      <c r="Q10" s="702"/>
      <c r="R10" s="702"/>
      <c r="S10" s="702"/>
      <c r="T10" s="130"/>
    </row>
    <row r="11" spans="2:20" ht="14.5">
      <c r="B11" s="129"/>
      <c r="C11" s="699" t="s">
        <v>720</v>
      </c>
      <c r="D11" s="699"/>
      <c r="E11" s="699"/>
      <c r="F11" s="699"/>
      <c r="G11" s="699"/>
      <c r="H11" s="699"/>
      <c r="I11" s="130"/>
      <c r="K11" s="129"/>
      <c r="L11" s="699" t="s">
        <v>715</v>
      </c>
      <c r="M11" s="699"/>
      <c r="N11" s="702"/>
      <c r="O11" s="702"/>
      <c r="P11" s="702"/>
      <c r="Q11" s="702"/>
      <c r="R11" s="702"/>
      <c r="S11" s="702"/>
      <c r="T11" s="130"/>
    </row>
    <row r="12" spans="2:20" ht="14.5">
      <c r="B12" s="129"/>
      <c r="C12" s="699"/>
      <c r="D12" s="699"/>
      <c r="E12" s="699"/>
      <c r="F12" s="699"/>
      <c r="G12" s="699"/>
      <c r="H12" s="699"/>
      <c r="I12" s="130"/>
      <c r="K12" s="129"/>
      <c r="L12" s="699"/>
      <c r="M12" s="699"/>
      <c r="N12" s="702"/>
      <c r="O12" s="702"/>
      <c r="P12" s="702"/>
      <c r="Q12" s="702"/>
      <c r="R12" s="702"/>
      <c r="S12" s="702"/>
      <c r="T12" s="130"/>
    </row>
    <row r="13" spans="2:20" ht="14.5">
      <c r="B13" s="129"/>
      <c r="C13" s="701" t="s">
        <v>34</v>
      </c>
      <c r="D13" s="699"/>
      <c r="E13" s="699"/>
      <c r="F13" s="699"/>
      <c r="G13" s="699"/>
      <c r="H13" s="699"/>
      <c r="I13" s="130"/>
      <c r="K13" s="129"/>
      <c r="L13" s="701" t="s">
        <v>34</v>
      </c>
      <c r="M13" s="699"/>
      <c r="N13" s="702"/>
      <c r="O13" s="702"/>
      <c r="P13" s="702"/>
      <c r="Q13" s="702"/>
      <c r="R13" s="702"/>
      <c r="S13" s="702"/>
      <c r="T13" s="130"/>
    </row>
    <row r="14" spans="2:20" ht="14.5">
      <c r="B14" s="129"/>
      <c r="C14" s="699" t="s">
        <v>634</v>
      </c>
      <c r="D14" s="699"/>
      <c r="E14" s="699"/>
      <c r="F14" s="699"/>
      <c r="G14" s="699"/>
      <c r="H14" s="699"/>
      <c r="I14" s="130"/>
      <c r="K14" s="129"/>
      <c r="L14" s="699" t="s">
        <v>633</v>
      </c>
      <c r="M14" s="699"/>
      <c r="N14" s="702"/>
      <c r="O14" s="702"/>
      <c r="P14" s="702"/>
      <c r="Q14" s="702"/>
      <c r="R14" s="702"/>
      <c r="S14" s="702"/>
      <c r="T14" s="130"/>
    </row>
    <row r="15" spans="2:20" ht="14.5">
      <c r="B15" s="129"/>
      <c r="C15" s="699" t="s">
        <v>1094</v>
      </c>
      <c r="D15" s="699"/>
      <c r="E15" s="699"/>
      <c r="F15" s="699"/>
      <c r="G15" s="699"/>
      <c r="H15" s="699"/>
      <c r="I15" s="130"/>
      <c r="K15" s="129"/>
      <c r="L15" s="699" t="s">
        <v>716</v>
      </c>
      <c r="M15" s="699"/>
      <c r="N15" s="702"/>
      <c r="O15" s="702"/>
      <c r="P15" s="702"/>
      <c r="Q15" s="702"/>
      <c r="R15" s="702"/>
      <c r="S15" s="702"/>
      <c r="T15" s="130"/>
    </row>
    <row r="16" spans="2:20" ht="14.5">
      <c r="B16" s="129"/>
      <c r="C16" s="699"/>
      <c r="D16" s="699"/>
      <c r="E16" s="699"/>
      <c r="F16" s="699"/>
      <c r="G16" s="699"/>
      <c r="H16" s="699"/>
      <c r="I16" s="130"/>
      <c r="K16" s="129"/>
      <c r="L16" s="699"/>
      <c r="M16" s="699"/>
      <c r="N16" s="702"/>
      <c r="O16" s="702"/>
      <c r="P16" s="702"/>
      <c r="Q16" s="702"/>
      <c r="R16" s="702"/>
      <c r="S16" s="702"/>
      <c r="T16" s="130"/>
    </row>
    <row r="17" spans="2:20" ht="14.5">
      <c r="B17" s="129"/>
      <c r="C17" s="701" t="s">
        <v>35</v>
      </c>
      <c r="D17" s="699"/>
      <c r="E17" s="699"/>
      <c r="F17" s="699"/>
      <c r="G17" s="699"/>
      <c r="H17" s="699"/>
      <c r="I17" s="130"/>
      <c r="K17" s="129"/>
      <c r="L17" s="701" t="s">
        <v>35</v>
      </c>
      <c r="M17" s="699"/>
      <c r="N17" s="702"/>
      <c r="O17" s="702"/>
      <c r="P17" s="702"/>
      <c r="Q17" s="702"/>
      <c r="R17" s="702"/>
      <c r="S17" s="702"/>
      <c r="T17" s="130"/>
    </row>
    <row r="18" spans="2:20" ht="14.5">
      <c r="B18" s="129"/>
      <c r="C18" s="699" t="s">
        <v>721</v>
      </c>
      <c r="D18" s="699"/>
      <c r="E18" s="699"/>
      <c r="F18" s="699"/>
      <c r="G18" s="699"/>
      <c r="H18" s="699"/>
      <c r="I18" s="130"/>
      <c r="K18" s="129"/>
      <c r="L18" s="699" t="s">
        <v>717</v>
      </c>
      <c r="M18" s="699"/>
      <c r="N18" s="702"/>
      <c r="O18" s="702"/>
      <c r="P18" s="702"/>
      <c r="Q18" s="702"/>
      <c r="R18" s="702"/>
      <c r="S18" s="702"/>
      <c r="T18" s="130"/>
    </row>
    <row r="19" spans="2:20" ht="14.5">
      <c r="B19" s="129"/>
      <c r="C19" s="699" t="s">
        <v>632</v>
      </c>
      <c r="D19" s="699"/>
      <c r="E19" s="699"/>
      <c r="F19" s="699"/>
      <c r="G19" s="699"/>
      <c r="H19" s="699"/>
      <c r="I19" s="130"/>
      <c r="K19" s="129"/>
      <c r="L19" s="699" t="s">
        <v>631</v>
      </c>
      <c r="M19" s="699"/>
      <c r="N19" s="702"/>
      <c r="O19" s="702"/>
      <c r="P19" s="702"/>
      <c r="Q19" s="702"/>
      <c r="R19" s="702"/>
      <c r="S19" s="702"/>
      <c r="T19" s="130"/>
    </row>
    <row r="20" spans="2:20" ht="14.5">
      <c r="B20" s="129"/>
      <c r="C20" s="699"/>
      <c r="D20" s="699"/>
      <c r="E20" s="699"/>
      <c r="F20" s="699"/>
      <c r="G20" s="699"/>
      <c r="H20" s="699"/>
      <c r="I20" s="130"/>
      <c r="K20" s="129"/>
      <c r="L20" s="699"/>
      <c r="M20" s="699"/>
      <c r="N20" s="702"/>
      <c r="O20" s="702"/>
      <c r="P20" s="702"/>
      <c r="Q20" s="702"/>
      <c r="R20" s="702"/>
      <c r="S20" s="702"/>
      <c r="T20" s="130"/>
    </row>
    <row r="21" spans="2:20" ht="14.5">
      <c r="B21" s="129"/>
      <c r="C21" s="699"/>
      <c r="D21" s="699"/>
      <c r="E21" s="699"/>
      <c r="F21" s="699"/>
      <c r="G21" s="699"/>
      <c r="H21" s="699"/>
      <c r="I21" s="130"/>
      <c r="K21" s="129"/>
      <c r="L21" s="699"/>
      <c r="M21" s="699"/>
      <c r="N21" s="702"/>
      <c r="O21" s="702"/>
      <c r="P21" s="702"/>
      <c r="Q21" s="702"/>
      <c r="R21" s="702"/>
      <c r="S21" s="702"/>
      <c r="T21" s="130"/>
    </row>
    <row r="22" spans="2:20" ht="18.5">
      <c r="B22" s="129"/>
      <c r="C22" s="700" t="s">
        <v>308</v>
      </c>
      <c r="D22" s="699"/>
      <c r="E22" s="699"/>
      <c r="F22" s="699"/>
      <c r="G22" s="699"/>
      <c r="H22" s="699"/>
      <c r="I22" s="130"/>
      <c r="K22" s="129"/>
      <c r="L22" s="700" t="s">
        <v>322</v>
      </c>
      <c r="M22" s="699"/>
      <c r="N22" s="702"/>
      <c r="O22" s="702"/>
      <c r="P22" s="702"/>
      <c r="Q22" s="702"/>
      <c r="R22" s="702"/>
      <c r="S22" s="702"/>
      <c r="T22" s="130"/>
    </row>
    <row r="23" spans="2:20" ht="14.5">
      <c r="B23" s="129"/>
      <c r="C23" s="699"/>
      <c r="D23" s="699"/>
      <c r="E23" s="699"/>
      <c r="F23" s="699"/>
      <c r="G23" s="699"/>
      <c r="H23" s="699"/>
      <c r="I23" s="130"/>
      <c r="K23" s="129"/>
      <c r="L23" s="699"/>
      <c r="M23" s="699"/>
      <c r="N23" s="702"/>
      <c r="O23" s="702"/>
      <c r="P23" s="702"/>
      <c r="Q23" s="702"/>
      <c r="R23" s="702"/>
      <c r="S23" s="702"/>
      <c r="T23" s="130"/>
    </row>
    <row r="24" spans="2:20" ht="14.5">
      <c r="B24" s="129"/>
      <c r="C24" s="699" t="s">
        <v>324</v>
      </c>
      <c r="D24" s="699"/>
      <c r="E24" s="699"/>
      <c r="F24" s="699"/>
      <c r="G24" s="699"/>
      <c r="H24" s="699"/>
      <c r="I24" s="130"/>
      <c r="K24" s="129"/>
      <c r="L24" s="699" t="s">
        <v>323</v>
      </c>
      <c r="M24" s="699"/>
      <c r="N24" s="699"/>
      <c r="O24" s="699"/>
      <c r="P24" s="699"/>
      <c r="Q24" s="699"/>
      <c r="R24" s="699"/>
      <c r="S24" s="699"/>
      <c r="T24" s="130"/>
    </row>
    <row r="25" spans="2:20" ht="14.5">
      <c r="B25" s="129"/>
      <c r="C25" s="699" t="s">
        <v>635</v>
      </c>
      <c r="D25" s="699"/>
      <c r="E25" s="699"/>
      <c r="F25" s="699"/>
      <c r="G25" s="699"/>
      <c r="H25" s="699"/>
      <c r="I25" s="130"/>
      <c r="K25" s="129"/>
      <c r="L25" s="699" t="s">
        <v>325</v>
      </c>
      <c r="M25" s="699"/>
      <c r="N25" s="699"/>
      <c r="O25" s="699"/>
      <c r="P25" s="699"/>
      <c r="Q25" s="699"/>
      <c r="R25" s="699"/>
      <c r="S25" s="699"/>
      <c r="T25" s="130"/>
    </row>
    <row r="26" spans="2:20" ht="14.5">
      <c r="B26" s="129"/>
      <c r="C26" s="699"/>
      <c r="D26" s="699"/>
      <c r="E26" s="699"/>
      <c r="F26" s="699"/>
      <c r="G26" s="699"/>
      <c r="H26" s="699"/>
      <c r="I26" s="130"/>
      <c r="K26" s="129"/>
      <c r="L26" s="699"/>
      <c r="M26" s="699"/>
      <c r="N26" s="699"/>
      <c r="O26" s="699"/>
      <c r="P26" s="699"/>
      <c r="Q26" s="699"/>
      <c r="R26" s="699"/>
      <c r="S26" s="699"/>
      <c r="T26" s="130"/>
    </row>
    <row r="27" spans="2:20" ht="14.5">
      <c r="B27" s="129"/>
      <c r="C27" s="699"/>
      <c r="D27" s="699"/>
      <c r="E27" s="699"/>
      <c r="F27" s="699"/>
      <c r="G27" s="699"/>
      <c r="H27" s="699"/>
      <c r="I27" s="130"/>
      <c r="K27" s="129"/>
      <c r="L27" s="699"/>
      <c r="M27" s="699"/>
      <c r="N27" s="699"/>
      <c r="O27" s="699"/>
      <c r="P27" s="699"/>
      <c r="Q27" s="699"/>
      <c r="R27" s="699"/>
      <c r="S27" s="699"/>
      <c r="T27" s="130"/>
    </row>
    <row r="28" spans="2:20" ht="18.5">
      <c r="B28" s="129"/>
      <c r="C28" s="700" t="s">
        <v>712</v>
      </c>
      <c r="D28" s="699"/>
      <c r="E28" s="699"/>
      <c r="F28" s="699"/>
      <c r="G28" s="699"/>
      <c r="H28" s="699"/>
      <c r="I28" s="130"/>
      <c r="K28" s="129"/>
      <c r="L28" s="700" t="s">
        <v>711</v>
      </c>
      <c r="M28" s="699"/>
      <c r="N28" s="699"/>
      <c r="O28" s="699"/>
      <c r="P28" s="699"/>
      <c r="Q28" s="699"/>
      <c r="R28" s="699"/>
      <c r="S28" s="699"/>
      <c r="T28" s="130"/>
    </row>
    <row r="29" spans="2:20" ht="14.5">
      <c r="B29" s="129"/>
      <c r="C29" s="699"/>
      <c r="D29" s="699"/>
      <c r="E29" s="699"/>
      <c r="F29" s="699"/>
      <c r="G29" s="699"/>
      <c r="H29" s="699"/>
      <c r="I29" s="130"/>
      <c r="K29" s="129"/>
      <c r="L29" s="699"/>
      <c r="M29" s="699"/>
      <c r="N29" s="699"/>
      <c r="O29" s="699"/>
      <c r="P29" s="699"/>
      <c r="Q29" s="699"/>
      <c r="R29" s="699"/>
      <c r="S29" s="699"/>
      <c r="T29" s="130"/>
    </row>
    <row r="30" spans="2:20" ht="14.5">
      <c r="B30" s="129"/>
      <c r="C30" s="699" t="s">
        <v>722</v>
      </c>
      <c r="D30" s="699"/>
      <c r="E30" s="699"/>
      <c r="F30" s="699"/>
      <c r="G30" s="699"/>
      <c r="H30" s="699"/>
      <c r="I30" s="130"/>
      <c r="K30" s="129"/>
      <c r="L30" s="699" t="s">
        <v>718</v>
      </c>
      <c r="M30" s="699"/>
      <c r="N30" s="699"/>
      <c r="O30" s="699"/>
      <c r="P30" s="699"/>
      <c r="Q30" s="699"/>
      <c r="R30" s="699"/>
      <c r="S30" s="699"/>
      <c r="T30" s="130"/>
    </row>
    <row r="31" spans="2:20" ht="14.5">
      <c r="B31" s="129"/>
      <c r="C31" s="699" t="s">
        <v>723</v>
      </c>
      <c r="D31" s="699"/>
      <c r="E31" s="699"/>
      <c r="F31" s="699"/>
      <c r="G31" s="699"/>
      <c r="H31" s="699"/>
      <c r="I31" s="130"/>
      <c r="K31" s="129"/>
      <c r="L31" s="699" t="s">
        <v>713</v>
      </c>
      <c r="M31" s="699"/>
      <c r="N31" s="699"/>
      <c r="O31" s="699"/>
      <c r="P31" s="699"/>
      <c r="Q31" s="699"/>
      <c r="R31" s="699"/>
      <c r="S31" s="699"/>
      <c r="T31" s="130"/>
    </row>
    <row r="32" spans="2:20" ht="14.5">
      <c r="B32" s="129"/>
      <c r="C32" s="699"/>
      <c r="D32" s="699"/>
      <c r="E32" s="702"/>
      <c r="F32" s="702"/>
      <c r="G32" s="702"/>
      <c r="H32" s="702"/>
      <c r="I32" s="395"/>
      <c r="J32" s="121"/>
      <c r="K32" s="129"/>
      <c r="L32" s="699"/>
      <c r="M32" s="699"/>
      <c r="N32" s="702"/>
      <c r="O32" s="702"/>
      <c r="P32" s="702"/>
      <c r="Q32" s="702"/>
      <c r="R32" s="702"/>
      <c r="S32" s="702"/>
      <c r="T32" s="130"/>
    </row>
    <row r="33" spans="2:20" ht="14.5">
      <c r="B33" s="129"/>
      <c r="C33" s="701"/>
      <c r="D33" s="699"/>
      <c r="E33" s="702"/>
      <c r="F33" s="702"/>
      <c r="G33" s="702"/>
      <c r="H33" s="702"/>
      <c r="I33" s="395"/>
      <c r="J33" s="121"/>
      <c r="K33" s="129"/>
      <c r="L33" s="701"/>
      <c r="M33" s="699"/>
      <c r="N33" s="702"/>
      <c r="O33" s="702"/>
      <c r="P33" s="702"/>
      <c r="Q33" s="702"/>
      <c r="R33" s="702"/>
      <c r="S33" s="702"/>
      <c r="T33" s="130"/>
    </row>
    <row r="34" spans="2:20" ht="18.5">
      <c r="B34" s="129"/>
      <c r="C34" s="700" t="s">
        <v>957</v>
      </c>
      <c r="D34" s="699"/>
      <c r="E34" s="699"/>
      <c r="F34" s="699"/>
      <c r="G34" s="699"/>
      <c r="H34" s="699"/>
      <c r="I34" s="130"/>
      <c r="K34" s="129"/>
      <c r="L34" s="700" t="s">
        <v>953</v>
      </c>
      <c r="M34" s="699"/>
      <c r="N34" s="699"/>
      <c r="O34" s="699"/>
      <c r="P34" s="699"/>
      <c r="Q34" s="699"/>
      <c r="R34" s="699"/>
      <c r="S34" s="699"/>
      <c r="T34" s="130"/>
    </row>
    <row r="35" spans="2:20" ht="14.5">
      <c r="B35" s="129"/>
      <c r="C35" s="699"/>
      <c r="D35" s="699"/>
      <c r="E35" s="699"/>
      <c r="F35" s="699"/>
      <c r="G35" s="699"/>
      <c r="H35" s="699"/>
      <c r="I35" s="130"/>
      <c r="K35" s="129"/>
      <c r="L35" s="699"/>
      <c r="M35" s="699"/>
      <c r="N35" s="699"/>
      <c r="O35" s="699"/>
      <c r="P35" s="699"/>
      <c r="Q35" s="699"/>
      <c r="R35" s="699"/>
      <c r="S35" s="699"/>
      <c r="T35" s="130"/>
    </row>
    <row r="36" spans="2:20" ht="14.5">
      <c r="B36" s="129"/>
      <c r="C36" s="699" t="s">
        <v>958</v>
      </c>
      <c r="D36" s="699"/>
      <c r="E36" s="699"/>
      <c r="F36" s="699"/>
      <c r="G36" s="699"/>
      <c r="H36" s="699"/>
      <c r="I36" s="130"/>
      <c r="K36" s="129"/>
      <c r="L36" s="699" t="s">
        <v>954</v>
      </c>
      <c r="M36" s="699"/>
      <c r="N36" s="699"/>
      <c r="O36" s="699"/>
      <c r="P36" s="699"/>
      <c r="Q36" s="699"/>
      <c r="R36" s="699"/>
      <c r="S36" s="699"/>
      <c r="T36" s="130"/>
    </row>
    <row r="37" spans="2:20" ht="14.5">
      <c r="B37" s="129"/>
      <c r="C37" s="699" t="s">
        <v>956</v>
      </c>
      <c r="D37" s="699"/>
      <c r="E37" s="699"/>
      <c r="F37" s="699"/>
      <c r="G37" s="699"/>
      <c r="H37" s="699"/>
      <c r="I37" s="130"/>
      <c r="K37" s="129"/>
      <c r="L37" s="699" t="s">
        <v>955</v>
      </c>
      <c r="M37" s="699"/>
      <c r="N37" s="699"/>
      <c r="O37" s="699"/>
      <c r="P37" s="699"/>
      <c r="Q37" s="699"/>
      <c r="R37" s="699"/>
      <c r="S37" s="699"/>
      <c r="T37" s="130"/>
    </row>
    <row r="38" spans="2:20" ht="14.5">
      <c r="B38" s="129"/>
      <c r="C38" s="699" t="s">
        <v>1729</v>
      </c>
      <c r="D38" s="699"/>
      <c r="E38" s="702"/>
      <c r="F38" s="702"/>
      <c r="G38" s="702"/>
      <c r="H38" s="702"/>
      <c r="I38" s="395"/>
      <c r="J38" s="121"/>
      <c r="K38" s="129"/>
      <c r="L38" s="699" t="s">
        <v>1727</v>
      </c>
      <c r="M38" s="699"/>
      <c r="N38" s="702"/>
      <c r="O38" s="702"/>
      <c r="P38" s="702"/>
      <c r="Q38" s="702"/>
      <c r="R38" s="702"/>
      <c r="S38" s="702"/>
      <c r="T38" s="130"/>
    </row>
    <row r="39" spans="2:20" ht="14.5">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5:19" ht="14.5">
      <c r="E41" s="121"/>
      <c r="F41" s="121"/>
      <c r="G41" s="121"/>
      <c r="H41" s="121"/>
      <c r="I41" s="121"/>
      <c r="J41" s="121"/>
      <c r="N41" s="121"/>
      <c r="O41" s="121"/>
      <c r="P41" s="121"/>
      <c r="Q41" s="121"/>
      <c r="R41" s="121"/>
      <c r="S41" s="121"/>
    </row>
    <row r="42" spans="3:19" ht="14.5" hidden="1">
      <c r="C42" s="108"/>
      <c r="E42" s="121"/>
      <c r="F42" s="121"/>
      <c r="G42" s="121"/>
      <c r="H42" s="121"/>
      <c r="I42" s="121"/>
      <c r="J42" s="121"/>
      <c r="L42" s="108"/>
      <c r="N42" s="121"/>
      <c r="O42" s="121"/>
      <c r="P42" s="121"/>
      <c r="Q42" s="121"/>
      <c r="R42" s="121"/>
      <c r="S42" s="121"/>
    </row>
    <row r="43" spans="3:19" ht="14.5" hidden="1">
      <c r="C43" s="108"/>
      <c r="E43" s="121"/>
      <c r="F43" s="121"/>
      <c r="G43" s="121"/>
      <c r="H43" s="121"/>
      <c r="I43" s="121"/>
      <c r="J43" s="121"/>
      <c r="L43" s="108"/>
      <c r="N43" s="121"/>
      <c r="O43" s="121"/>
      <c r="P43" s="121"/>
      <c r="Q43" s="121"/>
      <c r="R43" s="121"/>
      <c r="S43" s="121"/>
    </row>
    <row r="44" spans="5:19" ht="14.5" hidden="1">
      <c r="E44" s="121"/>
      <c r="F44" s="121"/>
      <c r="G44" s="121"/>
      <c r="H44" s="121"/>
      <c r="I44" s="121"/>
      <c r="J44" s="121"/>
      <c r="N44" s="121"/>
      <c r="O44" s="121"/>
      <c r="P44" s="121"/>
      <c r="Q44" s="121"/>
      <c r="R44" s="121"/>
      <c r="S44" s="121"/>
    </row>
    <row r="45" spans="5:19" ht="14.5" hidden="1">
      <c r="E45" s="121"/>
      <c r="F45" s="121"/>
      <c r="G45" s="121"/>
      <c r="H45" s="121"/>
      <c r="I45" s="121"/>
      <c r="J45" s="121"/>
      <c r="N45" s="121"/>
      <c r="O45" s="121"/>
      <c r="P45" s="121"/>
      <c r="Q45" s="121"/>
      <c r="R45" s="121"/>
      <c r="S45" s="121"/>
    </row>
    <row r="46" spans="5:19" ht="14.5" hidden="1">
      <c r="E46" s="121"/>
      <c r="F46" s="121"/>
      <c r="G46" s="121"/>
      <c r="H46" s="121"/>
      <c r="I46" s="121"/>
      <c r="J46" s="121"/>
      <c r="N46" s="121"/>
      <c r="O46" s="121"/>
      <c r="P46" s="121"/>
      <c r="Q46" s="121"/>
      <c r="R46" s="121"/>
      <c r="S46" s="121"/>
    </row>
    <row r="47" spans="3:19" ht="14.5" hidden="1">
      <c r="C47" s="108"/>
      <c r="E47" s="121"/>
      <c r="F47" s="121"/>
      <c r="G47" s="121"/>
      <c r="H47" s="121"/>
      <c r="I47" s="121"/>
      <c r="J47" s="121"/>
      <c r="L47" s="108"/>
      <c r="N47" s="121"/>
      <c r="O47" s="121"/>
      <c r="P47" s="121"/>
      <c r="Q47" s="121"/>
      <c r="R47" s="121"/>
      <c r="S47" s="121"/>
    </row>
    <row r="48" spans="5:19" ht="14.5" hidden="1">
      <c r="E48" s="121"/>
      <c r="F48" s="121"/>
      <c r="G48" s="121"/>
      <c r="H48" s="121"/>
      <c r="I48" s="121"/>
      <c r="J48" s="121"/>
      <c r="N48" s="121"/>
      <c r="O48" s="121"/>
      <c r="P48" s="121"/>
      <c r="Q48" s="121"/>
      <c r="R48" s="121"/>
      <c r="S48" s="121"/>
    </row>
    <row r="49" spans="5:19" ht="14.5" hidden="1">
      <c r="E49" s="121"/>
      <c r="F49" s="121"/>
      <c r="G49" s="121"/>
      <c r="H49" s="121"/>
      <c r="I49" s="121"/>
      <c r="J49" s="121"/>
      <c r="N49" s="121"/>
      <c r="O49" s="121"/>
      <c r="P49" s="121"/>
      <c r="Q49" s="121"/>
      <c r="R49" s="121"/>
      <c r="S49" s="121"/>
    </row>
    <row r="50" spans="3:19" ht="14.5" hidden="1">
      <c r="C50" s="108"/>
      <c r="E50" s="121"/>
      <c r="F50" s="121"/>
      <c r="G50" s="121"/>
      <c r="H50" s="121"/>
      <c r="I50" s="121"/>
      <c r="J50" s="121"/>
      <c r="L50" s="108"/>
      <c r="N50" s="121"/>
      <c r="O50" s="121"/>
      <c r="P50" s="121"/>
      <c r="Q50" s="121"/>
      <c r="R50" s="121"/>
      <c r="S50" s="121"/>
    </row>
    <row r="51" spans="3:19" ht="14.5" hidden="1">
      <c r="C51" s="187"/>
      <c r="E51" s="121"/>
      <c r="F51" s="121"/>
      <c r="G51" s="121"/>
      <c r="H51" s="121"/>
      <c r="I51" s="121"/>
      <c r="J51" s="121"/>
      <c r="L51" s="187"/>
      <c r="N51" s="121"/>
      <c r="O51" s="121"/>
      <c r="P51" s="121"/>
      <c r="Q51" s="121"/>
      <c r="R51" s="121"/>
      <c r="S51" s="121"/>
    </row>
    <row r="52" spans="5:19" ht="14.5" hidden="1" thickBot="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5" bottom="0.787401575" header="0.3" footer="0.3"/>
  <pageSetup orientation="portrait" paperSize="9"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topLeftCell="A1"/>
  </sheetViews>
  <sheetFormatPr defaultColWidth="10.9042857142857" defaultRowHeight="14.5"/>
  <cols>
    <col min="1" max="1" width="7.85714285714286" customWidth="1"/>
    <col min="2" max="2" width="4.42857142857143" style="25" customWidth="1"/>
    <col min="3" max="3" width="14" customWidth="1"/>
    <col min="4" max="4" width="7.85714285714286" customWidth="1"/>
    <col min="5" max="5" width="7.71428571428571" customWidth="1"/>
    <col min="6" max="6" width="5" customWidth="1"/>
    <col min="7" max="8" width="5.42857142857143" customWidth="1"/>
    <col min="9" max="9" width="17.5714285714286" customWidth="1"/>
    <col min="11" max="11" width="7.85714285714286" customWidth="1"/>
    <col min="12" max="13" width="11.4285714285714" customWidth="1"/>
    <col min="14" max="14" width="4.28571428571429" customWidth="1"/>
    <col min="15" max="15" width="4.57142857142857" customWidth="1"/>
    <col min="16" max="16" width="0.857142857142857" customWidth="1"/>
    <col min="17" max="17" width="3.57142857142857" customWidth="1"/>
  </cols>
  <sheetData>
    <row r="1" spans="3:3" ht="23.5">
      <c r="C1" s="76" t="str">
        <f>Language!$E$128</f>
        <v>Third in the group</v>
      </c>
    </row>
    <row r="2" ht="38.25" customHeight="1"/>
    <row r="3" spans="1:13" ht="14.5">
      <c r="A3" s="230"/>
      <c r="B3" s="39"/>
      <c r="C3" s="38"/>
      <c r="D3" s="218" t="s">
        <v>616</v>
      </c>
      <c r="E3" s="218" t="s">
        <v>191</v>
      </c>
      <c r="F3" s="218" t="s">
        <v>617</v>
      </c>
      <c r="G3" s="218" t="s">
        <v>618</v>
      </c>
      <c r="H3" s="218" t="s">
        <v>691</v>
      </c>
      <c r="I3" s="218" t="s">
        <v>193</v>
      </c>
      <c r="J3" s="218" t="s">
        <v>554</v>
      </c>
      <c r="K3" s="218"/>
      <c r="L3" s="218" t="s">
        <v>38</v>
      </c>
      <c r="M3" s="218" t="s">
        <v>547</v>
      </c>
    </row>
    <row r="4" spans="1:13" ht="14.5">
      <c r="A4" s="25"/>
      <c r="B4" s="25" t="s">
        <v>32</v>
      </c>
      <c r="C4" t="str">
        <f ca="1">GrpA!P$13</f>
        <v>Scotland</v>
      </c>
      <c r="D4" s="25">
        <f ca="1">GrpA!Q$13</f>
        <v>3</v>
      </c>
      <c r="E4" s="25">
        <f ca="1">GrpA!R$13</f>
        <v>-1</v>
      </c>
      <c r="F4" s="25">
        <f ca="1">GrpA!S$13</f>
        <v>3</v>
      </c>
      <c r="G4" s="25">
        <f ca="1">GrpA!T$13</f>
        <v>4</v>
      </c>
      <c r="H4" s="25">
        <f ca="1">GrpA!U$13</f>
        <v>1</v>
      </c>
      <c r="I4" s="216">
        <f ca="1" t="shared" si="0" ref="I4:I9">$D4*FactorPts+$E4*FactorGD+$F4*FactorFor+$H4*FactorWins+$L4*FactorFairPlay+$M4*FactorRank</f>
        <v>29999030.001086999</v>
      </c>
      <c r="J4" s="25" t="s">
        <v>30</v>
      </c>
      <c r="K4" s="25"/>
      <c r="L4" s="25">
        <f ca="1" t="shared" si="1" ref="L4:L9">SUMIFS(FairPlayPoints1,FairPlayTeams1,$C4)+SUMIFS(FairPlayPoints2,FairPlayTeams2,$C4)</f>
        <v>0</v>
      </c>
      <c r="M4" s="25">
        <f ca="1">100-INDEX(Language!$D$5:$D$62,MATCH($C4,Language!$E$5:$E$62,0),1)</f>
        <v>87</v>
      </c>
    </row>
    <row r="5" spans="1:13" ht="14.5">
      <c r="A5" s="25"/>
      <c r="B5" s="25" t="s">
        <v>33</v>
      </c>
      <c r="C5" t="str">
        <f ca="1">GrpB!P$13</f>
        <v>Italy</v>
      </c>
      <c r="D5" s="25">
        <f ca="1">GrpB!Q$13</f>
        <v>4</v>
      </c>
      <c r="E5" s="25">
        <f ca="1">GrpB!R$13</f>
        <v>3</v>
      </c>
      <c r="F5" s="25">
        <f ca="1">GrpB!S$13</f>
        <v>6</v>
      </c>
      <c r="G5" s="25">
        <f ca="1">GrpB!T$13</f>
        <v>3</v>
      </c>
      <c r="H5" s="25">
        <f ca="1">GrpB!U$13</f>
        <v>1</v>
      </c>
      <c r="I5" s="216">
        <f t="shared" ca="1" si="0"/>
        <v>40003060.001082003</v>
      </c>
      <c r="J5" s="25" t="s">
        <v>26</v>
      </c>
      <c r="K5" s="25"/>
      <c r="L5" s="25">
        <f t="shared" ca="1" si="1"/>
        <v>0</v>
      </c>
      <c r="M5" s="25">
        <f ca="1">100-INDEX(Language!$D$5:$D$62,MATCH($C5,Language!$E$5:$E$62,0),1)</f>
        <v>82</v>
      </c>
    </row>
    <row r="6" spans="1:13" ht="14.5">
      <c r="A6" s="25"/>
      <c r="B6" s="25" t="s">
        <v>34</v>
      </c>
      <c r="C6" t="str">
        <f ca="1">GrpC!P$13</f>
        <v>Denmark</v>
      </c>
      <c r="D6" s="25">
        <f ca="1">GrpC!Q$13</f>
        <v>5</v>
      </c>
      <c r="E6" s="25">
        <f ca="1">GrpC!R$13</f>
        <v>1</v>
      </c>
      <c r="F6" s="25">
        <f ca="1">GrpC!S$13</f>
        <v>3</v>
      </c>
      <c r="G6" s="25">
        <f ca="1">GrpC!T$13</f>
        <v>2</v>
      </c>
      <c r="H6" s="25">
        <f ca="1">GrpC!U$13</f>
        <v>1</v>
      </c>
      <c r="I6" s="216">
        <f t="shared" ca="1" si="0"/>
        <v>50001030.001091003</v>
      </c>
      <c r="J6" s="25" t="s">
        <v>27</v>
      </c>
      <c r="K6" s="25"/>
      <c r="L6" s="25">
        <f t="shared" ca="1" si="1"/>
        <v>0</v>
      </c>
      <c r="M6" s="25">
        <f ca="1">100-INDEX(Language!$D$5:$D$62,MATCH($C6,Language!$E$5:$E$62,0),1)</f>
        <v>91</v>
      </c>
    </row>
    <row r="7" spans="1:13" ht="14.5">
      <c r="A7" s="25"/>
      <c r="B7" s="25" t="s">
        <v>35</v>
      </c>
      <c r="C7" t="str">
        <f ca="1">GrpD!P$13</f>
        <v>Austria</v>
      </c>
      <c r="D7" s="25">
        <f ca="1">GrpD!Q$13</f>
        <v>1</v>
      </c>
      <c r="E7" s="25">
        <f ca="1">GrpD!R$13</f>
        <v>-5</v>
      </c>
      <c r="F7" s="25">
        <f ca="1">GrpD!S$13</f>
        <v>2</v>
      </c>
      <c r="G7" s="25">
        <f ca="1">GrpD!T$13</f>
        <v>7</v>
      </c>
      <c r="H7" s="25">
        <f ca="1">GrpD!U$13</f>
        <v>0</v>
      </c>
      <c r="I7" s="216">
        <f t="shared" ca="1" si="0"/>
        <v>9995020.0000890009</v>
      </c>
      <c r="J7" s="25" t="s">
        <v>31</v>
      </c>
      <c r="K7" s="25"/>
      <c r="L7" s="25">
        <f t="shared" ca="1" si="1"/>
        <v>0</v>
      </c>
      <c r="M7" s="25">
        <f ca="1">100-INDEX(Language!$D$5:$D$62,MATCH($C7,Language!$E$5:$E$62,0),1)</f>
        <v>89</v>
      </c>
    </row>
    <row r="8" spans="1:13" ht="14.5">
      <c r="A8" s="25"/>
      <c r="B8" s="25" t="s">
        <v>504</v>
      </c>
      <c r="C8" t="str">
        <f ca="1">GrpE!P$13</f>
        <v>Slovakia</v>
      </c>
      <c r="D8" s="25">
        <f ca="1">GrpE!Q$13</f>
        <v>2</v>
      </c>
      <c r="E8" s="25">
        <f ca="1">GrpE!R$13</f>
        <v>-2</v>
      </c>
      <c r="F8" s="25">
        <f ca="1">GrpE!S$13</f>
        <v>3</v>
      </c>
      <c r="G8" s="25">
        <f ca="1">GrpE!T$13</f>
        <v>5</v>
      </c>
      <c r="H8" s="25">
        <f ca="1">GrpE!U$13</f>
        <v>0</v>
      </c>
      <c r="I8" s="216">
        <f t="shared" ca="1" si="0"/>
        <v>19998030.000084002</v>
      </c>
      <c r="J8" s="25" t="s">
        <v>28</v>
      </c>
      <c r="K8" s="25"/>
      <c r="L8" s="25">
        <f t="shared" ca="1" si="1"/>
        <v>0</v>
      </c>
      <c r="M8" s="25">
        <f ca="1">100-INDEX(Language!$D$5:$D$62,MATCH($C8,Language!$E$5:$E$62,0),1)</f>
        <v>84</v>
      </c>
    </row>
    <row r="9" spans="1:13" ht="14.5">
      <c r="A9" s="25"/>
      <c r="B9" s="25" t="s">
        <v>505</v>
      </c>
      <c r="C9" t="str">
        <f ca="1">GrpF!P$13</f>
        <v>Türkiye</v>
      </c>
      <c r="D9" s="25">
        <f ca="1">GrpF!Q$13</f>
        <v>3</v>
      </c>
      <c r="E9" s="25">
        <f ca="1">GrpF!R$13</f>
        <v>-2</v>
      </c>
      <c r="F9" s="25">
        <f ca="1">GrpF!S$13</f>
        <v>2</v>
      </c>
      <c r="G9" s="25">
        <f ca="1">GrpF!T$13</f>
        <v>4</v>
      </c>
      <c r="H9" s="25">
        <f ca="1">GrpF!U$13</f>
        <v>1</v>
      </c>
      <c r="I9" s="216">
        <f t="shared" ca="1" si="0"/>
        <v>29998020.001092996</v>
      </c>
      <c r="J9" s="25" t="s">
        <v>29</v>
      </c>
      <c r="K9" s="25"/>
      <c r="L9" s="25">
        <f t="shared" ca="1" si="1"/>
        <v>0</v>
      </c>
      <c r="M9" s="25">
        <f ca="1">100-INDEX(Language!$D$5:$D$62,MATCH($C9,Language!$E$5:$E$62,0),1)</f>
        <v>93</v>
      </c>
    </row>
    <row r="10" spans="4:11" ht="15" thickBot="1">
      <c r="D10" s="72" t="s">
        <v>616</v>
      </c>
      <c r="E10" s="72" t="s">
        <v>191</v>
      </c>
      <c r="F10" s="218" t="s">
        <v>617</v>
      </c>
      <c r="G10" s="218" t="s">
        <v>618</v>
      </c>
      <c r="H10" s="72" t="s">
        <v>691</v>
      </c>
      <c r="I10" s="218" t="s">
        <v>193</v>
      </c>
      <c r="J10" s="72" t="s">
        <v>554</v>
      </c>
      <c r="K10" s="25"/>
    </row>
    <row r="11" spans="2:20" ht="15" thickTop="1">
      <c r="B11" s="267" t="s">
        <v>32</v>
      </c>
      <c r="C11" s="268" t="str">
        <f ca="1" t="shared" si="2" ref="C11:H11">INDEX(C$4:C$9,MATCH($I11,$I$4:$I$9,0))</f>
        <v>Denmark</v>
      </c>
      <c r="D11" s="288">
        <f t="shared" ca="1" si="2"/>
        <v>5</v>
      </c>
      <c r="E11" s="269">
        <f t="shared" ca="1" si="2"/>
        <v>1</v>
      </c>
      <c r="F11" s="282">
        <f t="shared" ca="1" si="2"/>
        <v>3</v>
      </c>
      <c r="G11" s="283">
        <f t="shared" ca="1" si="2"/>
        <v>2</v>
      </c>
      <c r="H11" s="283">
        <f t="shared" ca="1" si="2"/>
        <v>1</v>
      </c>
      <c r="I11" s="270">
        <f ca="1">LARGE($I$4:$I$9,ROW($I4)-3)</f>
        <v>50001030.001091003</v>
      </c>
      <c r="J11" s="292" t="str">
        <f ca="1">INDEX(J$4:J$9,MATCH($I11,$I$4:$I$9,0))</f>
        <v>C</v>
      </c>
      <c r="K11" s="291"/>
      <c r="L11" s="269">
        <f t="array" ca="1" ref="L11">SUM(IF($J$11:$J$14&lt;$J11,1))</f>
        <v>2</v>
      </c>
      <c r="M11" s="269" t="str">
        <f ca="1">INDEX($J$11:$J$14,MATCH(ROW()-11,$L$11:$L$14,0))</f>
        <v>A</v>
      </c>
      <c r="N11" s="288">
        <f ca="1">D11</f>
        <v>5</v>
      </c>
      <c r="O11" s="279">
        <f ca="1">F11</f>
        <v>3</v>
      </c>
      <c r="P11" s="261" t="s">
        <v>506</v>
      </c>
      <c r="Q11" s="262">
        <f ca="1">G11</f>
        <v>2</v>
      </c>
      <c r="S11" s="25"/>
      <c r="T11" s="25"/>
    </row>
    <row r="12" spans="2:20" ht="14.5">
      <c r="B12" s="271" t="s">
        <v>33</v>
      </c>
      <c r="C12" s="272" t="str">
        <f ca="1" t="shared" si="3" ref="C12:C16">INDEX(C$4:C$9,MATCH($I12,$I$4:$I$9,0))</f>
        <v>Italy</v>
      </c>
      <c r="D12" s="289">
        <f ca="1" t="shared" si="4" ref="D12:H16">INDEX(D$4:D$9,MATCH($I12,$I$4:$I$9,0))</f>
        <v>4</v>
      </c>
      <c r="E12" s="273">
        <f t="shared" ca="1" si="4"/>
        <v>3</v>
      </c>
      <c r="F12" s="284">
        <f t="shared" ca="1" si="4"/>
        <v>6</v>
      </c>
      <c r="G12" s="285">
        <f t="shared" ca="1" si="4"/>
        <v>3</v>
      </c>
      <c r="H12" s="285">
        <f t="shared" ca="1" si="4"/>
        <v>1</v>
      </c>
      <c r="I12" s="274">
        <f ca="1" t="shared" si="5" ref="I12:I16">LARGE($I$4:$I$9,ROW($I5)-3)</f>
        <v>40003060.001082003</v>
      </c>
      <c r="J12" s="293" t="str">
        <f ca="1" t="shared" si="6" ref="J12:J16">INDEX(J$4:J$9,MATCH($I12,$I$4:$I$9,0))</f>
        <v>B</v>
      </c>
      <c r="K12" s="285"/>
      <c r="L12" s="273">
        <f t="array" ca="1" ref="L12">SUM(IF($J$11:$J$14&lt;$J12,1))</f>
        <v>1</v>
      </c>
      <c r="M12" s="273" t="str">
        <f ca="1" t="shared" si="7" ref="M12:M14">INDEX($J$11:$J$14,MATCH(ROW()-11,$L$11:$L$14,0))</f>
        <v>B</v>
      </c>
      <c r="N12" s="289">
        <f ca="1" t="shared" si="8" ref="N12:N16">D12</f>
        <v>4</v>
      </c>
      <c r="O12" s="280">
        <f ca="1" t="shared" si="9" ref="O12:O16">F12</f>
        <v>6</v>
      </c>
      <c r="P12" s="263" t="s">
        <v>506</v>
      </c>
      <c r="Q12" s="264">
        <f ca="1" t="shared" si="10" ref="Q12:Q16">G12</f>
        <v>3</v>
      </c>
      <c r="S12" s="25"/>
      <c r="T12" s="25"/>
    </row>
    <row r="13" spans="2:20" ht="14.5">
      <c r="B13" s="271" t="s">
        <v>34</v>
      </c>
      <c r="C13" s="272" t="str">
        <f t="shared" ca="1" si="3"/>
        <v>Scotland</v>
      </c>
      <c r="D13" s="289">
        <f t="shared" ca="1" si="4"/>
        <v>3</v>
      </c>
      <c r="E13" s="273">
        <f t="shared" ca="1" si="4"/>
        <v>-1</v>
      </c>
      <c r="F13" s="284">
        <f t="shared" ca="1" si="4"/>
        <v>3</v>
      </c>
      <c r="G13" s="285">
        <f t="shared" ca="1" si="4"/>
        <v>4</v>
      </c>
      <c r="H13" s="285">
        <f t="shared" ca="1" si="4"/>
        <v>1</v>
      </c>
      <c r="I13" s="274">
        <f t="shared" ca="1" si="5"/>
        <v>29999030.001086999</v>
      </c>
      <c r="J13" s="293" t="str">
        <f t="shared" ca="1" si="6"/>
        <v>A</v>
      </c>
      <c r="K13" s="285"/>
      <c r="L13" s="273">
        <f t="array" ca="1" ref="L13">SUM(IF($J$11:$J$14&lt;$J13,1))</f>
        <v>0</v>
      </c>
      <c r="M13" s="273" t="str">
        <f t="shared" ca="1" si="7"/>
        <v>C</v>
      </c>
      <c r="N13" s="289">
        <f t="shared" ca="1" si="8"/>
        <v>3</v>
      </c>
      <c r="O13" s="280">
        <f t="shared" ca="1" si="9"/>
        <v>3</v>
      </c>
      <c r="P13" s="263" t="s">
        <v>506</v>
      </c>
      <c r="Q13" s="264">
        <f t="shared" ca="1" si="10"/>
        <v>4</v>
      </c>
      <c r="S13" s="25"/>
      <c r="T13" s="25"/>
    </row>
    <row r="14" spans="2:20" ht="14.5">
      <c r="B14" s="271" t="s">
        <v>35</v>
      </c>
      <c r="C14" s="272" t="str">
        <f t="shared" ca="1" si="3"/>
        <v>Türkiye</v>
      </c>
      <c r="D14" s="289">
        <f t="shared" ca="1" si="4"/>
        <v>3</v>
      </c>
      <c r="E14" s="273">
        <f t="shared" ca="1" si="4"/>
        <v>-2</v>
      </c>
      <c r="F14" s="284">
        <f t="shared" ca="1" si="4"/>
        <v>2</v>
      </c>
      <c r="G14" s="285">
        <f t="shared" ca="1" si="4"/>
        <v>4</v>
      </c>
      <c r="H14" s="285">
        <f t="shared" ca="1" si="4"/>
        <v>1</v>
      </c>
      <c r="I14" s="274">
        <f t="shared" ca="1" si="5"/>
        <v>29998020.001092996</v>
      </c>
      <c r="J14" s="293" t="str">
        <f t="shared" ca="1" si="6"/>
        <v>F</v>
      </c>
      <c r="K14" s="285"/>
      <c r="L14" s="273">
        <f t="array" ca="1" ref="L14">SUM(IF($J$11:$J$14&lt;$J14,1))</f>
        <v>3</v>
      </c>
      <c r="M14" s="273" t="str">
        <f t="shared" ca="1" si="7"/>
        <v>F</v>
      </c>
      <c r="N14" s="289">
        <f t="shared" ca="1" si="8"/>
        <v>3</v>
      </c>
      <c r="O14" s="280">
        <f t="shared" ca="1" si="9"/>
        <v>2</v>
      </c>
      <c r="P14" s="263" t="s">
        <v>506</v>
      </c>
      <c r="Q14" s="264">
        <f t="shared" ca="1" si="10"/>
        <v>4</v>
      </c>
      <c r="S14" s="25"/>
      <c r="T14" s="25"/>
    </row>
    <row r="15" spans="2:17" ht="14.5">
      <c r="B15" s="271" t="s">
        <v>504</v>
      </c>
      <c r="C15" s="272" t="str">
        <f t="shared" ca="1" si="3"/>
        <v>Slovakia</v>
      </c>
      <c r="D15" s="289">
        <f t="shared" ca="1" si="4"/>
        <v>2</v>
      </c>
      <c r="E15" s="273">
        <f t="shared" ca="1" si="4"/>
        <v>-2</v>
      </c>
      <c r="F15" s="284">
        <f t="shared" ca="1" si="4"/>
        <v>3</v>
      </c>
      <c r="G15" s="285">
        <f t="shared" ca="1" si="4"/>
        <v>5</v>
      </c>
      <c r="H15" s="285">
        <f t="shared" ca="1" si="4"/>
        <v>0</v>
      </c>
      <c r="I15" s="274">
        <f t="shared" ca="1" si="5"/>
        <v>19998030.000084002</v>
      </c>
      <c r="J15" s="293" t="str">
        <f t="shared" ca="1" si="6"/>
        <v>E</v>
      </c>
      <c r="K15" s="285"/>
      <c r="L15" s="272"/>
      <c r="M15" s="272"/>
      <c r="N15" s="289">
        <f t="shared" ca="1" si="8"/>
        <v>2</v>
      </c>
      <c r="O15" s="280">
        <f t="shared" ca="1" si="9"/>
        <v>3</v>
      </c>
      <c r="P15" s="263" t="s">
        <v>506</v>
      </c>
      <c r="Q15" s="264">
        <f t="shared" ca="1" si="10"/>
        <v>5</v>
      </c>
    </row>
    <row r="16" spans="2:17" ht="15" thickBot="1">
      <c r="B16" s="275" t="s">
        <v>505</v>
      </c>
      <c r="C16" s="276" t="str">
        <f t="shared" ca="1" si="3"/>
        <v>Austria</v>
      </c>
      <c r="D16" s="290">
        <f t="shared" ca="1" si="4"/>
        <v>1</v>
      </c>
      <c r="E16" s="277">
        <f t="shared" ca="1" si="4"/>
        <v>-5</v>
      </c>
      <c r="F16" s="286">
        <f t="shared" ca="1" si="4"/>
        <v>2</v>
      </c>
      <c r="G16" s="287">
        <f t="shared" ca="1" si="4"/>
        <v>7</v>
      </c>
      <c r="H16" s="287">
        <f t="shared" ca="1" si="4"/>
        <v>0</v>
      </c>
      <c r="I16" s="278">
        <f t="shared" ca="1" si="5"/>
        <v>9995020.0000890009</v>
      </c>
      <c r="J16" s="294" t="str">
        <f t="shared" ca="1" si="6"/>
        <v>D</v>
      </c>
      <c r="K16" s="287"/>
      <c r="L16" s="276"/>
      <c r="M16" s="276"/>
      <c r="N16" s="290">
        <f t="shared" ca="1" si="8"/>
        <v>1</v>
      </c>
      <c r="O16" s="281">
        <f t="shared" ca="1" si="9"/>
        <v>2</v>
      </c>
      <c r="P16" s="265" t="s">
        <v>506</v>
      </c>
      <c r="Q16" s="266">
        <f t="shared" ca="1" si="10"/>
        <v>7</v>
      </c>
    </row>
    <row r="17" spans="13:13" ht="15" thickTop="1">
      <c r="M17" s="231"/>
    </row>
    <row r="18" spans="4:13" ht="14.5">
      <c r="D18" s="25"/>
      <c r="E18" s="25"/>
      <c r="F18" s="25"/>
      <c r="G18" s="863" t="s">
        <v>561</v>
      </c>
      <c r="H18" s="863"/>
      <c r="I18" s="863"/>
      <c r="J18" s="25" t="str">
        <f ca="1">M11&amp;" "&amp;M12&amp;" "&amp;M13&amp;" "&amp;M14</f>
        <v>A B C F</v>
      </c>
      <c r="K18" s="25"/>
      <c r="L18" s="25"/>
      <c r="M18" s="25"/>
    </row>
    <row r="19" spans="4:13" ht="14.5">
      <c r="D19" s="25"/>
      <c r="E19" s="25"/>
      <c r="F19" s="25"/>
      <c r="G19" s="25"/>
      <c r="H19" s="25"/>
      <c r="J19" s="25"/>
      <c r="K19" s="25"/>
      <c r="L19" s="25"/>
      <c r="M19" s="25"/>
    </row>
    <row r="21" spans="9:10" ht="14.5">
      <c r="I21" s="260" t="s">
        <v>1131</v>
      </c>
      <c r="J21" s="48">
        <f ca="1">IF(AND(TRUNC($I$14,4)=TRUNC($I$15,4),Distinctness!$G$13&gt;0),1,0)</f>
        <v>0</v>
      </c>
    </row>
  </sheetData>
  <mergeCells count="1">
    <mergeCell ref="G18:I18"/>
  </mergeCells>
  <pageMargins left="0.7" right="0.7" top="0.787401575" bottom="0.7874015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B2:D35"/>
  <sheetViews>
    <sheetView showGridLines="0" showRowColHeaders="0" workbookViewId="0" topLeftCell="A1">
      <selection pane="topLeft" activeCell="C7" sqref="C7"/>
    </sheetView>
  </sheetViews>
  <sheetFormatPr defaultColWidth="0" defaultRowHeight="14.5" zeroHeight="1"/>
  <cols>
    <col min="1" max="1" width="11.4285714285714" customWidth="1"/>
    <col min="2" max="2" width="7.85714285714286" customWidth="1"/>
    <col min="3" max="3" width="6.42857142857143" customWidth="1"/>
    <col min="4" max="4" width="25.7142857142857" customWidth="1"/>
    <col min="5" max="5" width="11.4285714285714" customWidth="1"/>
    <col min="6" max="16384" width="11.4285714285714" hidden="1"/>
  </cols>
  <sheetData>
    <row r="1" ht="14.5"/>
    <row r="2" spans="2:4" ht="28.5">
      <c r="B2" s="867" t="str">
        <f>Language!$E$91</f>
        <v>Groups</v>
      </c>
      <c r="C2" s="867"/>
      <c r="D2" s="867"/>
    </row>
    <row r="3" ht="15" thickBot="1"/>
    <row r="4" spans="2:4" ht="15" thickTop="1">
      <c r="B4" s="871" t="s">
        <v>372</v>
      </c>
      <c r="C4" s="884" t="s">
        <v>371</v>
      </c>
      <c r="D4" s="886" t="s">
        <v>370</v>
      </c>
    </row>
    <row r="5" spans="2:4" ht="14.5">
      <c r="B5" s="883"/>
      <c r="C5" s="885"/>
      <c r="D5" s="887"/>
    </row>
    <row r="6" spans="2:4" ht="15.5">
      <c r="B6" s="136"/>
      <c r="C6" s="190"/>
      <c r="D6" s="191" t="s">
        <v>30</v>
      </c>
    </row>
    <row r="7" spans="2:4" ht="14.5">
      <c r="B7" s="137" t="s">
        <v>170</v>
      </c>
      <c r="C7" s="320">
        <v>54</v>
      </c>
      <c r="D7" s="188" t="str">
        <f>VLOOKUP($C7,Language!$D$5:$E$63,2,0)</f>
        <v>Germany</v>
      </c>
    </row>
    <row r="8" spans="2:4" ht="14.5">
      <c r="B8" s="137" t="s">
        <v>171</v>
      </c>
      <c r="C8" s="321">
        <v>13</v>
      </c>
      <c r="D8" s="188" t="str">
        <f>VLOOKUP($C8,Language!$D$5:$E$63,2,0)</f>
        <v>Scotland</v>
      </c>
    </row>
    <row r="9" spans="2:4" ht="14.5">
      <c r="B9" s="137" t="s">
        <v>172</v>
      </c>
      <c r="C9" s="321">
        <v>6</v>
      </c>
      <c r="D9" s="188" t="str">
        <f>VLOOKUP($C9,Language!$D$5:$E$63,2,0)</f>
        <v>Hungary</v>
      </c>
    </row>
    <row r="10" spans="2:4" ht="14.5">
      <c r="B10" s="138" t="s">
        <v>173</v>
      </c>
      <c r="C10" s="320">
        <v>20</v>
      </c>
      <c r="D10" s="188" t="str">
        <f>VLOOKUP($C10,Language!$D$5:$E$63,2,0)</f>
        <v>Switzerland</v>
      </c>
    </row>
    <row r="11" spans="2:4" ht="15.5">
      <c r="B11" s="139"/>
      <c r="C11" s="190"/>
      <c r="D11" s="191" t="s">
        <v>26</v>
      </c>
    </row>
    <row r="12" spans="2:4" ht="14.5">
      <c r="B12" s="137" t="s">
        <v>174</v>
      </c>
      <c r="C12" s="321">
        <v>3</v>
      </c>
      <c r="D12" s="188" t="str">
        <f>VLOOKUP($C12,Language!$D$5:$E$63,2,0)</f>
        <v>Spain</v>
      </c>
    </row>
    <row r="13" spans="2:4" ht="14.5">
      <c r="B13" s="137" t="s">
        <v>175</v>
      </c>
      <c r="C13" s="320">
        <v>14</v>
      </c>
      <c r="D13" s="188" t="str">
        <f>VLOOKUP($C13,Language!$D$5:$E$63,2,0)</f>
        <v>Croatia</v>
      </c>
    </row>
    <row r="14" spans="2:4" ht="14.5">
      <c r="B14" s="137" t="s">
        <v>176</v>
      </c>
      <c r="C14" s="321">
        <v>18</v>
      </c>
      <c r="D14" s="188" t="str">
        <f>VLOOKUP($C14,Language!$D$5:$E$63,2,0)</f>
        <v>Italy</v>
      </c>
    </row>
    <row r="15" spans="2:4" ht="14.5">
      <c r="B15" s="138" t="s">
        <v>177</v>
      </c>
      <c r="C15" s="321">
        <v>10</v>
      </c>
      <c r="D15" s="188" t="str">
        <f>VLOOKUP($C15,Language!$D$5:$E$63,2,0)</f>
        <v>Albania</v>
      </c>
    </row>
    <row r="16" spans="2:4" ht="15.5">
      <c r="B16" s="139"/>
      <c r="C16" s="190"/>
      <c r="D16" s="191" t="s">
        <v>27</v>
      </c>
    </row>
    <row r="17" spans="2:4" ht="14.5">
      <c r="B17" s="137" t="s">
        <v>178</v>
      </c>
      <c r="C17" s="321">
        <v>15</v>
      </c>
      <c r="D17" s="188" t="str">
        <f>VLOOKUP($C17,Language!$D$5:$E$63,2,0)</f>
        <v>Slovenia</v>
      </c>
    </row>
    <row r="18" spans="2:4" ht="14.5">
      <c r="B18" s="137" t="s">
        <v>179</v>
      </c>
      <c r="C18" s="321">
        <v>9</v>
      </c>
      <c r="D18" s="188" t="str">
        <f>VLOOKUP($C18,Language!$D$5:$E$63,2,0)</f>
        <v>Denmark</v>
      </c>
    </row>
    <row r="19" spans="2:4" ht="14.5">
      <c r="B19" s="137" t="s">
        <v>180</v>
      </c>
      <c r="C19" s="321">
        <v>19</v>
      </c>
      <c r="D19" s="188" t="str">
        <f>VLOOKUP($C19,Language!$D$5:$E$63,2,0)</f>
        <v>Serbia</v>
      </c>
    </row>
    <row r="20" spans="2:4" ht="14.5">
      <c r="B20" s="138" t="s">
        <v>181</v>
      </c>
      <c r="C20" s="321">
        <v>5</v>
      </c>
      <c r="D20" s="188" t="str">
        <f>VLOOKUP($C20,Language!$D$5:$E$63,2,0)</f>
        <v>England</v>
      </c>
    </row>
    <row r="21" spans="2:4" ht="15.5">
      <c r="B21" s="139"/>
      <c r="C21" s="190"/>
      <c r="D21" s="191" t="s">
        <v>31</v>
      </c>
    </row>
    <row r="22" spans="2:4" ht="14.5">
      <c r="B22" s="137" t="s">
        <v>182</v>
      </c>
      <c r="C22" s="321">
        <v>26</v>
      </c>
      <c r="D22" s="188" t="str">
        <f>VLOOKUP($C22,Language!$D$5:$E$63,2,0)</f>
        <v>Poland</v>
      </c>
    </row>
    <row r="23" spans="2:4" ht="14.5">
      <c r="B23" s="137" t="s">
        <v>183</v>
      </c>
      <c r="C23" s="321">
        <v>12</v>
      </c>
      <c r="D23" s="188" t="str">
        <f>VLOOKUP($C23,Language!$D$5:$E$63,2,0)</f>
        <v>Netherlands</v>
      </c>
    </row>
    <row r="24" spans="2:4" ht="14.5">
      <c r="B24" s="137" t="s">
        <v>184</v>
      </c>
      <c r="C24" s="321">
        <v>11</v>
      </c>
      <c r="D24" s="188" t="str">
        <f>VLOOKUP($C24,Language!$D$5:$E$63,2,0)</f>
        <v>Austria</v>
      </c>
    </row>
    <row r="25" spans="2:4" ht="14.5">
      <c r="B25" s="138" t="s">
        <v>185</v>
      </c>
      <c r="C25" s="320">
        <v>2</v>
      </c>
      <c r="D25" s="188" t="str">
        <f>VLOOKUP($C25,Language!$D$5:$E$63,2,0)</f>
        <v>France</v>
      </c>
    </row>
    <row r="26" spans="2:4" ht="15.5">
      <c r="B26" s="139"/>
      <c r="C26" s="190"/>
      <c r="D26" s="191" t="s">
        <v>28</v>
      </c>
    </row>
    <row r="27" spans="2:4" ht="14.5">
      <c r="B27" s="137" t="s">
        <v>186</v>
      </c>
      <c r="C27" s="321">
        <v>4</v>
      </c>
      <c r="D27" s="188" t="str">
        <f>VLOOKUP($C27,Language!$D$5:$E$63,2,0)</f>
        <v>Belgium</v>
      </c>
    </row>
    <row r="28" spans="2:4" ht="14.5">
      <c r="B28" s="137" t="s">
        <v>187</v>
      </c>
      <c r="C28" s="320">
        <v>16</v>
      </c>
      <c r="D28" s="188" t="str">
        <f>VLOOKUP($C28,Language!$D$5:$E$63,2,0)</f>
        <v>Slovakia</v>
      </c>
    </row>
    <row r="29" spans="2:4" ht="14.5">
      <c r="B29" s="137" t="s">
        <v>188</v>
      </c>
      <c r="C29" s="321">
        <v>8</v>
      </c>
      <c r="D29" s="188" t="str">
        <f>VLOOKUP($C29,Language!$D$5:$E$63,2,0)</f>
        <v>Romania</v>
      </c>
    </row>
    <row r="30" spans="2:4" ht="14.5">
      <c r="B30" s="138" t="s">
        <v>189</v>
      </c>
      <c r="C30" s="320">
        <v>21</v>
      </c>
      <c r="D30" s="188" t="str">
        <f>VLOOKUP($C30,Language!$D$5:$E$63,2,0)</f>
        <v>Ukraine</v>
      </c>
    </row>
    <row r="31" spans="2:4" ht="15.5">
      <c r="B31" s="139"/>
      <c r="C31" s="190"/>
      <c r="D31" s="191" t="s">
        <v>29</v>
      </c>
    </row>
    <row r="32" spans="2:4" ht="14.5">
      <c r="B32" s="137" t="s">
        <v>261</v>
      </c>
      <c r="C32" s="320">
        <v>7</v>
      </c>
      <c r="D32" s="188" t="str">
        <f>VLOOKUP($C32,Language!$D$5:$E$63,2,0)</f>
        <v>Türkiye</v>
      </c>
    </row>
    <row r="33" spans="2:4" ht="14.5">
      <c r="B33" s="137" t="s">
        <v>262</v>
      </c>
      <c r="C33" s="321">
        <v>34</v>
      </c>
      <c r="D33" s="188" t="str">
        <f>VLOOKUP($C33,Language!$D$5:$E$63,2,0)</f>
        <v>Georgia</v>
      </c>
    </row>
    <row r="34" spans="2:4" ht="14.5">
      <c r="B34" s="137" t="s">
        <v>263</v>
      </c>
      <c r="C34" s="320">
        <v>1</v>
      </c>
      <c r="D34" s="188" t="str">
        <f>VLOOKUP($C34,Language!$D$5:$E$63,2,0)</f>
        <v>Portugal</v>
      </c>
    </row>
    <row r="35" spans="2:4" ht="15" thickBot="1">
      <c r="B35" s="140" t="s">
        <v>264</v>
      </c>
      <c r="C35" s="322">
        <v>17</v>
      </c>
      <c r="D35" s="232" t="str">
        <f>VLOOKUP($C35,Language!$D$5:$E$63,2,0)</f>
        <v>Czechia</v>
      </c>
    </row>
    <row r="36" ht="15" thickTop="1"/>
    <row r="37" ht="14.5"/>
    <row r="38" ht="14.5"/>
    <row r="39" ht="14.5"/>
    <row r="40" ht="14.5"/>
    <row r="41" ht="14.5"/>
  </sheetData>
  <sheetProtection sheet="1" objects="1" scenarios="1" selectLockedCells="1"/>
  <mergeCells count="4">
    <mergeCell ref="B4:B5"/>
    <mergeCell ref="C4:C5"/>
    <mergeCell ref="D4:D5"/>
    <mergeCell ref="B2:D2"/>
  </mergeCells>
  <conditionalFormatting sqref="B4:D5">
    <cfRule type="expression" priority="1" dxfId="19">
      <formula>XEY8</formula>
    </cfRule>
  </conditionalFormatting>
  <pageMargins left="0.7" right="0.7" top="0.787401575" bottom="0.787401575" header="0.3" footer="0.3"/>
  <pageSetup orientation="portrait" paperSize="9"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N58"/>
  <sheetViews>
    <sheetView showGridLines="0" showRowColHeaders="0" workbookViewId="0" topLeftCell="A1">
      <selection pane="topLeft" activeCell="C4" sqref="C4"/>
    </sheetView>
  </sheetViews>
  <sheetFormatPr defaultColWidth="0" defaultRowHeight="14.5" zeroHeight="1"/>
  <cols>
    <col min="1" max="1" width="11.4285714285714" customWidth="1"/>
    <col min="2" max="2" width="9.28571428571429" customWidth="1"/>
    <col min="3" max="3" width="7.57142857142857" style="25" customWidth="1"/>
    <col min="4" max="4" width="9.28571428571429" style="25" customWidth="1"/>
    <col min="5" max="5" width="27.2857142857143" customWidth="1"/>
    <col min="6" max="6" width="26.7142857142857" customWidth="1"/>
    <col min="7" max="7" width="8.28571428571429" customWidth="1"/>
    <col min="8" max="8" width="21.5714285714286" customWidth="1"/>
    <col min="9" max="9" width="18" customWidth="1"/>
    <col min="10" max="10" width="19" customWidth="1"/>
    <col min="11" max="11" width="18.1428571428571" customWidth="1"/>
    <col min="12" max="12" width="10.2857142857143" customWidth="1"/>
    <col min="13" max="13" width="11" style="25" customWidth="1"/>
    <col min="14" max="14" width="23" style="25" customWidth="1"/>
    <col min="15" max="15" width="4.71428571428571" style="25" customWidth="1"/>
    <col min="16" max="16384" width="11.4285714285714" hidden="1"/>
  </cols>
  <sheetData>
    <row r="1" spans="1:10" ht="28.5">
      <c r="A1" s="126"/>
      <c r="B1" s="859" t="str">
        <f>Language!$E$88</f>
        <v>Matches</v>
      </c>
      <c r="C1" s="859"/>
      <c r="D1" s="859"/>
      <c r="E1" s="859"/>
      <c r="F1" s="859"/>
      <c r="G1" s="859"/>
      <c r="H1" s="859"/>
      <c r="I1" s="859"/>
      <c r="J1" s="859"/>
    </row>
    <row r="2" spans="1:10" ht="18.75" customHeight="1" thickBot="1">
      <c r="A2" s="125"/>
      <c r="B2" s="78"/>
      <c r="C2" s="78"/>
      <c r="D2" s="78"/>
      <c r="E2" s="78"/>
      <c r="F2" s="78"/>
      <c r="G2" s="78"/>
      <c r="H2" s="78"/>
      <c r="I2" s="78"/>
      <c r="J2" s="78"/>
    </row>
    <row r="3" spans="1:11" ht="30" customHeight="1" thickTop="1" thickBot="1">
      <c r="A3" s="125"/>
      <c r="B3" s="124" t="s">
        <v>363</v>
      </c>
      <c r="C3" s="888" t="s">
        <v>311</v>
      </c>
      <c r="D3" s="888"/>
      <c r="E3" s="114" t="s">
        <v>368</v>
      </c>
      <c r="F3" s="114" t="s">
        <v>280</v>
      </c>
      <c r="G3" s="164" t="s">
        <v>361</v>
      </c>
      <c r="H3" s="114" t="s">
        <v>362</v>
      </c>
      <c r="I3" s="114" t="s">
        <v>277</v>
      </c>
      <c r="J3" s="114" t="s">
        <v>278</v>
      </c>
      <c r="K3" s="115" t="s">
        <v>369</v>
      </c>
    </row>
    <row r="4" spans="2:14" ht="14.5">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2:11" ht="14.5">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2:11" ht="14.5">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2:11" ht="14.5">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2:11" ht="14.5">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2:11" ht="14.5">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2:11" ht="14.5">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2:11" ht="14.5">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2:11" ht="14.5">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2:11" ht="14.5">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2:11" ht="14.5">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2:11" ht="14.5">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2:11" ht="14.5">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ht="14.5">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ht="14.5">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ht="14.5">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ht="14.5">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ht="14.5">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ht="14.5">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ht="14.5">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ht="14.5">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ht="14.5">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ht="14.5">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ht="14.5">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ht="14.5">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ht="14.5">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ht="14.5">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ht="14.5">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ht="14.5">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1" ht="14.5">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1" ht="14.5">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1" ht="14.5">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1" ht="14.5">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1" ht="14.5">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1" ht="14.5">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1" ht="14.5">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1" ht="15" thickBot="1">
      <c r="B40" s="88" t="s">
        <v>131</v>
      </c>
      <c r="C40" s="109"/>
      <c r="D40" s="109"/>
      <c r="E40" s="62"/>
      <c r="F40" s="63"/>
      <c r="G40" s="165"/>
      <c r="H40" s="63"/>
      <c r="I40" s="63"/>
      <c r="J40" s="63"/>
      <c r="K40" s="117"/>
    </row>
    <row r="41" spans="2:14" ht="14.5">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Hungary</v>
      </c>
      <c r="J41" s="122" t="str">
        <f ca="1">VLOOKUP(D41,$M$41:$N$56,2,0)</f>
        <v>Serbia</v>
      </c>
      <c r="K41" s="329">
        <v>2</v>
      </c>
      <c r="L41" s="60"/>
      <c r="M41" s="178" t="s">
        <v>2</v>
      </c>
      <c r="N41" s="179" t="str">
        <f ca="1">EURO!$B$46</f>
        <v>Hungary</v>
      </c>
    </row>
    <row r="42" spans="2:14" ht="14.5">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ca="1" t="shared" si="0" ref="I42:J48">VLOOKUP(C42,$M$41:$N$56,2,0)</f>
        <v>Germany</v>
      </c>
      <c r="J42" s="122" t="str">
        <f t="shared" ca="1" si="0"/>
        <v>Spain</v>
      </c>
      <c r="K42" s="329">
        <v>1</v>
      </c>
      <c r="L42" s="60"/>
      <c r="M42" s="180" t="s">
        <v>8</v>
      </c>
      <c r="N42" s="181" t="str">
        <f ca="1">EURO!$B$47</f>
        <v>Germany</v>
      </c>
    </row>
    <row r="43" spans="2:14" ht="14.5">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Croatia</v>
      </c>
      <c r="J43" s="122" t="str">
        <f t="shared" ca="1" si="0"/>
        <v>Scotland</v>
      </c>
      <c r="K43" s="329">
        <v>4</v>
      </c>
      <c r="L43" s="60"/>
      <c r="M43" s="180" t="s">
        <v>3</v>
      </c>
      <c r="N43" s="181" t="str">
        <f ca="1">EURO!$E$46</f>
        <v>Croatia</v>
      </c>
    </row>
    <row r="44" spans="2:14" ht="14.5">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Türkiye</v>
      </c>
      <c r="K44" s="329">
        <v>3</v>
      </c>
      <c r="L44" s="60"/>
      <c r="M44" s="180" t="s">
        <v>9</v>
      </c>
      <c r="N44" s="181" t="str">
        <f ca="1">EURO!$E$47</f>
        <v>Spain</v>
      </c>
    </row>
    <row r="45" spans="2:14" ht="14.5">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Denmark</v>
      </c>
      <c r="K45" s="329">
        <v>6</v>
      </c>
      <c r="L45" s="60"/>
      <c r="M45" s="180" t="s">
        <v>4</v>
      </c>
      <c r="N45" s="181" t="str">
        <f ca="1">EURO!$H$46</f>
        <v>England</v>
      </c>
    </row>
    <row r="46" spans="2:14" ht="14.5">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Serbia</v>
      </c>
    </row>
    <row r="47" spans="2:14" ht="14.5">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Italy</v>
      </c>
      <c r="K47" s="329">
        <v>7</v>
      </c>
      <c r="L47" s="60"/>
      <c r="M47" s="180" t="s">
        <v>5</v>
      </c>
      <c r="N47" s="181" t="str">
        <f ca="1">EURO!$K$46</f>
        <v>France</v>
      </c>
    </row>
    <row r="48" spans="2:14" ht="14.5">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ht="14.5">
      <c r="B49" s="88" t="s">
        <v>132</v>
      </c>
      <c r="C49" s="109"/>
      <c r="D49" s="109"/>
      <c r="E49" s="62"/>
      <c r="F49" s="63"/>
      <c r="G49" s="165"/>
      <c r="H49" s="63"/>
      <c r="I49" s="63"/>
      <c r="J49" s="63"/>
      <c r="K49" s="119"/>
      <c r="M49" s="180" t="s">
        <v>6</v>
      </c>
      <c r="N49" s="181" t="str">
        <f ca="1">EURO!$N$46</f>
        <v>Belgium</v>
      </c>
    </row>
    <row r="50" spans="2:14" ht="14.5">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ht="14.5">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ht="14.5">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ht="14.5">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Scotland</v>
      </c>
    </row>
    <row r="54" spans="2:14" ht="14.5">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Türkiye</v>
      </c>
    </row>
    <row r="55" spans="2:14" ht="14.5">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Italy</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Denmark</v>
      </c>
    </row>
    <row r="57" spans="2:11" ht="14.5">
      <c r="B57" s="88" t="s">
        <v>66</v>
      </c>
      <c r="C57" s="109"/>
      <c r="D57" s="109"/>
      <c r="E57" s="62"/>
      <c r="F57" s="63"/>
      <c r="G57" s="165"/>
      <c r="H57" s="63"/>
      <c r="I57" s="63"/>
      <c r="J57" s="63"/>
      <c r="K57" s="119"/>
    </row>
    <row r="58" spans="2:11"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ht="15" thickTop="1"/>
    <row r="60" ht="14.5"/>
    <row r="61" ht="14.5"/>
  </sheetData>
  <sheetProtection sheet="1" selectLockedCells="1"/>
  <mergeCells count="2">
    <mergeCell ref="B1:J1"/>
    <mergeCell ref="C3:D3"/>
  </mergeCells>
  <pageMargins left="0.7" right="0.7" top="0.787401575" bottom="0.787401575" header="0.3" footer="0.3"/>
  <pageSetup orientation="portrait" paperSize="9"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topLeftCell="A1">
      <selection pane="topLeft" activeCell="D7" sqref="D7"/>
    </sheetView>
  </sheetViews>
  <sheetFormatPr defaultColWidth="10.9042857142857" defaultRowHeight="14.5"/>
  <cols>
    <col min="2" max="2" width="14.2857142857143" customWidth="1"/>
    <col min="3" max="3" width="15.2857142857143" customWidth="1"/>
    <col min="4" max="4" width="7.28571428571429" customWidth="1"/>
    <col min="5" max="5" width="18.2857142857143" customWidth="1"/>
  </cols>
  <sheetData>
    <row r="1" spans="2:3" ht="28.5">
      <c r="B1" s="889" t="s">
        <v>630</v>
      </c>
      <c r="C1" s="889"/>
    </row>
    <row r="3" spans="2:3" ht="15" thickBot="1">
      <c r="B3" s="44" t="s">
        <v>630</v>
      </c>
      <c r="C3" s="44" t="s">
        <v>1127</v>
      </c>
    </row>
    <row r="4" spans="2:3" ht="15" thickTop="1">
      <c r="B4" s="43">
        <v>10000000</v>
      </c>
      <c r="C4" s="210" t="s">
        <v>192</v>
      </c>
    </row>
    <row r="5" spans="2:3" ht="14.5">
      <c r="B5" s="42">
        <v>1000000</v>
      </c>
      <c r="C5" s="211" t="s">
        <v>203</v>
      </c>
    </row>
    <row r="6" spans="2:3" ht="14.5">
      <c r="B6" s="42">
        <v>100000</v>
      </c>
      <c r="C6" s="211" t="s">
        <v>204</v>
      </c>
    </row>
    <row r="7" spans="2:5" ht="14.5">
      <c r="B7" s="42">
        <v>1000</v>
      </c>
      <c r="C7" s="211" t="s">
        <v>201</v>
      </c>
      <c r="D7" s="42">
        <v>50</v>
      </c>
      <c r="E7" s="211" t="s">
        <v>496</v>
      </c>
    </row>
    <row r="8" spans="2:3" ht="14.5">
      <c r="B8" s="42">
        <v>10</v>
      </c>
      <c r="C8" s="211" t="s">
        <v>202</v>
      </c>
    </row>
    <row r="9" spans="2:3" ht="14.5">
      <c r="B9" s="42">
        <v>1</v>
      </c>
      <c r="C9" s="211" t="s">
        <v>480</v>
      </c>
    </row>
    <row r="10" spans="2:3" ht="14.5">
      <c r="B10" s="42">
        <v>0.10</v>
      </c>
      <c r="C10" s="211" t="s">
        <v>493</v>
      </c>
    </row>
    <row r="11" spans="2:3" ht="14.5">
      <c r="B11" s="42">
        <v>0.01</v>
      </c>
      <c r="C11" s="211" t="s">
        <v>485</v>
      </c>
    </row>
    <row r="12" spans="2:3" ht="14.5">
      <c r="B12" s="42">
        <v>0.001</v>
      </c>
      <c r="C12" s="211" t="s">
        <v>691</v>
      </c>
    </row>
    <row r="13" spans="2:3" ht="14.5">
      <c r="B13" s="42">
        <v>0.0001</v>
      </c>
      <c r="C13" s="211" t="s">
        <v>38</v>
      </c>
    </row>
    <row r="14" spans="2:3" ht="14.5">
      <c r="B14" s="42">
        <v>9.9999999999999995E-07</v>
      </c>
      <c r="C14" s="211" t="s">
        <v>547</v>
      </c>
    </row>
    <row r="15" spans="2:3" ht="14.5">
      <c r="B15" s="42">
        <v>9.9999999999999995E-08</v>
      </c>
      <c r="C15" s="211" t="s">
        <v>628</v>
      </c>
    </row>
  </sheetData>
  <sheetProtection selectLockedCells="1"/>
  <sortState ref="B7:C13">
    <sortCondition descending="1" sortBy="value" ref="B7:B13"/>
  </sortState>
  <mergeCells count="1">
    <mergeCell ref="B1:C1"/>
  </mergeCells>
  <pageMargins left="0.7" right="0.7" top="0.787401575" bottom="0.7874015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topLeftCell="A1">
      <selection pane="topLeft" activeCell="G13" sqref="G13"/>
    </sheetView>
  </sheetViews>
  <sheetFormatPr defaultColWidth="10.9042857142857" defaultRowHeight="14.5"/>
  <sheetData>
    <row r="1" spans="2:6" ht="23.5">
      <c r="B1" s="76" t="s">
        <v>312</v>
      </c>
      <c r="C1" s="76"/>
      <c r="D1" s="76"/>
      <c r="E1" s="76"/>
      <c r="F1" s="76"/>
    </row>
    <row r="3" spans="2:14" ht="14.5">
      <c r="B3" s="46" t="s">
        <v>210</v>
      </c>
      <c r="C3" s="46" t="s">
        <v>209</v>
      </c>
      <c r="D3" s="46" t="s">
        <v>208</v>
      </c>
      <c r="E3" s="46" t="s">
        <v>211</v>
      </c>
      <c r="F3" s="46" t="s">
        <v>318</v>
      </c>
      <c r="G3" s="46" t="s">
        <v>47</v>
      </c>
      <c r="H3" s="46" t="s">
        <v>207</v>
      </c>
      <c r="J3" s="73"/>
      <c r="K3" s="74"/>
      <c r="L3" s="74"/>
      <c r="M3" s="74"/>
      <c r="N3" s="74"/>
    </row>
    <row r="4" spans="2:14" ht="14.5">
      <c r="B4" s="25" t="s">
        <v>30</v>
      </c>
      <c r="C4" s="25">
        <f ca="1">GrpA!$X$11</f>
        <v>0</v>
      </c>
      <c r="D4" s="48">
        <f ca="1">COUNTIF($C$4:$C$9,"&gt;0")</f>
        <v>0</v>
      </c>
      <c r="E4" s="25" t="str">
        <f ca="1" t="shared" si="0" ref="E4:E9">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ht="14.5">
      <c r="B5" s="25" t="s">
        <v>26</v>
      </c>
      <c r="C5" s="25">
        <f ca="1">GrpB!$X$11</f>
        <v>0</v>
      </c>
      <c r="E5" s="25" t="str">
        <f t="shared" ca="1" si="0"/>
        <v/>
      </c>
      <c r="F5" s="25">
        <f ca="1" t="shared" si="1" ref="F5:F9">LEN($E5)</f>
        <v>0</v>
      </c>
      <c r="G5" s="25">
        <f ca="1">SUM($F$4:$F5)</f>
        <v>0</v>
      </c>
      <c r="H5" t="str">
        <f ca="1">IF($E5&lt;&gt;"",$E5&amp;IF($G5=$G$9,"",IF($G5&lt;$G$9-1,", ",Language!$E$140)),"")</f>
        <v/>
      </c>
      <c r="J5" s="892" t="str">
        <f>Language!$E$139</f>
        <v>The placement has been clarified in all groups.</v>
      </c>
      <c r="K5" s="892"/>
      <c r="L5" s="892"/>
      <c r="M5" s="892"/>
      <c r="N5" s="892"/>
    </row>
    <row r="6" spans="2:8" ht="14.5">
      <c r="B6" s="25" t="s">
        <v>27</v>
      </c>
      <c r="C6" s="25">
        <f ca="1">GrpC!$X$11</f>
        <v>0</v>
      </c>
      <c r="E6" s="25" t="str">
        <f t="shared" ca="1" si="0"/>
        <v/>
      </c>
      <c r="F6" s="25">
        <f t="shared" ca="1" si="1"/>
        <v>0</v>
      </c>
      <c r="G6" s="25">
        <f ca="1">SUM($F$4:$F6)</f>
        <v>0</v>
      </c>
      <c r="H6" t="str">
        <f ca="1">IF($E6&lt;&gt;"",$E6&amp;IF($G6=$G$9,"",IF($G6&lt;$G$9-1,", ",Language!$E$140)),"")</f>
        <v/>
      </c>
    </row>
    <row r="7" spans="2:14" ht="14.5">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ht="14.5">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8" ht="14.5">
      <c r="B9" s="25" t="s">
        <v>29</v>
      </c>
      <c r="C9" s="25">
        <f ca="1">GrpF!$X$11</f>
        <v>0</v>
      </c>
      <c r="E9" s="25" t="str">
        <f t="shared" ca="1" si="0"/>
        <v/>
      </c>
      <c r="F9" s="25">
        <f t="shared" ca="1" si="1"/>
        <v>0</v>
      </c>
      <c r="G9" s="25">
        <f ca="1">SUM($F$4:$F9)</f>
        <v>0</v>
      </c>
      <c r="H9" t="str">
        <f ca="1">$E9</f>
        <v/>
      </c>
    </row>
    <row r="10" spans="10:14" ht="14.5">
      <c r="J10" s="75"/>
      <c r="K10" s="75"/>
      <c r="L10" s="75"/>
      <c r="M10" s="75"/>
      <c r="N10" s="75"/>
    </row>
    <row r="11" spans="7:14" ht="14.5">
      <c r="G11" s="46" t="s">
        <v>206</v>
      </c>
      <c r="H11" s="893" t="str">
        <f ca="1">$H$4&amp;$H$5&amp;$H$6&amp;$H$7&amp;$H$8&amp;$H$9</f>
        <v/>
      </c>
      <c r="I11" s="894"/>
      <c r="J11" s="75"/>
      <c r="K11" s="75"/>
      <c r="L11" s="75"/>
      <c r="M11" s="75"/>
      <c r="N11" s="75"/>
    </row>
    <row r="12" ht="15" thickBot="1"/>
    <row r="13" spans="6:11" ht="15" thickBot="1">
      <c r="F13" s="49" t="s">
        <v>560</v>
      </c>
      <c r="G13" s="236">
        <f ca="1">GrpA!$M$10+GrpB!$M$10+GrpC!$M$10+GrpD!$M$10+GrpE!$M$10+GrpF!$M$10</f>
        <v>36</v>
      </c>
      <c r="H13" s="60"/>
      <c r="J13" s="14"/>
      <c r="K13" s="14"/>
    </row>
    <row r="14" spans="10:11" ht="14.5">
      <c r="J14" s="82"/>
      <c r="K14" s="82"/>
    </row>
  </sheetData>
  <mergeCells count="3">
    <mergeCell ref="J4:N4"/>
    <mergeCell ref="J5:N5"/>
    <mergeCell ref="H11:I11"/>
  </mergeCells>
  <pageMargins left="0.7" right="0.7" top="0.787401575" bottom="0.787401575" header="0.3" footer="0.3"/>
  <pageSetup orientation="portrait" paperSize="9"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topLeftCell="A1"/>
  </sheetViews>
  <sheetFormatPr defaultColWidth="10.9042857142857" defaultRowHeight="14.5"/>
  <cols>
    <col min="3" max="3" width="10.2857142857143" customWidth="1"/>
    <col min="4" max="4" width="9.85714285714286" customWidth="1"/>
    <col min="6" max="6" width="6.42857142857143" customWidth="1"/>
    <col min="7" max="8" width="18.7142857142857" customWidth="1"/>
  </cols>
  <sheetData>
    <row r="1" spans="1:1" ht="14.5">
      <c r="A1" s="412" t="s">
        <v>773</v>
      </c>
    </row>
    <row r="2" spans="2:8" ht="28.5">
      <c r="B2" s="785" t="s">
        <v>339</v>
      </c>
      <c r="C2" s="785"/>
      <c r="D2" s="785"/>
      <c r="E2" s="785"/>
      <c r="F2" s="785"/>
      <c r="G2" s="785"/>
      <c r="H2" s="785"/>
    </row>
    <row r="3" ht="53.25" customHeight="1" thickBot="1"/>
    <row r="4" spans="2:8" ht="25.5" customHeight="1">
      <c r="B4" s="381" t="s">
        <v>210</v>
      </c>
      <c r="C4" s="895" t="s">
        <v>693</v>
      </c>
      <c r="D4" s="896"/>
      <c r="G4" s="381" t="s">
        <v>199</v>
      </c>
      <c r="H4" s="387" t="s">
        <v>200</v>
      </c>
    </row>
    <row r="5" spans="2:8" ht="20.15" customHeight="1">
      <c r="B5" s="378" t="s">
        <v>30</v>
      </c>
      <c r="C5" s="379" t="s">
        <v>26</v>
      </c>
      <c r="D5" s="380" t="s">
        <v>27</v>
      </c>
      <c r="G5" s="382">
        <v>13</v>
      </c>
      <c r="H5" s="380">
        <v>14</v>
      </c>
    </row>
    <row r="6" spans="2:8" ht="20.15" customHeight="1">
      <c r="B6" s="372" t="s">
        <v>26</v>
      </c>
      <c r="C6" s="373" t="s">
        <v>28</v>
      </c>
      <c r="D6" s="374" t="s">
        <v>29</v>
      </c>
      <c r="G6" s="383">
        <v>18</v>
      </c>
      <c r="H6" s="384">
        <v>19</v>
      </c>
    </row>
    <row r="7" spans="2:8" ht="20.15" customHeight="1">
      <c r="B7" s="372" t="s">
        <v>27</v>
      </c>
      <c r="C7" s="373" t="s">
        <v>39</v>
      </c>
      <c r="D7" s="374" t="s">
        <v>40</v>
      </c>
      <c r="G7" s="383">
        <v>23</v>
      </c>
      <c r="H7" s="384">
        <v>24</v>
      </c>
    </row>
    <row r="8" spans="2:8" ht="20.15" customHeight="1">
      <c r="B8" s="372" t="s">
        <v>31</v>
      </c>
      <c r="C8" s="373" t="s">
        <v>41</v>
      </c>
      <c r="D8" s="374" t="s">
        <v>42</v>
      </c>
      <c r="G8" s="383">
        <v>28</v>
      </c>
      <c r="H8" s="374">
        <v>29</v>
      </c>
    </row>
    <row r="9" spans="2:8" ht="20.15" customHeight="1">
      <c r="B9" s="372" t="s">
        <v>28</v>
      </c>
      <c r="C9" s="373" t="s">
        <v>43</v>
      </c>
      <c r="D9" s="374" t="s">
        <v>44</v>
      </c>
      <c r="G9" s="383">
        <v>33</v>
      </c>
      <c r="H9" s="385">
        <v>34</v>
      </c>
    </row>
    <row r="10" spans="2:8" ht="20.15" customHeight="1" thickBot="1">
      <c r="B10" s="375" t="s">
        <v>29</v>
      </c>
      <c r="C10" s="376" t="s">
        <v>45</v>
      </c>
      <c r="D10" s="377" t="s">
        <v>46</v>
      </c>
      <c r="G10" s="386">
        <v>40</v>
      </c>
      <c r="H10" s="377">
        <v>41</v>
      </c>
    </row>
  </sheetData>
  <mergeCells count="2">
    <mergeCell ref="C4:D4"/>
    <mergeCell ref="B2:H2"/>
  </mergeCells>
  <pageMargins left="0.7" right="0.7" top="0.787401575" bottom="0.787401575" header="0.3" footer="0.3"/>
  <pageSetup orientation="portrait" paperSize="9"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topLeftCell="A1"/>
  </sheetViews>
  <sheetFormatPr defaultColWidth="10.9042857142857" defaultRowHeight="14.5"/>
  <cols>
    <col min="1" max="1" width="2.28571428571429" customWidth="1"/>
    <col min="2" max="2" width="13.7142857142857" customWidth="1"/>
    <col min="3" max="3" width="4.42857142857143" customWidth="1"/>
    <col min="4" max="4" width="14.1428571428571" customWidth="1"/>
    <col min="5" max="5" width="5.14285714285714" customWidth="1"/>
    <col min="6" max="6" width="3.57142857142857" customWidth="1"/>
    <col min="7" max="7" width="4.57142857142857" customWidth="1"/>
    <col min="8" max="9" width="5" customWidth="1"/>
    <col min="10" max="10" width="4.85714285714286" customWidth="1"/>
    <col min="11" max="11" width="5.28571428571429" customWidth="1"/>
    <col min="12" max="13" width="6.28571428571429" customWidth="1"/>
    <col min="14" max="14" width="3.14285714285714" customWidth="1"/>
    <col min="15" max="15" width="4.42857142857143" style="25" customWidth="1"/>
    <col min="16" max="16" width="14" customWidth="1"/>
    <col min="17" max="17" width="7.28571428571429" customWidth="1"/>
    <col min="18" max="18" width="5.71428571428571" customWidth="1"/>
    <col min="19" max="19" width="7.28571428571429" customWidth="1"/>
    <col min="20" max="20" width="8.28571428571429" customWidth="1"/>
    <col min="21" max="21" width="5.85714285714286" customWidth="1"/>
    <col min="22" max="22" width="20.7142857142857" customWidth="1"/>
    <col min="23" max="23" width="10.7142857142857" customWidth="1"/>
    <col min="24" max="24" width="10.8571428571429" customWidth="1"/>
    <col min="26" max="26" width="13" customWidth="1"/>
    <col min="27" max="27" width="12.2857142857143" customWidth="1"/>
    <col min="31" max="31" width="7.85714285714286" customWidth="1"/>
    <col min="32" max="32" width="8.42857142857143" customWidth="1"/>
  </cols>
  <sheetData>
    <row r="1" spans="1:17" ht="23.5">
      <c r="A1" s="41"/>
      <c r="B1" s="40" t="str">
        <f>VLOOKUP($Q$1,References!$B$5:$D$10,2,0)</f>
        <v>B</v>
      </c>
      <c r="D1" s="40" t="str">
        <f>VLOOKUP($Q$1,References!$B$5:$D$10,3,0)</f>
        <v>C</v>
      </c>
      <c r="P1" s="159" t="s">
        <v>210</v>
      </c>
      <c r="Q1" s="160" t="s">
        <v>30</v>
      </c>
    </row>
    <row r="2" ht="8.25" customHeight="1"/>
    <row r="3" spans="2:32" ht="14.5">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2:33" ht="14.5">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ca="1" t="shared" si="0" ref="H4:H9">IF($M4&gt;0,IF($E4&gt;$G4,3,IF($E4=$G4,1,0)),0)</f>
        <v>3</v>
      </c>
      <c r="I4" s="25">
        <f ca="1" t="shared" si="1" ref="I4:I9">IF($M4&gt;0,IF($E4&lt;$G4,3,IF($E4=$G4,1,0)),0)</f>
        <v>0</v>
      </c>
      <c r="L4" s="5"/>
      <c r="M4" s="25">
        <f ca="1" t="shared" si="2" ref="M4:M9">IF(AND($E4&lt;&gt;"",$G4&lt;&gt;""),1,0)</f>
        <v>1</v>
      </c>
      <c r="N4" s="25"/>
      <c r="O4" s="25" t="s">
        <v>32</v>
      </c>
      <c r="P4" s="37" t="str">
        <f>VLOOKUP($Q$1&amp;ROW($A1),Groups!$B$7:$D$35,3,0)</f>
        <v>Germany</v>
      </c>
      <c r="Q4" s="25">
        <f ca="1">SUMIF($B$4:$B$9,P4,$H$4:$H$9)+SUMIF($D$4:$D$9,P4,$I$4:$I$9)</f>
        <v>7</v>
      </c>
      <c r="R4" s="25">
        <f ca="1">S4-T4</f>
        <v>3</v>
      </c>
      <c r="S4" s="25">
        <f ca="1">SUMIF($B$4:$B$9,$P4,$E$4:$E$9)+SUMIF($D$4:$D$9,$P4,$G$4:$G$9)</f>
        <v>6</v>
      </c>
      <c r="T4" s="25">
        <f ca="1">SUMIF($B$4:$B$9,$P4,$G$4:$G$9)+SUMIF($D$4:$D$9,$P4,$E$4:$E$9)</f>
        <v>3</v>
      </c>
      <c r="U4" s="25">
        <f ca="1">COUNTIFS($B$4:$B$9,$P4,$H$4:$H$9,"=3")+COUNTIFS($D$4:$D$9,$P4,$I$4:$I$9,"=3")</f>
        <v>2</v>
      </c>
      <c r="V4" s="421">
        <f ca="1">$Q4*FactorPts+(GDzero+$R4)*FactorGD+$S4*FactorFor+$U4*FactorWins+$W4*FactorDirC3+$X4*FactorDirC2+$Y4*FactorDirC43+$Z4*FactorDirC42+$AA4*FactorDirC42+$AB4*FactorFairPlay+$AE4*FactorPenalty+(100-$AF4)*($M$10&gt;0)*FactorRank+(8-ROW())*FactorRow</f>
        <v>70153060.002046406</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70053060</v>
      </c>
      <c r="AE4" s="25">
        <f ca="1">IF(OR(AND($Y$11&gt;0,OR(AND($B$8=$P4,$J$8&gt;$L$8),AND($D$8=$P4,$J$8&lt;$L$8))),AND($Y$12&gt;0,OR(AND($B$9=$P4,$J$9&gt;$L$9),AND($D$9=$P4,$J$9&lt;$L$9)))),1,0)</f>
        <v>0</v>
      </c>
      <c r="AF4" s="25">
        <f>INDEX(Language!$D$5:$D$63,MATCH($P4,Language!$E$5:$E$63,0),1)</f>
        <v>54</v>
      </c>
      <c r="AG4" s="25"/>
    </row>
    <row r="5" spans="2:32" ht="14.5">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Scotland</v>
      </c>
      <c r="Q5" s="25">
        <f ca="1" t="shared" si="3" ref="Q5:Q7">SUMIF($B$4:$B$9,P5,$H$4:$H$9)+SUMIF($D$4:$D$9,P5,$I$4:$I$9)</f>
        <v>3</v>
      </c>
      <c r="R5" s="25">
        <f ca="1">S5-T5</f>
        <v>-1</v>
      </c>
      <c r="S5" s="25">
        <f ca="1">SUMIF($B$4:$B$9,$P5,$E$4:$E$9)+SUMIF($D$4:$D$9,$P5,$G$4:$G$9)</f>
        <v>3</v>
      </c>
      <c r="T5" s="25">
        <f ca="1">SUMIF($B$4:$B$9,$P5,$G$4:$G$9)+SUMIF($D$4:$D$9,$P5,$E$4:$E$9)</f>
        <v>4</v>
      </c>
      <c r="U5" s="25">
        <f ca="1" t="shared" si="4" ref="U5:U7">COUNTIFS($B$4:$B$9,$P5,$H$4:$H$9,"=3")+COUNTIFS($D$4:$D$9,$P5,$I$4:$I$9,"=3")</f>
        <v>1</v>
      </c>
      <c r="V5" s="421">
        <f ca="1">$Q5*FactorPts+(GDzero+$R5)*FactorGD+$S5*FactorFor+$U5*FactorWins+$W5*FactorDirC3+$X5*FactorDirC2+$Y5*FactorDirC43+$Z5*FactorDirC42+$AA5*FactorDirC42+$AB5*FactorFairPlay+$AE5*FactorPenalty+(100-$AF5)*($M$10&gt;0)*FactorRank+(8-ROW())*FactorRow</f>
        <v>30049030.0010873</v>
      </c>
      <c r="W5" s="25">
        <f ca="1" t="shared" si="5" ref="W5:W7">SUMIFS($X$18:$X$35,$P$18:$P$35,$P5)</f>
        <v>0</v>
      </c>
      <c r="X5" s="25">
        <f ca="1">IF($L19="",0,$L19)+SUMIFS($Z$18:$Z$35,$P$18:$P$35,$P5)</f>
        <v>0</v>
      </c>
      <c r="Y5">
        <f ca="1" t="shared" si="6" ref="Y5:Y7">SUMIFS($AD$18:$AD$35,$P$18:$P$35,$P5)</f>
        <v>0</v>
      </c>
      <c r="Z5">
        <f ca="1" t="shared" si="7" ref="Z5:Z7">SUMIFS($AE$18:$AE$35,$P$18:$P$35,$P5)</f>
        <v>0</v>
      </c>
      <c r="AA5" s="25">
        <f ca="1">IF($M19="",0,$M19)</f>
        <v>0</v>
      </c>
      <c r="AB5" s="25">
        <f>SUMIFS(FairPlayPoints1,FairPlayTeams1,$P5)+SUMIFS(FairPlayPoints2,FairPlayTeams2,$P5)</f>
        <v>0</v>
      </c>
      <c r="AC5" s="25" t="b">
        <f ca="1">(Q5+T5&gt;0)</f>
        <v>1</v>
      </c>
      <c r="AD5" s="228">
        <f ca="1">$Q5*FactorPts+(GDzero+$R5)*FactorGD+$S5*FactorFor</f>
        <v>30049030</v>
      </c>
      <c r="AE5" s="25">
        <f ca="1">IF(OR(AND($Y$11&gt;0,OR(AND($B$8=$P5,$J$8&gt;$L$8),AND($D$8=$P5,$J$8&lt;$L$8))),AND($Y$12&gt;0,OR(AND($B$9=$P5,$J$9&gt;$L$9),AND($D$9=$P5,$J$9&lt;$L$9)))),1,0)</f>
        <v>0</v>
      </c>
      <c r="AF5" s="25">
        <f>INDEX(Language!$D$5:$D$63,MATCH($P5,Language!$E$5:$E$63,0),1)</f>
        <v>13</v>
      </c>
    </row>
    <row r="6" spans="2:32" ht="14.5">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Hungary</v>
      </c>
      <c r="Q6" s="25">
        <f t="shared" ca="1" si="3"/>
        <v>7</v>
      </c>
      <c r="R6" s="25">
        <f ca="1">S6-T6</f>
        <v>4</v>
      </c>
      <c r="S6" s="25">
        <f ca="1">SUMIF($B$4:$B$9,$P6,$E$4:$E$9)+SUMIF($D$4:$D$9,$P6,$G$4:$G$9)</f>
        <v>7</v>
      </c>
      <c r="T6" s="25">
        <f ca="1">SUMIF($B$4:$B$9,$P6,$G$4:$G$9)+SUMIF($D$4:$D$9,$P6,$E$4:$E$9)</f>
        <v>3</v>
      </c>
      <c r="U6" s="25">
        <f t="shared" ca="1" si="4"/>
        <v>2</v>
      </c>
      <c r="V6" s="421">
        <f ca="1">$Q6*FactorPts+(GDzero+$R6)*FactorGD+$S6*FactorFor+$U6*FactorWins+$W6*FactorDirC3+$X6*FactorDirC2+$Y6*FactorDirC43+$Z6*FactorDirC42+$AA6*FactorDirC42+$AB6*FactorFairPlay+$AE6*FactorPenalty+(100-$AF6)*($M$10&gt;0)*FactorRank+(8-ROW())*FactorRow</f>
        <v>70154070.002094194</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70054070</v>
      </c>
      <c r="AE6" s="25">
        <f ca="1">IF(OR(AND($Y$11&gt;0,OR(AND($B$8=$P6,$J$8&gt;$L$8),AND($D$8=$P6,$J$8&lt;$L$8))),AND($Y$12&gt;0,OR(AND($B$9=$P6,$J$9&gt;$L$9),AND($D$9=$P6,$J$9&lt;$L$9)))),1,0)</f>
        <v>0</v>
      </c>
      <c r="AF6" s="25">
        <f>INDEX(Language!$D$5:$D$63,MATCH($P6,Language!$E$5:$E$63,0),1)</f>
        <v>6</v>
      </c>
    </row>
    <row r="7" spans="2:32" ht="14.5">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Switzerland</v>
      </c>
      <c r="Q7" s="25">
        <f t="shared" ca="1" si="3"/>
        <v>0</v>
      </c>
      <c r="R7" s="25">
        <f ca="1">S7-T7</f>
        <v>-6</v>
      </c>
      <c r="S7" s="25">
        <f ca="1">SUMIF($B$4:$B$9,$P7,$E$4:$E$9)+SUMIF($D$4:$D$9,$P7,$G$4:$G$9)</f>
        <v>0</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44000.000080099999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44000</v>
      </c>
      <c r="AE7" s="25">
        <f ca="1">IF(OR(AND($Y$11&gt;0,OR(AND($B$8=$P7,$J$8&gt;$L$8),AND($D$8=$P7,$J$8&lt;$L$8))),AND($Y$12&gt;0,OR(AND($B$9=$P7,$J$9&gt;$L$9),AND($D$9=$P7,$J$9&lt;$L$9)))),1,0)</f>
        <v>0</v>
      </c>
      <c r="AF7" s="25">
        <f>INDEX(Language!$D$5:$D$63,MATCH($P7,Language!$E$5:$E$63,0),1)</f>
        <v>20</v>
      </c>
    </row>
    <row r="8" spans="2:26" ht="14.5">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2:31" ht="14.5">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2:31"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2:31" ht="15.5" thickTop="1" thickBot="1">
      <c r="B11" s="72"/>
      <c r="C11" s="25"/>
      <c r="D11" s="72"/>
      <c r="O11" s="35" t="s">
        <v>32</v>
      </c>
      <c r="P11" s="34" t="str">
        <f ca="1" t="shared" si="8" ref="P11:U14">INDEX(P$4:P$7,MATCH($V11,$V$4:$V$7,0))</f>
        <v>Hungary</v>
      </c>
      <c r="Q11" s="192">
        <f t="shared" ca="1" si="8"/>
        <v>7</v>
      </c>
      <c r="R11" s="33">
        <f t="shared" ca="1" si="8"/>
        <v>4</v>
      </c>
      <c r="S11" s="33">
        <f t="shared" ca="1" si="8"/>
        <v>7</v>
      </c>
      <c r="T11" s="33">
        <f t="shared" ca="1" si="8"/>
        <v>3</v>
      </c>
      <c r="U11" s="33">
        <f t="shared" ca="1" si="8"/>
        <v>2</v>
      </c>
      <c r="V11" s="422">
        <f ca="1">LARGE($V$4:$V$7,ROW(A1))</f>
        <v>70154070.002094194</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2:31" ht="15" thickTop="1">
      <c r="B12" s="25"/>
      <c r="C12" s="25"/>
      <c r="D12" s="25"/>
      <c r="O12" s="32" t="s">
        <v>33</v>
      </c>
      <c r="P12" t="str">
        <f t="shared" ca="1" si="8"/>
        <v>Germany</v>
      </c>
      <c r="Q12" s="99">
        <f t="shared" ca="1" si="8"/>
        <v>7</v>
      </c>
      <c r="R12" s="25">
        <f t="shared" ca="1" si="8"/>
        <v>3</v>
      </c>
      <c r="S12" s="25">
        <f t="shared" ca="1" si="8"/>
        <v>6</v>
      </c>
      <c r="T12" s="25">
        <f t="shared" ca="1" si="8"/>
        <v>3</v>
      </c>
      <c r="U12" s="25">
        <f t="shared" ca="1" si="8"/>
        <v>2</v>
      </c>
      <c r="V12" s="423">
        <f ca="1">LARGE($V$4:$V$7,ROW(A2))</f>
        <v>70153060.002046406</v>
      </c>
      <c r="Y12" s="25">
        <f ca="1">IF(AND(VLOOKUP($B$9,$P$4:$AD$7,15,0)=VLOOKUP($D$9,$P$4:$AD$7,15,0),$E$9=$G$9,COUNTIF($Q$4:$Q$7,VLOOKUP($B$9,$P$4:$Q$7,2,0))=2,$M$10=6),1,0)</f>
        <v>0</v>
      </c>
      <c r="Z12" s="223" t="b">
        <f ca="1">VLOOKUP($P12,$E$18:$M$21,8,0)&lt;&gt;""</f>
        <v>1</v>
      </c>
      <c r="AA12" s="25" t="b">
        <f ca="1">VLOOKUP($P12,$E$18:$M$21,9,0)&lt;&gt;""</f>
        <v>0</v>
      </c>
      <c r="AB12" t="b">
        <f ca="1" t="shared" si="9" ref="AB12:AB14">SUMPRODUCT(1*(LEN($Z$18:$Z$35)&gt;0)*($P$18:$P$35=$P12))&gt;0</f>
        <v>0</v>
      </c>
      <c r="AC12" t="b">
        <f ca="1" t="shared" si="10" ref="AC12:AC14">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2:31" ht="14.5">
      <c r="B13" s="25"/>
      <c r="C13" s="25"/>
      <c r="D13" s="50"/>
      <c r="O13" s="32" t="s">
        <v>34</v>
      </c>
      <c r="P13" t="str">
        <f t="shared" ca="1" si="8"/>
        <v>Scotland</v>
      </c>
      <c r="Q13" s="99">
        <f t="shared" ca="1" si="8"/>
        <v>3</v>
      </c>
      <c r="R13" s="25">
        <f t="shared" ca="1" si="8"/>
        <v>-1</v>
      </c>
      <c r="S13" s="25">
        <f t="shared" ca="1" si="8"/>
        <v>3</v>
      </c>
      <c r="T13" s="25">
        <f t="shared" ca="1" si="8"/>
        <v>4</v>
      </c>
      <c r="U13" s="25">
        <f t="shared" ca="1" si="8"/>
        <v>1</v>
      </c>
      <c r="V13" s="423">
        <f ca="1">LARGE($V$4:$V$7,ROW(A3))</f>
        <v>30049030.0010873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2:31" ht="15" thickBot="1">
      <c r="B14" s="25"/>
      <c r="C14" s="25"/>
      <c r="D14" s="50"/>
      <c r="F14" s="25"/>
      <c r="G14" s="5"/>
      <c r="O14" s="31" t="s">
        <v>35</v>
      </c>
      <c r="P14" s="30" t="str">
        <f t="shared" ca="1" si="8"/>
        <v>Switzerland</v>
      </c>
      <c r="Q14" s="193">
        <f t="shared" ca="1" si="8"/>
        <v>0</v>
      </c>
      <c r="R14" s="29">
        <f t="shared" ca="1" si="8"/>
        <v>-6</v>
      </c>
      <c r="S14" s="29">
        <f t="shared" ca="1" si="8"/>
        <v>0</v>
      </c>
      <c r="T14" s="29">
        <f t="shared" ca="1" si="8"/>
        <v>6</v>
      </c>
      <c r="U14" s="29">
        <f t="shared" ca="1" si="8"/>
        <v>0</v>
      </c>
      <c r="V14" s="424">
        <f ca="1">LARGE($V$4:$V$7,ROW(A4))</f>
        <v>44000.000080099999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2:14" ht="15.5" thickTop="1" thickBot="1">
      <c r="B15" s="25"/>
      <c r="C15" s="25"/>
      <c r="D15" s="25"/>
      <c r="F15" s="25"/>
      <c r="G15" s="5"/>
      <c r="L15" s="46"/>
      <c r="M15" s="46"/>
      <c r="N15" s="46"/>
    </row>
    <row r="16" spans="2:32"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2</v>
      </c>
      <c r="J18" s="33">
        <f ca="1">SUMIFS($E$4:$E$9,$B$4:$B$9,$P$4,$D$4:$D$9,$P$6)+SUMIFS($G$4:$G$9,$B$4:$B$9,$P$6,$D$4:$D$9,$P$4)</f>
        <v>2</v>
      </c>
      <c r="K18" s="105">
        <f ca="1">SUMIFS($E$4:$E$9,$B$4:$B$9,$P$4,$D$4:$D$9,$P$7)+SUMIFS($G$4:$G$9,$B$4:$B$9,$P$7,$D$4:$D$9,$P$4)</f>
        <v>2</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4</v>
      </c>
      <c r="R18" s="25">
        <f ca="1">S18-T18</f>
        <v>1</v>
      </c>
      <c r="S18" s="25">
        <f ca="1">SUMIFS($E$4:$E$9,$B$4:$B$9,$P18,$D$4:$D$9,"&lt;&gt;"&amp;$P$21)+SUMIFS($G$4:$G$9,$B$4:$B$9,"&lt;&gt;"&amp;$P$21,$D$4:$D$9,$P18)</f>
        <v>4</v>
      </c>
      <c r="T18" s="25">
        <f ca="1">SUMIFS($G$4:$G$9,$B$4:$B$9,$P18,$D$4:$D$9,"&lt;&gt;"&amp;$P$21)+SUMIFS($E$4:$E$9,$B$4:$B$9,"&lt;&gt;"&amp;$P$21,$D$4:$D$9,$P18)</f>
        <v>3</v>
      </c>
      <c r="U18" s="25"/>
      <c r="V18" s="217">
        <f ca="1">Q18*FactorPts+(GDzero+R18)*FactorGD+S18*FactorFor</f>
        <v>40051040</v>
      </c>
      <c r="W18" s="25">
        <f ca="1">RANK(V18,V$18:V$20,1)</f>
        <v>2</v>
      </c>
      <c r="X18" s="25">
        <f ca="1">IF(AND($Q$4=$Q$5,$Q$4=$Q$6,$Q$4&lt;&gt;$Q$7),W18,0)</f>
        <v>0</v>
      </c>
      <c r="Y18" s="25">
        <f ca="1">IF(AND(V18=V19,V18&lt;&gt;V20),IF(AA18&gt;AA19,3,IF(AA18=AA19,1,0)),IF(AND(V18=V20,V18&lt;&gt;V19),IF(AB18&gt;AB20,3,IF(AB18=AB20,1,0)),""))</f>
        <v>1</v>
      </c>
      <c r="Z18" s="25" t="str">
        <f ca="1">IF(X18&gt;0,Y18,"")</f>
        <v/>
      </c>
      <c r="AA18" s="203">
        <f ca="1">$I$18</f>
        <v>2</v>
      </c>
      <c r="AB18" s="204">
        <f ca="1">$J$18</f>
        <v>2</v>
      </c>
      <c r="AC18" s="205"/>
      <c r="AD18" s="25">
        <f ca="1">IF(AND($AF$16,$AD$4=$AD$5,$AD$4=$AD$6,$AD$4&lt;&gt;$AD$7),W18,0)</f>
        <v>0</v>
      </c>
      <c r="AE18" s="25" t="str">
        <f ca="1">IF(AD18&gt;0,Y18,"")</f>
        <v/>
      </c>
    </row>
    <row r="19" spans="2:31" ht="14.5">
      <c r="B19" s="25"/>
      <c r="C19" s="25"/>
      <c r="D19" s="25"/>
      <c r="E19" s="904" t="str">
        <f>$P$5</f>
        <v>Scotland</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-2</v>
      </c>
      <c r="S19" s="25">
        <f ca="1">SUMIFS($E$4:$E$9,$B$4:$B$9,$P19,$D$4:$D$9,"&lt;&gt;"&amp;$P$21)+SUMIFS($G$4:$G$9,$B$4:$B$9,"&lt;&gt;"&amp;$P$21,$D$4:$D$9,$P19)</f>
        <v>2</v>
      </c>
      <c r="T19" s="25">
        <f ca="1">SUMIFS($G$4:$G$9,$B$4:$B$9,$P19,$D$4:$D$9,"&lt;&gt;"&amp;$P$21)+SUMIFS($E$4:$E$9,$B$4:$B$9,"&lt;&gt;"&amp;$P$21,$D$4:$D$9,$P19)</f>
        <v>4</v>
      </c>
      <c r="U19" s="25"/>
      <c r="V19" s="217">
        <f ca="1">Q19*FactorPts+(GDzero+R19)*FactorGD+S19*FactorFor</f>
        <v>48020</v>
      </c>
      <c r="W19" s="25">
        <f ca="1">RANK(V19,V$18:V$20,1)</f>
        <v>1</v>
      </c>
      <c r="X19" s="25">
        <f ca="1">IF(AND($Q$4=$Q$5,$Q$4=$Q$6,$Q$4&lt;&gt;$Q$7),W19,0)</f>
        <v>0</v>
      </c>
      <c r="Y19" s="25" t="str">
        <f ca="1">IF(AND(V19=V18,V19&lt;&gt;V20),IF(AA19&gt;AA18,3,IF(AA19=AA18,1,0)),IF(AND(V19=V20,V19&lt;&gt;V18),IF(AC19&gt;AC20,3,IF(AC19=AC20,1,0)),""))</f>
        <v/>
      </c>
      <c r="Z19" s="25" t="str">
        <f ca="1" t="shared" si="11" ref="Z19:Z20">IF(X19&gt;0,Y19,"")</f>
        <v/>
      </c>
      <c r="AA19" s="206">
        <f ca="1">$H$19</f>
        <v>1</v>
      </c>
      <c r="AB19" s="25"/>
      <c r="AC19" s="219">
        <f ca="1">$J$19</f>
        <v>1</v>
      </c>
      <c r="AD19" s="25">
        <f ca="1">IF(AND($AF$16,$AD$4=$AD$5,$AD$4=$AD$6,$AD$4&lt;&gt;$AD$7),W19,0)</f>
        <v>0</v>
      </c>
      <c r="AE19" s="25" t="str">
        <f ca="1" t="shared" si="12" ref="AE19:AE20">IF(AD19&gt;0,Y19,"")</f>
        <v/>
      </c>
    </row>
    <row r="20" spans="5:31" ht="14.5">
      <c r="E20" s="904" t="str">
        <f>$P$6</f>
        <v>Hungary</v>
      </c>
      <c r="F20" s="905"/>
      <c r="G20" s="905"/>
      <c r="H20" s="32">
        <f ca="1">SUMIFS($E$4:$E$9,$B$4:$B$9,$P$6,$D$4:$D$9,$P$4)+SUMIFS($G$4:$G$9,$B$4:$B$9,$P$4,$D$4:$D$9,$P$6)</f>
        <v>2</v>
      </c>
      <c r="I20" s="25">
        <f ca="1">SUMIFS($E$4:$E$9,$B$4:$B$9,$P$6,$D$4:$D$9,$P$5)+SUMIFS($G$4:$G$9,$B$4:$B$9,$P$5,$D$4:$D$9,$P$6)</f>
        <v>2</v>
      </c>
      <c r="J20" s="69"/>
      <c r="K20" s="47">
        <f ca="1">SUMIFS($E$4:$E$9,$B$4:$B$9,$P$6,$D$4:$D$9,$P$7)+SUMIFS($G$4:$G$9,$B$4:$B$9,$P$7,$D$4:$D$9,$P$6)</f>
        <v>3</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4</v>
      </c>
      <c r="R20" s="25">
        <f ca="1">S20-T20</f>
        <v>1</v>
      </c>
      <c r="S20" s="25">
        <f ca="1">SUMIFS($E$4:$E$9,$B$4:$B$9,$P20,$D$4:$D$9,"&lt;&gt;"&amp;$P$21)+SUMIFS($G$4:$G$9,$B$4:$B$9,"&lt;&gt;"&amp;$P$21,$D$4:$D$9,$P20)</f>
        <v>4</v>
      </c>
      <c r="T20" s="25">
        <f ca="1">SUMIFS($G$4:$G$9,$B$4:$B$9,$P20,$D$4:$D$9,"&lt;&gt;"&amp;$P$21)+SUMIFS($E$4:$E$9,$B$4:$B$9,"&lt;&gt;"&amp;$P$21,$D$4:$D$9,$P20)</f>
        <v>3</v>
      </c>
      <c r="U20" s="25"/>
      <c r="V20" s="217">
        <f ca="1">Q20*FactorPts+(GDzero+R20)*FactorGD+S20*FactorFor</f>
        <v>40051040</v>
      </c>
      <c r="W20" s="25">
        <f ca="1">RANK(V20,V$18:V$20,1)</f>
        <v>2</v>
      </c>
      <c r="X20" s="25">
        <f ca="1">IF(AND($Q$4=$Q$5,$Q$4=$Q$6,$Q$4&lt;&gt;$Q$7),W20,0)</f>
        <v>0</v>
      </c>
      <c r="Y20" s="25">
        <f ca="1">IF(AND(V20=V18,V20&lt;&gt;V19),IF(AB20&gt;AB18,3,IF(AB20=AB18,1,0)),IF(AND(V20=V19,V20&lt;&gt;V18),IF(AC20&gt;AC19,3,IF(AC20=AC19,1,0)),""))</f>
        <v>1</v>
      </c>
      <c r="Z20" s="25" t="str">
        <f t="shared" ca="1" si="11"/>
        <v/>
      </c>
      <c r="AA20" s="206"/>
      <c r="AB20" s="25">
        <f ca="1">$H$20</f>
        <v>2</v>
      </c>
      <c r="AC20" s="219">
        <f ca="1">$I$20</f>
        <v>2</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ht="14.5">
      <c r="B23" s="36"/>
      <c r="C23" s="25"/>
      <c r="O23" s="25" t="s">
        <v>32</v>
      </c>
      <c r="P23" t="str">
        <f>$P$4</f>
        <v>Germany</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ht="14.5">
      <c r="B24" s="36"/>
      <c r="C24" s="25"/>
      <c r="O24" s="25" t="s">
        <v>33</v>
      </c>
      <c r="P24" t="str">
        <f>$P$5</f>
        <v>Scotland</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ca="1" t="shared" si="13" ref="Z24:Z25">IF(X24&gt;0,Y24,"")</f>
        <v/>
      </c>
      <c r="AA24" s="206">
        <f ca="1">$H$19</f>
        <v>1</v>
      </c>
      <c r="AB24" s="25"/>
      <c r="AC24" s="219">
        <f ca="1">$K$19</f>
        <v>1</v>
      </c>
      <c r="AD24" s="25">
        <f ca="1">IF(AND($AF$16,$AD$4=$AD$5,$AD$4=$AD$7,$AD$4&lt;&gt;$AD$6),W24,0)</f>
        <v>0</v>
      </c>
      <c r="AE24" s="25" t="str">
        <f ca="1" t="shared" si="14" ref="AE24:AE25">IF(AD24&gt;0,Y24,"")</f>
        <v/>
      </c>
    </row>
    <row r="25" spans="2:31" ht="14.5">
      <c r="B25" s="36"/>
      <c r="C25" s="25"/>
      <c r="O25" s="25" t="s">
        <v>34</v>
      </c>
      <c r="P25" t="str">
        <f>$P$7</f>
        <v>Switzerland</v>
      </c>
      <c r="Q25" s="25">
        <f ca="1">SUMIFS($H$4:$H$9,$B$4:$B$9,$P25,$D$4:$D$9,"&lt;&gt;"&amp;$P$26)+SUMIFS($I$4:$I$9,$B$4:$B$9,"&lt;&gt;"&amp;$P$26,$D$4:$D$9,$P25)</f>
        <v>0</v>
      </c>
      <c r="R25" s="25">
        <f ca="1">S25-T25</f>
        <v>-3</v>
      </c>
      <c r="S25" s="25">
        <f ca="1">SUMIFS($E$4:$E$9,$B$4:$B$9,$P25,$D$4:$D$9,"&lt;&gt;"&amp;$P$26)+SUMIFS($G$4:$G$9,$B$4:$B$9,"&lt;&gt;"&amp;$P$26,$D$4:$D$9,$P25)</f>
        <v>0</v>
      </c>
      <c r="T25" s="25">
        <f ca="1">SUMIFS($G$4:$G$9,$B$4:$B$9,$P25,$D$4:$D$9,"&lt;&gt;"&amp;$P$26)+SUMIFS($E$4:$E$9,$B$4:$B$9,"&lt;&gt;"&amp;$P$26,$D$4:$D$9,$P25)</f>
        <v>3</v>
      </c>
      <c r="U25" s="25"/>
      <c r="V25" s="217">
        <f ca="1">Q25*FactorPts+(GDzero+R25)*FactorGD+S25*FactorFor</f>
        <v>47000</v>
      </c>
      <c r="W25" s="25">
        <f ca="1">RANK(V25,V$23:V$25,1)</f>
        <v>1</v>
      </c>
      <c r="X25" s="25">
        <f ca="1">IF(AND($Q$4=$Q$5,$Q$4=$Q$7,$Q$4&lt;&gt;$Q$6),W25,0)</f>
        <v>0</v>
      </c>
      <c r="Y25" s="25" t="str">
        <f ca="1">IF(AND(V25=V23,V25&lt;&gt;V24),IF(AB25&gt;AB23,3,IF(AB25=AB23,1,0)),IF(AND(V25=V24,V25&lt;&gt;V23),IF(AC25&gt;AC24,3,IF(AC25=AC24,1,0)),""))</f>
        <v/>
      </c>
      <c r="Z25" s="25" t="str">
        <f t="shared" ca="1" si="13"/>
        <v/>
      </c>
      <c r="AA25" s="206"/>
      <c r="AB25" s="25">
        <f ca="1">$H$21</f>
        <v>0</v>
      </c>
      <c r="AC25" s="219">
        <f ca="1">$I$21</f>
        <v>0</v>
      </c>
      <c r="AD25" s="25">
        <f ca="1">IF(AND($AF$16,$AD$4=$AD$5,$AD$4=$AD$7,$AD$4&lt;&gt;$AD$6),W25,0)</f>
        <v>0</v>
      </c>
      <c r="AE25" s="25" t="str">
        <f t="shared" ca="1" si="14"/>
        <v/>
      </c>
    </row>
    <row r="26" spans="2:31" ht="14.5">
      <c r="B26" s="36"/>
      <c r="C26" s="25"/>
      <c r="P26" s="28" t="str">
        <f>$P$6</f>
        <v>Hungary</v>
      </c>
      <c r="Q26" s="212"/>
      <c r="R26" s="212"/>
      <c r="S26" s="212"/>
      <c r="T26" s="212"/>
      <c r="U26" s="212"/>
      <c r="V26" s="213"/>
      <c r="W26" s="213"/>
      <c r="X26" s="212"/>
      <c r="Y26" s="212"/>
      <c r="Z26" s="212"/>
      <c r="AA26" s="214"/>
      <c r="AB26" s="212"/>
      <c r="AC26" s="215"/>
      <c r="AD26" s="213"/>
      <c r="AE26" s="212"/>
    </row>
    <row r="27" spans="17:31" ht="14.5">
      <c r="Q27" s="213"/>
      <c r="R27" s="213"/>
      <c r="S27" s="213"/>
      <c r="T27" s="213"/>
      <c r="U27" s="213"/>
      <c r="V27" s="213"/>
      <c r="W27" s="213"/>
      <c r="X27" s="212"/>
      <c r="Y27" s="212"/>
      <c r="Z27" s="212"/>
      <c r="AA27" s="214"/>
      <c r="AB27" s="212"/>
      <c r="AC27" s="215"/>
      <c r="AD27" s="213"/>
      <c r="AE27" s="212"/>
    </row>
    <row r="28" spans="15:31" ht="14.5">
      <c r="O28" s="25" t="s">
        <v>32</v>
      </c>
      <c r="P28" t="str">
        <f>$P$4</f>
        <v>Germany</v>
      </c>
      <c r="Q28" s="25">
        <f ca="1">SUMIFS($H$4:$H$9,$B$4:$B$9,$P28,$D$4:$D$9,"&lt;&gt;"&amp;$P$31)+SUMIFS($I$4:$I$9,$B$4:$B$9,"&lt;&gt;"&amp;$P$31,$D$4:$D$9,$P28)</f>
        <v>4</v>
      </c>
      <c r="R28" s="25">
        <f ca="1">S28-T28</f>
        <v>2</v>
      </c>
      <c r="S28" s="25">
        <f ca="1">SUMIFS($E$4:$E$9,$B$4:$B$9,$P28,$D$4:$D$9,"&lt;&gt;"&amp;$P$31)+SUMIFS($G$4:$G$9,$B$4:$B$9,"&lt;&gt;"&amp;$P$31,$D$4:$D$9,$P28)</f>
        <v>4</v>
      </c>
      <c r="T28" s="25">
        <f ca="1">SUMIFS($G$4:$G$9,$B$4:$B$9,$P28,$D$4:$D$9,"&lt;&gt;"&amp;$P$31)+SUMIFS($E$4:$E$9,$B$4:$B$9,"&lt;&gt;"&amp;$P$31,$D$4:$D$9,$P28)</f>
        <v>2</v>
      </c>
      <c r="U28" s="25"/>
      <c r="V28" s="217">
        <f ca="1">Q28*FactorPts+(GDzero+R28)*FactorGD+S28*FactorFor</f>
        <v>40052040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15:31" ht="14.5">
      <c r="O29" s="25" t="s">
        <v>33</v>
      </c>
      <c r="P29" t="str">
        <f>$P$6</f>
        <v>Hungary</v>
      </c>
      <c r="Q29" s="25">
        <f ca="1">SUMIFS($H$4:$H$9,$B$4:$B$9,$P29,$D$4:$D$9,"&lt;&gt;"&amp;$P$31)+SUMIFS($I$4:$I$9,$B$4:$B$9,"&lt;&gt;"&amp;$P$31,$D$4:$D$9,$P29)</f>
        <v>4</v>
      </c>
      <c r="R29" s="25">
        <f ca="1">S29-T29</f>
        <v>3</v>
      </c>
      <c r="S29" s="25">
        <f ca="1">SUMIFS($E$4:$E$9,$B$4:$B$9,$P29,$D$4:$D$9,"&lt;&gt;"&amp;$P$31)+SUMIFS($G$4:$G$9,$B$4:$B$9,"&lt;&gt;"&amp;$P$31,$D$4:$D$9,$P29)</f>
        <v>5</v>
      </c>
      <c r="T29" s="25">
        <f ca="1">SUMIFS($G$4:$G$9,$B$4:$B$9,$P29,$D$4:$D$9,"&lt;&gt;"&amp;$P$31)+SUMIFS($E$4:$E$9,$B$4:$B$9,"&lt;&gt;"&amp;$P$31,$D$4:$D$9,$P29)</f>
        <v>2</v>
      </c>
      <c r="U29" s="25"/>
      <c r="V29" s="217">
        <f ca="1">Q29*FactorPts+(GDzero+R29)*FactorGD+S29*FactorFor</f>
        <v>40053050</v>
      </c>
      <c r="W29" s="25">
        <f ca="1" t="shared" si="15" ref="W29:W30">RANK(V29,V$28:V$30,1)</f>
        <v>3</v>
      </c>
      <c r="X29" s="25">
        <f ca="1">IF(AND($Q$4=$Q$6,$Q$4=$Q$7,$Q$4&lt;&gt;$Q$5),W29,0)</f>
        <v>0</v>
      </c>
      <c r="Y29" s="25" t="str">
        <f ca="1">IF(AND(V29=V28,V29&lt;&gt;V30),IF(AA29&gt;AA28,3,IF(AA29=AA28,1,0)),IF(AND(V29=V30,V29&lt;&gt;V28),IF(AC29&gt;AC30,3,IF(AC29=AC30,1,0)),""))</f>
        <v/>
      </c>
      <c r="Z29" s="25" t="str">
        <f ca="1" t="shared" si="16" ref="Z29:Z30">IF(X29&gt;0,Y29,"")</f>
        <v/>
      </c>
      <c r="AA29" s="206">
        <f ca="1">$H$20</f>
        <v>2</v>
      </c>
      <c r="AB29" s="25"/>
      <c r="AC29" s="219">
        <f ca="1">$K$20</f>
        <v>3</v>
      </c>
      <c r="AD29" s="25">
        <f ca="1">IF(AND($AF$16,$AD$4=$AD$6,$AD$4=$AD$7,$AD$4&lt;&gt;$AD$5),W29,0)</f>
        <v>0</v>
      </c>
      <c r="AE29" s="25" t="str">
        <f ca="1" t="shared" si="17" ref="AE29:AE30">IF(AD29&gt;0,Y29,"")</f>
        <v/>
      </c>
    </row>
    <row r="30" spans="15:31" ht="14.5">
      <c r="O30" s="25" t="s">
        <v>34</v>
      </c>
      <c r="P30" t="str">
        <f>$P$7</f>
        <v>Switzerland</v>
      </c>
      <c r="Q30" s="25">
        <f ca="1">SUMIFS($H$4:$H$9,$B$4:$B$9,$P30,$D$4:$D$9,"&lt;&gt;"&amp;$P$31)+SUMIFS($I$4:$I$9,$B$4:$B$9,"&lt;&gt;"&amp;$P$31,$D$4:$D$9,$P30)</f>
        <v>0</v>
      </c>
      <c r="R30" s="25">
        <f ca="1">S30-T30</f>
        <v>-5</v>
      </c>
      <c r="S30" s="25">
        <f ca="1">SUMIFS($E$4:$E$9,$B$4:$B$9,$P30,$D$4:$D$9,"&lt;&gt;"&amp;$P$31)+SUMIFS($G$4:$G$9,$B$4:$B$9,"&lt;&gt;"&amp;$P$31,$D$4:$D$9,$P30)</f>
        <v>0</v>
      </c>
      <c r="T30" s="25">
        <f ca="1">SUMIFS($G$4:$G$9,$B$4:$B$9,$P30,$D$4:$D$9,"&lt;&gt;"&amp;$P$31)+SUMIFS($E$4:$E$9,$B$4:$B$9,"&lt;&gt;"&amp;$P$31,$D$4:$D$9,$P30)</f>
        <v>5</v>
      </c>
      <c r="U30" s="25"/>
      <c r="V30" s="217">
        <f ca="1">Q30*FactorPts+(GDzero+R30)*FactorGD+S30*FactorFor</f>
        <v>45000</v>
      </c>
      <c r="W30" s="25">
        <f t="shared" ca="1" si="15"/>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16:31" ht="14.5">
      <c r="P31" s="28" t="str">
        <f>$P$5</f>
        <v>Scotland</v>
      </c>
      <c r="Q31" s="212"/>
      <c r="R31" s="212"/>
      <c r="S31" s="212"/>
      <c r="T31" s="212"/>
      <c r="U31" s="212"/>
      <c r="V31" s="213"/>
      <c r="W31" s="213"/>
      <c r="X31" s="212"/>
      <c r="Y31" s="212"/>
      <c r="Z31" s="212"/>
      <c r="AA31" s="214"/>
      <c r="AB31" s="212"/>
      <c r="AC31" s="215"/>
      <c r="AD31" s="213"/>
      <c r="AE31" s="212"/>
    </row>
    <row r="32" spans="17:31" ht="14.5">
      <c r="Q32" s="213"/>
      <c r="R32" s="213"/>
      <c r="S32" s="213"/>
      <c r="T32" s="213"/>
      <c r="U32" s="213"/>
      <c r="V32" s="213"/>
      <c r="W32" s="213"/>
      <c r="X32" s="212"/>
      <c r="Y32" s="212"/>
      <c r="Z32" s="212"/>
      <c r="AA32" s="214"/>
      <c r="AB32" s="212"/>
      <c r="AC32" s="215"/>
      <c r="AD32" s="213"/>
      <c r="AE32" s="212"/>
    </row>
    <row r="33" spans="15:31" ht="14.5">
      <c r="O33" s="25" t="s">
        <v>32</v>
      </c>
      <c r="P33" t="str">
        <f>$P$5</f>
        <v>Scotland</v>
      </c>
      <c r="Q33" s="25">
        <f ca="1">SUMIFS($H$4:$H$9,$B$4:$B$9,$P33,$D$4:$D$9,"&lt;&gt;"&amp;$P$36)+SUMIFS($I$4:$I$9,$B$4:$B$9,"&lt;&gt;"&amp;$P$36,$D$4:$D$9,$P33)</f>
        <v>3</v>
      </c>
      <c r="R33" s="25">
        <f ca="1">S33-T33</f>
        <v>0</v>
      </c>
      <c r="S33" s="25">
        <f ca="1">SUMIFS($E$4:$E$9,$B$4:$B$9,$P33,$D$4:$D$9,"&lt;&gt;"&amp;$P$36)+SUMIFS($G$4:$G$9,$B$4:$B$9,"&lt;&gt;"&amp;$P$36,$D$4:$D$9,$P33)</f>
        <v>2</v>
      </c>
      <c r="T33" s="25">
        <f ca="1">SUMIFS($G$4:$G$9,$B$4:$B$9,$P33,$D$4:$D$9,"&lt;&gt;"&amp;$P$36)+SUMIFS($E$4:$E$9,$B$4:$B$9,"&lt;&gt;"&amp;$P$36,$D$4:$D$9,$P33)</f>
        <v>2</v>
      </c>
      <c r="U33" s="25"/>
      <c r="V33" s="217">
        <f ca="1">Q33*FactorPts+(GDzero+R33)*FactorGD+S33*FactorFor</f>
        <v>30050020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ht="14.5">
      <c r="O34" s="25" t="s">
        <v>33</v>
      </c>
      <c r="P34" t="str">
        <f>$P$6</f>
        <v>Hungary</v>
      </c>
      <c r="Q34" s="25">
        <f ca="1">SUMIFS($H$4:$H$9,$B$4:$B$9,$P34,$D$4:$D$9,"&lt;&gt;"&amp;$P$36)+SUMIFS($I$4:$I$9,$B$4:$B$9,"&lt;&gt;"&amp;$P$36,$D$4:$D$9,$P34)</f>
        <v>6</v>
      </c>
      <c r="R34" s="25">
        <f ca="1">S34-T34</f>
        <v>4</v>
      </c>
      <c r="S34" s="25">
        <f ca="1">SUMIFS($E$4:$E$9,$B$4:$B$9,$P34,$D$4:$D$9,"&lt;&gt;"&amp;$P$36)+SUMIFS($G$4:$G$9,$B$4:$B$9,"&lt;&gt;"&amp;$P$36,$D$4:$D$9,$P34)</f>
        <v>5</v>
      </c>
      <c r="T34" s="25">
        <f ca="1">SUMIFS($G$4:$G$9,$B$4:$B$9,$P34,$D$4:$D$9,"&lt;&gt;"&amp;$P$36)+SUMIFS($E$4:$E$9,$B$4:$B$9,"&lt;&gt;"&amp;$P$36,$D$4:$D$9,$P34)</f>
        <v>1</v>
      </c>
      <c r="U34" s="25"/>
      <c r="V34" s="217">
        <f ca="1">Q34*FactorPts+(GDzero+R34)*FactorGD+S34*FactorFor</f>
        <v>60054050</v>
      </c>
      <c r="W34" s="25">
        <f ca="1">RANK(V34,V$33:V$35,1)</f>
        <v>3</v>
      </c>
      <c r="X34" s="25">
        <f ca="1">IF(AND($Q$5=$Q$6,$Q$5=$Q$7,$Q$5&lt;&gt;$Q$4),W34,0)</f>
        <v>0</v>
      </c>
      <c r="Y34" s="25" t="str">
        <f ca="1">IF(AND(V34=V33,V34&lt;&gt;V35),IF(AA34&gt;AA33,3,IF(AA34=AA33,1,0)),IF(AND(V34=V35,V34&lt;&gt;V33),IF(AC34&gt;AC35,3,IF(AC34=AC35,1,0)),""))</f>
        <v/>
      </c>
      <c r="Z34" s="25" t="str">
        <f ca="1" t="shared" si="18" ref="Z34:Z35">IF(X34&gt;0,Y34,"")</f>
        <v/>
      </c>
      <c r="AA34" s="206">
        <f ca="1">$I$20</f>
        <v>2</v>
      </c>
      <c r="AB34" s="25"/>
      <c r="AC34" s="219">
        <f ca="1">$K$20</f>
        <v>3</v>
      </c>
      <c r="AD34" s="25">
        <f ca="1">IF(AND($AF$16,$AD$5=$AD$6,$AD$5=$AD$7,$AD$5&lt;&gt;$AD$4),W34,0)</f>
        <v>0</v>
      </c>
      <c r="AE34" s="25" t="str">
        <f ca="1" t="shared" si="19" ref="AE34:AE35">IF(AD34&gt;0,Y34,"")</f>
        <v/>
      </c>
    </row>
    <row r="35" spans="15:31" ht="15" thickBot="1">
      <c r="O35" s="25" t="s">
        <v>34</v>
      </c>
      <c r="P35" t="str">
        <f>$P$7</f>
        <v>Switzerland</v>
      </c>
      <c r="Q35" s="25">
        <f ca="1">SUMIFS($H$4:$H$9,$B$4:$B$9,$P35,$D$4:$D$9,"&lt;&gt;"&amp;$P$36)+SUMIFS($I$4:$I$9,$B$4:$B$9,"&lt;&gt;"&amp;$P$36,$D$4:$D$9,$P35)</f>
        <v>0</v>
      </c>
      <c r="R35" s="25">
        <f ca="1">S35-T35</f>
        <v>-4</v>
      </c>
      <c r="S35" s="25">
        <f ca="1">SUMIFS($E$4:$E$9,$B$4:$B$9,$P35,$D$4:$D$9,"&lt;&gt;"&amp;$P$36)+SUMIFS($G$4:$G$9,$B$4:$B$9,"&lt;&gt;"&amp;$P$36,$D$4:$D$9,$P35)</f>
        <v>0</v>
      </c>
      <c r="T35" s="25">
        <f ca="1">SUMIFS($G$4:$G$9,$B$4:$B$9,$P35,$D$4:$D$9,"&lt;&gt;"&amp;$P$36)+SUMIFS($E$4:$E$9,$B$4:$B$9,"&lt;&gt;"&amp;$P$36,$D$4:$D$9,$P35)</f>
        <v>4</v>
      </c>
      <c r="U35" s="25"/>
      <c r="V35" s="217">
        <f ca="1">Q35*FactorPts+(GDzero+R35)*FactorGD+S35*FactorFor</f>
        <v>46000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6:21" ht="14.5">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5" bottom="0.787401575" header="0.3" footer="0.3"/>
  <pageSetup orientation="portrait" paperSize="9"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topLeftCell="A1"/>
  </sheetViews>
  <sheetFormatPr defaultColWidth="10.9042857142857" defaultRowHeight="14.5"/>
  <cols>
    <col min="1" max="1" width="2.28571428571429" customWidth="1"/>
    <col min="2" max="2" width="13.7142857142857" customWidth="1"/>
    <col min="3" max="3" width="4.42857142857143" customWidth="1"/>
    <col min="4" max="4" width="14.1428571428571" customWidth="1"/>
    <col min="5" max="5" width="5.14285714285714" customWidth="1"/>
    <col min="6" max="6" width="3.57142857142857" customWidth="1"/>
    <col min="7" max="7" width="4.57142857142857" customWidth="1"/>
    <col min="8" max="9" width="5" customWidth="1"/>
    <col min="10" max="10" width="4.85714285714286" customWidth="1"/>
    <col min="11" max="11" width="5.28571428571429" customWidth="1"/>
    <col min="12" max="13" width="6.28571428571429" customWidth="1"/>
    <col min="14" max="14" width="3.14285714285714" customWidth="1"/>
    <col min="15" max="15" width="4.42857142857143" style="25" customWidth="1"/>
    <col min="16" max="16" width="14" customWidth="1"/>
    <col min="17" max="17" width="7.28571428571429" customWidth="1"/>
    <col min="18" max="18" width="5.71428571428571" customWidth="1"/>
    <col min="19" max="19" width="7.28571428571429" customWidth="1"/>
    <col min="20" max="20" width="8.28571428571429" customWidth="1"/>
    <col min="21" max="21" width="5.85714285714286" customWidth="1"/>
    <col min="22" max="22" width="20.7142857142857" customWidth="1"/>
    <col min="23" max="23" width="10.7142857142857" customWidth="1"/>
    <col min="24" max="24" width="10.8571428571429" customWidth="1"/>
    <col min="26" max="26" width="13" customWidth="1"/>
    <col min="27" max="27" width="12.2857142857143" customWidth="1"/>
    <col min="31" max="31" width="7.85714285714286" customWidth="1"/>
    <col min="32" max="32" width="8.28571428571429" customWidth="1"/>
  </cols>
  <sheetData>
    <row r="1" spans="1:17" ht="23.5">
      <c r="A1" s="41"/>
      <c r="B1" s="40" t="str">
        <f>VLOOKUP($Q$1,References!$B$5:$D$10,2,0)</f>
        <v>E</v>
      </c>
      <c r="D1" s="40" t="str">
        <f>VLOOKUP($Q$1,References!$B$5:$D$10,3,0)</f>
        <v>F</v>
      </c>
      <c r="P1" s="159" t="s">
        <v>210</v>
      </c>
      <c r="Q1" s="160" t="s">
        <v>26</v>
      </c>
    </row>
    <row r="2" ht="8.25" customHeight="1"/>
    <row r="3" spans="2:32" ht="14.5">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2:33" ht="14.5">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ca="1" t="shared" si="0" ref="H4:H9">IF($M4&gt;0,IF($E4&gt;$G4,3,IF($E4=$G4,1,0)),0)</f>
        <v>1</v>
      </c>
      <c r="I4" s="25">
        <f ca="1" t="shared" si="1" ref="I4:I9">IF($M4&gt;0,IF($E4&lt;$G4,3,IF($E4=$G4,1,0)),0)</f>
        <v>1</v>
      </c>
      <c r="L4" s="5"/>
      <c r="M4" s="25">
        <f ca="1" t="shared" si="2" ref="M4:M9">IF(AND($E4&lt;&gt;"",$G4&lt;&gt;""),1,0)</f>
        <v>1</v>
      </c>
      <c r="N4" s="25"/>
      <c r="O4" s="25" t="s">
        <v>32</v>
      </c>
      <c r="P4" s="37" t="str">
        <f>VLOOKUP($Q$1&amp;ROW($A1),Groups!$B$7:$D$35,3,0)</f>
        <v>Spain</v>
      </c>
      <c r="Q4" s="25">
        <f ca="1">SUMIF($B$4:$B$9,P4,$H$4:$H$9)+SUMIF($D$4:$D$9,P4,$I$4:$I$9)</f>
        <v>5</v>
      </c>
      <c r="R4" s="25">
        <f ca="1">S4-T4</f>
        <v>2</v>
      </c>
      <c r="S4" s="25">
        <f ca="1">SUMIF($B$4:$B$9,$P4,$E$4:$E$9)+SUMIF($D$4:$D$9,$P4,$G$4:$G$9)</f>
        <v>5</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50052050.001097403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50052050</v>
      </c>
      <c r="AE4" s="25">
        <f ca="1">IF(OR(AND($Y$11&gt;0,OR(AND($B$8=$P4,$J$8&gt;$L$8),AND($D$8=$P4,$J$8&lt;$L$8))),AND($Y$12&gt;0,OR(AND($B$9=$P4,$J$9&gt;$L$9),AND($D$9=$P4,$J$9&lt;$L$9)))),1,0)</f>
        <v>0</v>
      </c>
      <c r="AF4" s="25">
        <f>INDEX(Language!$D$5:$D$63,MATCH($P4,Language!$E$5:$E$63,0),1)</f>
        <v>3</v>
      </c>
      <c r="AG4" s="25"/>
    </row>
    <row r="5" spans="2:32" ht="14.5">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4</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ca="1" t="shared" si="3" ref="Q5:Q7">SUMIF($B$4:$B$9,P5,$H$4:$H$9)+SUMIF($D$4:$D$9,P5,$I$4:$I$9)</f>
        <v>7</v>
      </c>
      <c r="R5" s="25">
        <f ca="1">S5-T5</f>
        <v>3</v>
      </c>
      <c r="S5" s="25">
        <f ca="1">SUMIF($B$4:$B$9,$P5,$E$4:$E$9)+SUMIF($D$4:$D$9,$P5,$G$4:$G$9)</f>
        <v>5</v>
      </c>
      <c r="T5" s="25">
        <f ca="1">SUMIF($B$4:$B$9,$P5,$G$4:$G$9)+SUMIF($D$4:$D$9,$P5,$E$4:$E$9)</f>
        <v>2</v>
      </c>
      <c r="U5" s="25">
        <f ca="1" t="shared" si="4" ref="U5:U7">COUNTIFS($B$4:$B$9,$P5,$H$4:$H$9,"=3")+COUNTIFS($D$4:$D$9,$P5,$I$4:$I$9,"=3")</f>
        <v>2</v>
      </c>
      <c r="V5" s="421">
        <f ca="1">$Q5*FactorPts+(GDzero+$R5)*FactorGD+$S5*FactorFor+$U5*FactorWins+$W5*FactorDirC3+$X5*FactorDirC2+$Y5*FactorDirC43+$Z5*FactorDirC42+$AA5*FactorDirC42+$AB5*FactorFairPlay+$AE5*FactorPenalty+(100-$AF5)*($M$10&gt;0)*FactorRank+(8-ROW())*FactorRow</f>
        <v>70053050.002086297</v>
      </c>
      <c r="W5" s="25">
        <f ca="1" t="shared" si="5" ref="W5:W7">SUMIFS($X$18:$X$35,$P$18:$P$35,$P5)</f>
        <v>0</v>
      </c>
      <c r="X5" s="25">
        <f ca="1">IF($L19="",0,$L19)+SUMIFS($Z$18:$Z$35,$P$18:$P$35,$P5)</f>
        <v>0</v>
      </c>
      <c r="Y5">
        <f ca="1" t="shared" si="6" ref="Y5:Y7">SUMIFS($AD$18:$AD$35,$P$18:$P$35,$P5)</f>
        <v>0</v>
      </c>
      <c r="Z5">
        <f ca="1" t="shared" si="7" ref="Z5:Z7">SUMIFS($AE$18:$AE$35,$P$18:$P$35,$P5)</f>
        <v>0</v>
      </c>
      <c r="AA5" s="25">
        <f ca="1">IF($M19="",0,$M19)</f>
        <v>0</v>
      </c>
      <c r="AB5" s="25">
        <f>SUMIFS(FairPlayPoints1,FairPlayTeams1,$P5)+SUMIFS(FairPlayPoints2,FairPlayTeams2,$P5)</f>
        <v>0</v>
      </c>
      <c r="AC5" s="25" t="b">
        <f ca="1">(Q5+T5&gt;0)</f>
        <v>1</v>
      </c>
      <c r="AD5" s="228">
        <f ca="1">$Q5*FactorPts+(GDzero+$R5)*FactorGD+$S5*FactorFor</f>
        <v>70053050</v>
      </c>
      <c r="AE5" s="25">
        <f ca="1">IF(OR(AND($Y$11&gt;0,OR(AND($B$8=$P5,$J$8&gt;$L$8),AND($D$8=$P5,$J$8&lt;$L$8))),AND($Y$12&gt;0,OR(AND($B$9=$P5,$J$9&gt;$L$9),AND($D$9=$P5,$J$9&lt;$L$9)))),1,0)</f>
        <v>0</v>
      </c>
      <c r="AF5" s="25">
        <f>INDEX(Language!$D$5:$D$63,MATCH($P5,Language!$E$5:$E$63,0),1)</f>
        <v>14</v>
      </c>
    </row>
    <row r="6" spans="2:32" ht="14.5">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4</v>
      </c>
      <c r="R6" s="25">
        <f ca="1">S6-T6</f>
        <v>3</v>
      </c>
      <c r="S6" s="25">
        <f ca="1">SUMIF($B$4:$B$9,$P6,$E$4:$E$9)+SUMIF($D$4:$D$9,$P6,$G$4:$G$9)</f>
        <v>6</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40053060.001082204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40053060</v>
      </c>
      <c r="AE6" s="25">
        <f ca="1">IF(OR(AND($Y$11&gt;0,OR(AND($B$8=$P6,$J$8&gt;$L$8),AND($D$8=$P6,$J$8&lt;$L$8))),AND($Y$12&gt;0,OR(AND($B$9=$P6,$J$9&gt;$L$9),AND($D$9=$P6,$J$9&lt;$L$9)))),1,0)</f>
        <v>0</v>
      </c>
      <c r="AF6" s="25">
        <f>INDEX(Language!$D$5:$D$63,MATCH($P6,Language!$E$5:$E$63,0),1)</f>
        <v>18</v>
      </c>
    </row>
    <row r="7" spans="2:32" ht="14.5">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Albania</v>
      </c>
      <c r="Q7" s="25">
        <f t="shared" ca="1" si="3"/>
        <v>0</v>
      </c>
      <c r="R7" s="25">
        <f ca="1">S7-T7</f>
        <v>-8</v>
      </c>
      <c r="S7" s="25">
        <f ca="1">SUMIF($B$4:$B$9,$P7,$E$4:$E$9)+SUMIF($D$4:$D$9,$P7,$G$4:$G$9)</f>
        <v>1</v>
      </c>
      <c r="T7" s="25">
        <f ca="1">SUMIF($B$4:$B$9,$P7,$G$4:$G$9)+SUMIF($D$4:$D$9,$P7,$E$4:$E$9)</f>
        <v>9</v>
      </c>
      <c r="U7" s="25">
        <f t="shared" ca="1" si="4"/>
        <v>0</v>
      </c>
      <c r="V7" s="421">
        <f ca="1">$Q7*FactorPts+(GDzero+$R7)*FactorGD+$S7*FactorFor+$U7*FactorWins+$W7*FactorDirC3+$X7*FactorDirC2+$Y7*FactorDirC43+$Z7*FactorDirC42+$AA7*FactorDirC42+$AB7*FactorFairPlay+$AE7*FactorPenalty+(100-$AF7)*($M$10&gt;0)*FactorRank+(8-ROW())*FactorRow</f>
        <v>42010.000090100002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42010</v>
      </c>
      <c r="AE7" s="25">
        <f ca="1">IF(OR(AND($Y$11&gt;0,OR(AND($B$8=$P7,$J$8&gt;$L$8),AND($D$8=$P7,$J$8&lt;$L$8))),AND($Y$12&gt;0,OR(AND($B$9=$P7,$J$9&gt;$L$9),AND($D$9=$P7,$J$9&lt;$L$9)))),1,0)</f>
        <v>0</v>
      </c>
      <c r="AF7" s="25">
        <f>INDEX(Language!$D$5:$D$63,MATCH($P7,Language!$E$5:$E$63,0),1)</f>
        <v>10</v>
      </c>
    </row>
    <row r="8" spans="2:26" ht="14.5">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2:31" ht="14.5">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2:31"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2:31" ht="15.5" thickTop="1" thickBot="1">
      <c r="B11" s="72"/>
      <c r="C11" s="25"/>
      <c r="D11" s="72"/>
      <c r="O11" s="35" t="s">
        <v>32</v>
      </c>
      <c r="P11" s="34" t="str">
        <f ca="1" t="shared" si="8" ref="P11:U14">INDEX(P$4:P$7,MATCH($V11,$V$4:$V$7,0))</f>
        <v>Croatia</v>
      </c>
      <c r="Q11" s="192">
        <f t="shared" ca="1" si="8"/>
        <v>7</v>
      </c>
      <c r="R11" s="33">
        <f t="shared" ca="1" si="8"/>
        <v>3</v>
      </c>
      <c r="S11" s="33">
        <f t="shared" ca="1" si="8"/>
        <v>5</v>
      </c>
      <c r="T11" s="33">
        <f t="shared" ca="1" si="8"/>
        <v>2</v>
      </c>
      <c r="U11" s="33">
        <f t="shared" ca="1" si="8"/>
        <v>2</v>
      </c>
      <c r="V11" s="422">
        <f ca="1">LARGE($V$4:$V$7,ROW(A1))</f>
        <v>70053050.002086297</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2:31" ht="15" thickTop="1">
      <c r="B12" s="25"/>
      <c r="C12" s="25"/>
      <c r="D12" s="25"/>
      <c r="O12" s="32" t="s">
        <v>33</v>
      </c>
      <c r="P12" t="str">
        <f t="shared" ca="1" si="8"/>
        <v>Spain</v>
      </c>
      <c r="Q12" s="99">
        <f t="shared" ca="1" si="8"/>
        <v>5</v>
      </c>
      <c r="R12" s="25">
        <f t="shared" ca="1" si="8"/>
        <v>2</v>
      </c>
      <c r="S12" s="25">
        <f t="shared" ca="1" si="8"/>
        <v>5</v>
      </c>
      <c r="T12" s="25">
        <f t="shared" ca="1" si="8"/>
        <v>3</v>
      </c>
      <c r="U12" s="25">
        <f t="shared" ca="1" si="8"/>
        <v>1</v>
      </c>
      <c r="V12" s="423">
        <f ca="1">LARGE($V$4:$V$7,ROW(A2))</f>
        <v>50052050.001097403</v>
      </c>
      <c r="Y12" s="25">
        <f ca="1">IF(AND(VLOOKUP($B$9,$P$4:$AD$7,15,0)=VLOOKUP($D$9,$P$4:$AD$7,15,0),$E$9=$G$9,COUNTIF($Q$4:$Q$7,VLOOKUP($B$9,$P$4:$Q$7,2,0))=2,$M$10=6),1,0)</f>
        <v>0</v>
      </c>
      <c r="Z12" s="223" t="b">
        <f ca="1">VLOOKUP($P12,$E$18:$M$21,8,0)&lt;&gt;""</f>
        <v>0</v>
      </c>
      <c r="AA12" s="25" t="b">
        <f ca="1">VLOOKUP($P12,$E$18:$M$21,9,0)&lt;&gt;""</f>
        <v>0</v>
      </c>
      <c r="AB12" t="b">
        <f ca="1" t="shared" si="9" ref="AB12:AB14">SUMPRODUCT(1*(LEN($Z$18:$Z$35)&gt;0)*($P$18:$P$35=$P12))&gt;0</f>
        <v>0</v>
      </c>
      <c r="AC12" t="b">
        <f ca="1" t="shared" si="10" ref="AC12:AC14">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2:31" ht="14.5">
      <c r="B13" s="25"/>
      <c r="C13" s="25"/>
      <c r="D13" s="50"/>
      <c r="O13" s="32" t="s">
        <v>34</v>
      </c>
      <c r="P13" t="str">
        <f ca="1" t="shared" si="11" ref="P13:U14">INDEX(P$4:P$7,MATCH($V13,$V$4:$V$7,0))</f>
        <v>Italy</v>
      </c>
      <c r="Q13" s="99">
        <f t="shared" ca="1" si="11"/>
        <v>4</v>
      </c>
      <c r="R13" s="25">
        <f t="shared" ca="1" si="11"/>
        <v>3</v>
      </c>
      <c r="S13" s="25">
        <f t="shared" ca="1" si="8"/>
        <v>6</v>
      </c>
      <c r="T13" s="25">
        <f t="shared" ca="1" si="8"/>
        <v>3</v>
      </c>
      <c r="U13" s="25">
        <f t="shared" ca="1" si="11"/>
        <v>1</v>
      </c>
      <c r="V13" s="423">
        <f ca="1">LARGE($V$4:$V$7,ROW(A3))</f>
        <v>40053060.001082204</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2:31" ht="15" thickBot="1">
      <c r="B14" s="25"/>
      <c r="C14" s="25"/>
      <c r="D14" s="50"/>
      <c r="F14" s="25"/>
      <c r="G14" s="5"/>
      <c r="O14" s="31" t="s">
        <v>35</v>
      </c>
      <c r="P14" s="30" t="str">
        <f t="shared" ca="1" si="11"/>
        <v>Albania</v>
      </c>
      <c r="Q14" s="193">
        <f t="shared" ca="1" si="11"/>
        <v>0</v>
      </c>
      <c r="R14" s="29">
        <f t="shared" ca="1" si="11"/>
        <v>-8</v>
      </c>
      <c r="S14" s="29">
        <f t="shared" ca="1" si="8"/>
        <v>1</v>
      </c>
      <c r="T14" s="29">
        <f t="shared" ca="1" si="8"/>
        <v>9</v>
      </c>
      <c r="U14" s="29">
        <f t="shared" ca="1" si="11"/>
        <v>0</v>
      </c>
      <c r="V14" s="424">
        <f ca="1">LARGE($V$4:$V$7,ROW(A4))</f>
        <v>42010.000090100002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2:14" ht="15.5" thickTop="1" thickBot="1">
      <c r="B15" s="25"/>
      <c r="C15" s="25"/>
      <c r="D15" s="25"/>
      <c r="F15" s="25"/>
      <c r="G15" s="5"/>
      <c r="L15" s="46"/>
      <c r="M15" s="46"/>
      <c r="N15" s="46"/>
    </row>
    <row r="16" spans="2:32"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1</v>
      </c>
      <c r="J18" s="33">
        <f ca="1">SUMIFS($E$4:$E$9,$B$4:$B$9,$P$4,$D$4:$D$9,$P$6)+SUMIFS($G$4:$G$9,$B$4:$B$9,$P$6,$D$4:$D$9,$P$4)</f>
        <v>1</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2</v>
      </c>
      <c r="R18" s="25">
        <f ca="1">S18-T18</f>
        <v>0</v>
      </c>
      <c r="S18" s="25">
        <f ca="1">SUMIFS($E$4:$E$9,$B$4:$B$9,$P18,$D$4:$D$9,"&lt;&gt;"&amp;$P$21)+SUMIFS($G$4:$G$9,$B$4:$B$9,"&lt;&gt;"&amp;$P$21,$D$4:$D$9,$P18)</f>
        <v>2</v>
      </c>
      <c r="T18" s="25">
        <f ca="1">SUMIFS($G$4:$G$9,$B$4:$B$9,$P18,$D$4:$D$9,"&lt;&gt;"&amp;$P$21)+SUMIFS($E$4:$E$9,$B$4:$B$9,"&lt;&gt;"&amp;$P$21,$D$4:$D$9,$P18)</f>
        <v>2</v>
      </c>
      <c r="U18" s="25"/>
      <c r="V18" s="217">
        <f ca="1">Q18*FactorPts+(GDzero+R18)*FactorGD+S18*FactorFor</f>
        <v>20050020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ht="14.5">
      <c r="B19" s="25"/>
      <c r="C19" s="25"/>
      <c r="D19" s="25"/>
      <c r="E19" s="904" t="str">
        <f>$P$5</f>
        <v>Croatia</v>
      </c>
      <c r="F19" s="905"/>
      <c r="G19" s="905"/>
      <c r="H19" s="32">
        <f ca="1">SUMIFS($E$4:$E$9,$B$4:$B$9,$P$5,$D$4:$D$9,$P$4)+SUMIFS($G$4:$G$9,$B$4:$B$9,$P$4,$D$4:$D$9,$P$5)</f>
        <v>1</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4</v>
      </c>
      <c r="R19" s="25">
        <f ca="1">S19-T19</f>
        <v>1</v>
      </c>
      <c r="S19" s="25">
        <f ca="1">SUMIFS($E$4:$E$9,$B$4:$B$9,$P19,$D$4:$D$9,"&lt;&gt;"&amp;$P$21)+SUMIFS($G$4:$G$9,$B$4:$B$9,"&lt;&gt;"&amp;$P$21,$D$4:$D$9,$P19)</f>
        <v>3</v>
      </c>
      <c r="T19" s="25">
        <f ca="1">SUMIFS($G$4:$G$9,$B$4:$B$9,$P19,$D$4:$D$9,"&lt;&gt;"&amp;$P$21)+SUMIFS($E$4:$E$9,$B$4:$B$9,"&lt;&gt;"&amp;$P$21,$D$4:$D$9,$P19)</f>
        <v>2</v>
      </c>
      <c r="U19" s="25"/>
      <c r="V19" s="217">
        <f ca="1">Q19*FactorPts+(GDzero+R19)*FactorGD+S19*FactorFor</f>
        <v>40051030</v>
      </c>
      <c r="W19" s="25">
        <f ca="1">RANK(V19,V$18:V$20,1)</f>
        <v>3</v>
      </c>
      <c r="X19" s="25">
        <f ca="1">IF(AND($Q$4=$Q$5,$Q$4=$Q$6,$Q$4&lt;&gt;$Q$7),W19,0)</f>
        <v>0</v>
      </c>
      <c r="Y19" s="25" t="str">
        <f ca="1">IF(AND(V19=V18,V19&lt;&gt;V20),IF(AA19&gt;AA18,3,IF(AA19=AA18,1,0)),IF(AND(V19=V20,V19&lt;&gt;V18),IF(AC19&gt;AC20,3,IF(AC19=AC20,1,0)),""))</f>
        <v/>
      </c>
      <c r="Z19" s="25" t="str">
        <f ca="1" t="shared" si="12" ref="Z19:Z20">IF(X19&gt;0,Y19,"")</f>
        <v/>
      </c>
      <c r="AA19" s="206">
        <f ca="1">$H$19</f>
        <v>1</v>
      </c>
      <c r="AB19" s="25"/>
      <c r="AC19" s="219">
        <f ca="1">$J$19</f>
        <v>2</v>
      </c>
      <c r="AD19" s="25">
        <f ca="1">IF(AND($AF$16,$AD$4=$AD$5,$AD$4=$AD$6,$AD$4&lt;&gt;$AD$7),W19,0)</f>
        <v>0</v>
      </c>
      <c r="AE19" s="25" t="str">
        <f ca="1" t="shared" si="13" ref="AE19:AE20">IF(AD19&gt;0,Y19,"")</f>
        <v/>
      </c>
    </row>
    <row r="20" spans="5:31" ht="14.5">
      <c r="E20" s="904" t="str">
        <f>$P$6</f>
        <v>Italy</v>
      </c>
      <c r="F20" s="905"/>
      <c r="G20" s="905"/>
      <c r="H20" s="32">
        <f ca="1">SUMIFS($E$4:$E$9,$B$4:$B$9,$P$6,$D$4:$D$9,$P$4)+SUMIFS($G$4:$G$9,$B$4:$B$9,$P$4,$D$4:$D$9,$P$6)</f>
        <v>1</v>
      </c>
      <c r="I20" s="25">
        <f ca="1">SUMIFS($E$4:$E$9,$B$4:$B$9,$P$6,$D$4:$D$9,$P$5)+SUMIFS($G$4:$G$9,$B$4:$B$9,$P$5,$D$4:$D$9,$P$6)</f>
        <v>1</v>
      </c>
      <c r="J20" s="69"/>
      <c r="K20" s="47">
        <f ca="1">SUMIFS($E$4:$E$9,$B$4:$B$9,$P$6,$D$4:$D$9,$P$7)+SUMIFS($G$4:$G$9,$B$4:$B$9,$P$7,$D$4:$D$9,$P$6)</f>
        <v>4</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1</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ht="14.5">
      <c r="B23" s="36"/>
      <c r="C23" s="25"/>
      <c r="O23" s="25" t="s">
        <v>32</v>
      </c>
      <c r="P23" t="str">
        <f>$P$4</f>
        <v>Spain</v>
      </c>
      <c r="Q23" s="25">
        <f ca="1">SUMIFS($H$4:$H$9,$B$4:$B$9,$P23,$D$4:$D$9,"&lt;&gt;"&amp;$P$26)+SUMIFS($I$4:$I$9,$B$4:$B$9,"&lt;&gt;"&amp;$P$26,$D$4:$D$9,$P23)</f>
        <v>4</v>
      </c>
      <c r="R23" s="25">
        <f ca="1">S23-T23</f>
        <v>2</v>
      </c>
      <c r="S23" s="25">
        <f ca="1">SUMIFS($E$4:$E$9,$B$4:$B$9,$P23,$D$4:$D$9,"&lt;&gt;"&amp;$P$26)+SUMIFS($G$4:$G$9,$B$4:$B$9,"&lt;&gt;"&amp;$P$26,$D$4:$D$9,$P23)</f>
        <v>4</v>
      </c>
      <c r="T23" s="25">
        <f ca="1">SUMIFS($G$4:$G$9,$B$4:$B$9,$P23,$D$4:$D$9,"&lt;&gt;"&amp;$P$26)+SUMIFS($E$4:$E$9,$B$4:$B$9,"&lt;&gt;"&amp;$P$26,$D$4:$D$9,$P23)</f>
        <v>2</v>
      </c>
      <c r="U23" s="25"/>
      <c r="V23" s="217">
        <f ca="1">Q23*FactorPts+(GDzero+R23)*FactorGD+S23*FactorFor</f>
        <v>40052040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3</v>
      </c>
      <c r="AC23" s="219"/>
      <c r="AD23" s="25">
        <f ca="1">IF(AND($AF$16,$AD$4=$AD$5,$AD$4=$AD$7,$AD$4&lt;&gt;$AD$6),W23,0)</f>
        <v>0</v>
      </c>
      <c r="AE23" s="25" t="str">
        <f ca="1">IF(AD23&gt;0,Y23,"")</f>
        <v/>
      </c>
    </row>
    <row r="24" spans="2:31" ht="14.5">
      <c r="B24" s="36"/>
      <c r="C24" s="25"/>
      <c r="O24" s="25" t="s">
        <v>33</v>
      </c>
      <c r="P24" t="str">
        <f>$P$5</f>
        <v>Croatia</v>
      </c>
      <c r="Q24" s="25">
        <f ca="1">SUMIFS($H$4:$H$9,$B$4:$B$9,$P24,$D$4:$D$9,"&lt;&gt;"&amp;$P$26)+SUMIFS($I$4:$I$9,$B$4:$B$9,"&lt;&gt;"&amp;$P$26,$D$4:$D$9,$P24)</f>
        <v>4</v>
      </c>
      <c r="R24" s="25">
        <f ca="1">S24-T24</f>
        <v>2</v>
      </c>
      <c r="S24" s="25">
        <f ca="1">SUMIFS($E$4:$E$9,$B$4:$B$9,$P24,$D$4:$D$9,"&lt;&gt;"&amp;$P$26)+SUMIFS($G$4:$G$9,$B$4:$B$9,"&lt;&gt;"&amp;$P$26,$D$4:$D$9,$P24)</f>
        <v>3</v>
      </c>
      <c r="T24" s="25">
        <f ca="1">SUMIFS($G$4:$G$9,$B$4:$B$9,$P24,$D$4:$D$9,"&lt;&gt;"&amp;$P$26)+SUMIFS($E$4:$E$9,$B$4:$B$9,"&lt;&gt;"&amp;$P$26,$D$4:$D$9,$P24)</f>
        <v>1</v>
      </c>
      <c r="U24" s="25"/>
      <c r="V24" s="217">
        <f ca="1">Q24*FactorPts+(GDzero+R24)*FactorGD+S24*FactorFor</f>
        <v>40052030</v>
      </c>
      <c r="W24" s="25">
        <f ca="1">RANK(V24,V$23:V$25,1)</f>
        <v>2</v>
      </c>
      <c r="X24" s="25">
        <f ca="1">IF(AND($Q$4=$Q$5,$Q$4=$Q$7,$Q$4&lt;&gt;$Q$6),W24,0)</f>
        <v>0</v>
      </c>
      <c r="Y24" s="25" t="str">
        <f ca="1">IF(AND(V24=V23,V24&lt;&gt;V25),IF(AA24&gt;AA23,3,IF(AA24=AA23,1,0)),IF(AND(V24=V25,V24&lt;&gt;V23),IF(AC24&gt;AC25,3,IF(AC24=AC25,1,0)),""))</f>
        <v/>
      </c>
      <c r="Z24" s="25" t="str">
        <f ca="1" t="shared" si="14" ref="Z24:Z25">IF(X24&gt;0,Y24,"")</f>
        <v/>
      </c>
      <c r="AA24" s="206">
        <f ca="1">$H$19</f>
        <v>1</v>
      </c>
      <c r="AB24" s="25"/>
      <c r="AC24" s="219">
        <f ca="1">$K$19</f>
        <v>2</v>
      </c>
      <c r="AD24" s="25">
        <f ca="1">IF(AND($AF$16,$AD$4=$AD$5,$AD$4=$AD$7,$AD$4&lt;&gt;$AD$6),W24,0)</f>
        <v>0</v>
      </c>
      <c r="AE24" s="25" t="str">
        <f ca="1" t="shared" si="15" ref="AE24:AE25">IF(AD24&gt;0,Y24,"")</f>
        <v/>
      </c>
    </row>
    <row r="25" spans="2:31" ht="14.5">
      <c r="B25" s="36"/>
      <c r="C25" s="25"/>
      <c r="O25" s="25" t="s">
        <v>34</v>
      </c>
      <c r="P25" t="str">
        <f>$P$7</f>
        <v>Albania</v>
      </c>
      <c r="Q25" s="25">
        <f ca="1">SUMIFS($H$4:$H$9,$B$4:$B$9,$P25,$D$4:$D$9,"&lt;&gt;"&amp;$P$26)+SUMIFS($I$4:$I$9,$B$4:$B$9,"&lt;&gt;"&amp;$P$26,$D$4:$D$9,$P25)</f>
        <v>0</v>
      </c>
      <c r="R25" s="25">
        <f ca="1">S25-T25</f>
        <v>-4</v>
      </c>
      <c r="S25" s="25">
        <f ca="1">SUMIFS($E$4:$E$9,$B$4:$B$9,$P25,$D$4:$D$9,"&lt;&gt;"&amp;$P$26)+SUMIFS($G$4:$G$9,$B$4:$B$9,"&lt;&gt;"&amp;$P$26,$D$4:$D$9,$P25)</f>
        <v>1</v>
      </c>
      <c r="T25" s="25">
        <f ca="1">SUMIFS($G$4:$G$9,$B$4:$B$9,$P25,$D$4:$D$9,"&lt;&gt;"&amp;$P$26)+SUMIFS($E$4:$E$9,$B$4:$B$9,"&lt;&gt;"&amp;$P$26,$D$4:$D$9,$P25)</f>
        <v>5</v>
      </c>
      <c r="U25" s="25"/>
      <c r="V25" s="217">
        <f ca="1">Q25*FactorPts+(GDzero+R25)*FactorGD+S25*FactorFor</f>
        <v>46010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1</v>
      </c>
      <c r="AC25" s="219">
        <f ca="1">$I$21</f>
        <v>0</v>
      </c>
      <c r="AD25" s="25">
        <f ca="1">IF(AND($AF$16,$AD$4=$AD$5,$AD$4=$AD$7,$AD$4&lt;&gt;$AD$6),W25,0)</f>
        <v>0</v>
      </c>
      <c r="AE25" s="25" t="str">
        <f t="shared" ca="1" si="15"/>
        <v/>
      </c>
    </row>
    <row r="26" spans="2:31" ht="14.5">
      <c r="B26" s="36"/>
      <c r="C26" s="25"/>
      <c r="P26" s="28" t="str">
        <f>$P$6</f>
        <v>Italy</v>
      </c>
      <c r="Q26" s="212"/>
      <c r="R26" s="212"/>
      <c r="S26" s="212"/>
      <c r="T26" s="212"/>
      <c r="U26" s="212"/>
      <c r="V26" s="213"/>
      <c r="W26" s="213"/>
      <c r="X26" s="212"/>
      <c r="Y26" s="212"/>
      <c r="Z26" s="212"/>
      <c r="AA26" s="214"/>
      <c r="AB26" s="212"/>
      <c r="AC26" s="215"/>
      <c r="AD26" s="213"/>
      <c r="AE26" s="212"/>
    </row>
    <row r="27" spans="17:31" ht="14.5">
      <c r="Q27" s="213"/>
      <c r="R27" s="213"/>
      <c r="S27" s="213"/>
      <c r="T27" s="213"/>
      <c r="U27" s="213"/>
      <c r="V27" s="213"/>
      <c r="W27" s="213"/>
      <c r="X27" s="212"/>
      <c r="Y27" s="212"/>
      <c r="Z27" s="212"/>
      <c r="AA27" s="214"/>
      <c r="AB27" s="212"/>
      <c r="AC27" s="215"/>
      <c r="AD27" s="213"/>
      <c r="AE27" s="212"/>
    </row>
    <row r="28" spans="15:31" ht="14.5">
      <c r="O28" s="25" t="s">
        <v>32</v>
      </c>
      <c r="P28" t="str">
        <f>$P$4</f>
        <v>Spain</v>
      </c>
      <c r="Q28" s="25">
        <f ca="1">SUMIFS($H$4:$H$9,$B$4:$B$9,$P28,$D$4:$D$9,"&lt;&gt;"&amp;$P$31)+SUMIFS($I$4:$I$9,$B$4:$B$9,"&lt;&gt;"&amp;$P$31,$D$4:$D$9,$P28)</f>
        <v>4</v>
      </c>
      <c r="R28" s="25">
        <f ca="1">S28-T28</f>
        <v>2</v>
      </c>
      <c r="S28" s="25">
        <f ca="1">SUMIFS($E$4:$E$9,$B$4:$B$9,$P28,$D$4:$D$9,"&lt;&gt;"&amp;$P$31)+SUMIFS($G$4:$G$9,$B$4:$B$9,"&lt;&gt;"&amp;$P$31,$D$4:$D$9,$P28)</f>
        <v>4</v>
      </c>
      <c r="T28" s="25">
        <f ca="1">SUMIFS($G$4:$G$9,$B$4:$B$9,$P28,$D$4:$D$9,"&lt;&gt;"&amp;$P$31)+SUMIFS($E$4:$E$9,$B$4:$B$9,"&lt;&gt;"&amp;$P$31,$D$4:$D$9,$P28)</f>
        <v>2</v>
      </c>
      <c r="U28" s="25"/>
      <c r="V28" s="217">
        <f ca="1">Q28*FactorPts+(GDzero+R28)*FactorGD+S28*FactorFor</f>
        <v>40052040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3</v>
      </c>
      <c r="AC28" s="219"/>
      <c r="AD28" s="25">
        <f ca="1">IF(AND($AF$16,$AD$4=$AD$6,$AD$4=$AD$7,$AD$4&lt;&gt;$AD$5),W28,0)</f>
        <v>0</v>
      </c>
      <c r="AE28" s="25" t="str">
        <f ca="1">IF(AD28&gt;0,Y28,"")</f>
        <v/>
      </c>
    </row>
    <row r="29" spans="15:31" ht="14.5">
      <c r="O29" s="25" t="s">
        <v>33</v>
      </c>
      <c r="P29" t="str">
        <f>$P$6</f>
        <v>Italy</v>
      </c>
      <c r="Q29" s="25">
        <f ca="1">SUMIFS($H$4:$H$9,$B$4:$B$9,$P29,$D$4:$D$9,"&lt;&gt;"&amp;$P$31)+SUMIFS($I$4:$I$9,$B$4:$B$9,"&lt;&gt;"&amp;$P$31,$D$4:$D$9,$P29)</f>
        <v>4</v>
      </c>
      <c r="R29" s="25">
        <f ca="1">S29-T29</f>
        <v>4</v>
      </c>
      <c r="S29" s="25">
        <f ca="1">SUMIFS($E$4:$E$9,$B$4:$B$9,$P29,$D$4:$D$9,"&lt;&gt;"&amp;$P$31)+SUMIFS($G$4:$G$9,$B$4:$B$9,"&lt;&gt;"&amp;$P$31,$D$4:$D$9,$P29)</f>
        <v>5</v>
      </c>
      <c r="T29" s="25">
        <f ca="1">SUMIFS($G$4:$G$9,$B$4:$B$9,$P29,$D$4:$D$9,"&lt;&gt;"&amp;$P$31)+SUMIFS($E$4:$E$9,$B$4:$B$9,"&lt;&gt;"&amp;$P$31,$D$4:$D$9,$P29)</f>
        <v>1</v>
      </c>
      <c r="U29" s="25"/>
      <c r="V29" s="217">
        <f ca="1">Q29*FactorPts+(GDzero+R29)*FactorGD+S29*FactorFor</f>
        <v>40054050</v>
      </c>
      <c r="W29" s="25">
        <f ca="1">RANK(V29,V$28:V$30,1)</f>
        <v>3</v>
      </c>
      <c r="X29" s="25">
        <f ca="1">IF(AND($Q$4=$Q$6,$Q$4=$Q$7,$Q$4&lt;&gt;$Q$5),W29,0)</f>
        <v>0</v>
      </c>
      <c r="Y29" s="25" t="str">
        <f ca="1">IF(AND(V29=V28,V29&lt;&gt;V30),IF(AA29&gt;AA28,3,IF(AA29=AA28,1,0)),IF(AND(V29=V30,V29&lt;&gt;V28),IF(AC29&gt;AC30,3,IF(AC29=AC30,1,0)),""))</f>
        <v/>
      </c>
      <c r="Z29" s="25" t="str">
        <f ca="1" t="shared" si="16" ref="Z29:Z30">IF(X29&gt;0,Y29,"")</f>
        <v/>
      </c>
      <c r="AA29" s="206">
        <f ca="1">$H$20</f>
        <v>1</v>
      </c>
      <c r="AB29" s="25"/>
      <c r="AC29" s="219">
        <f ca="1">$K$20</f>
        <v>4</v>
      </c>
      <c r="AD29" s="25">
        <f ca="1">IF(AND($AF$16,$AD$4=$AD$6,$AD$4=$AD$7,$AD$4&lt;&gt;$AD$5),W29,0)</f>
        <v>0</v>
      </c>
      <c r="AE29" s="25" t="str">
        <f ca="1" t="shared" si="17" ref="AE29:AE30">IF(AD29&gt;0,Y29,"")</f>
        <v/>
      </c>
    </row>
    <row r="30" spans="15:31" ht="14.5">
      <c r="O30" s="25" t="s">
        <v>34</v>
      </c>
      <c r="P30" t="str">
        <f>$P$7</f>
        <v>Albania</v>
      </c>
      <c r="Q30" s="25">
        <f ca="1">SUMIFS($H$4:$H$9,$B$4:$B$9,$P30,$D$4:$D$9,"&lt;&gt;"&amp;$P$31)+SUMIFS($I$4:$I$9,$B$4:$B$9,"&lt;&gt;"&amp;$P$31,$D$4:$D$9,$P30)</f>
        <v>0</v>
      </c>
      <c r="R30" s="25">
        <f ca="1">S30-T30</f>
        <v>-6</v>
      </c>
      <c r="S30" s="25">
        <f ca="1">SUMIFS($E$4:$E$9,$B$4:$B$9,$P30,$D$4:$D$9,"&lt;&gt;"&amp;$P$31)+SUMIFS($G$4:$G$9,$B$4:$B$9,"&lt;&gt;"&amp;$P$31,$D$4:$D$9,$P30)</f>
        <v>1</v>
      </c>
      <c r="T30" s="25">
        <f ca="1">SUMIFS($G$4:$G$9,$B$4:$B$9,$P30,$D$4:$D$9,"&lt;&gt;"&amp;$P$31)+SUMIFS($E$4:$E$9,$B$4:$B$9,"&lt;&gt;"&amp;$P$31,$D$4:$D$9,$P30)</f>
        <v>7</v>
      </c>
      <c r="U30" s="25"/>
      <c r="V30" s="217">
        <f ca="1">Q30*FactorPts+(GDzero+R30)*FactorGD+S30*FactorFor</f>
        <v>44010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16:31" ht="14.5">
      <c r="P31" s="28" t="str">
        <f>$P$5</f>
        <v>Croatia</v>
      </c>
      <c r="Q31" s="212"/>
      <c r="R31" s="212"/>
      <c r="S31" s="212"/>
      <c r="T31" s="212"/>
      <c r="U31" s="212"/>
      <c r="V31" s="213"/>
      <c r="W31" s="213"/>
      <c r="X31" s="212"/>
      <c r="Y31" s="212"/>
      <c r="Z31" s="212"/>
      <c r="AA31" s="214"/>
      <c r="AB31" s="212"/>
      <c r="AC31" s="215"/>
      <c r="AD31" s="213"/>
      <c r="AE31" s="212"/>
    </row>
    <row r="32" spans="17:31" ht="14.5">
      <c r="Q32" s="213"/>
      <c r="R32" s="213"/>
      <c r="S32" s="213"/>
      <c r="T32" s="213"/>
      <c r="U32" s="213"/>
      <c r="V32" s="213"/>
      <c r="W32" s="213"/>
      <c r="X32" s="212"/>
      <c r="Y32" s="212"/>
      <c r="Z32" s="212"/>
      <c r="AA32" s="214"/>
      <c r="AB32" s="212"/>
      <c r="AC32" s="215"/>
      <c r="AD32" s="213"/>
      <c r="AE32" s="212"/>
    </row>
    <row r="33" spans="15:31" ht="14.5">
      <c r="O33" s="25" t="s">
        <v>32</v>
      </c>
      <c r="P33" t="str">
        <f>$P$5</f>
        <v>Croatia</v>
      </c>
      <c r="Q33" s="25">
        <f ca="1">SUMIFS($H$4:$H$9,$B$4:$B$9,$P33,$D$4:$D$9,"&lt;&gt;"&amp;$P$36)+SUMIFS($I$4:$I$9,$B$4:$B$9,"&lt;&gt;"&amp;$P$36,$D$4:$D$9,$P33)</f>
        <v>6</v>
      </c>
      <c r="R33" s="25">
        <f ca="1">S33-T33</f>
        <v>3</v>
      </c>
      <c r="S33" s="25">
        <f ca="1">SUMIFS($E$4:$E$9,$B$4:$B$9,$P33,$D$4:$D$9,"&lt;&gt;"&amp;$P$36)+SUMIFS($G$4:$G$9,$B$4:$B$9,"&lt;&gt;"&amp;$P$36,$D$4:$D$9,$P33)</f>
        <v>4</v>
      </c>
      <c r="T33" s="25">
        <f ca="1">SUMIFS($G$4:$G$9,$B$4:$B$9,$P33,$D$4:$D$9,"&lt;&gt;"&amp;$P$36)+SUMIFS($E$4:$E$9,$B$4:$B$9,"&lt;&gt;"&amp;$P$36,$D$4:$D$9,$P33)</f>
        <v>1</v>
      </c>
      <c r="U33" s="25"/>
      <c r="V33" s="217">
        <f ca="1">Q33*FactorPts+(GDzero+R33)*FactorGD+S33*FactorFor</f>
        <v>60053040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ht="14.5">
      <c r="O34" s="25" t="s">
        <v>33</v>
      </c>
      <c r="P34" t="str">
        <f>$P$6</f>
        <v>Italy</v>
      </c>
      <c r="Q34" s="25">
        <f ca="1">SUMIFS($H$4:$H$9,$B$4:$B$9,$P34,$D$4:$D$9,"&lt;&gt;"&amp;$P$36)+SUMIFS($I$4:$I$9,$B$4:$B$9,"&lt;&gt;"&amp;$P$36,$D$4:$D$9,$P34)</f>
        <v>3</v>
      </c>
      <c r="R34" s="25">
        <f ca="1">S34-T34</f>
        <v>3</v>
      </c>
      <c r="S34" s="25">
        <f ca="1">SUMIFS($E$4:$E$9,$B$4:$B$9,$P34,$D$4:$D$9,"&lt;&gt;"&amp;$P$36)+SUMIFS($G$4:$G$9,$B$4:$B$9,"&lt;&gt;"&amp;$P$36,$D$4:$D$9,$P34)</f>
        <v>5</v>
      </c>
      <c r="T34" s="25">
        <f ca="1">SUMIFS($G$4:$G$9,$B$4:$B$9,$P34,$D$4:$D$9,"&lt;&gt;"&amp;$P$36)+SUMIFS($E$4:$E$9,$B$4:$B$9,"&lt;&gt;"&amp;$P$36,$D$4:$D$9,$P34)</f>
        <v>2</v>
      </c>
      <c r="U34" s="25"/>
      <c r="V34" s="217">
        <f ca="1">Q34*FactorPts+(GDzero+R34)*FactorGD+S34*FactorFor</f>
        <v>30053050</v>
      </c>
      <c r="W34" s="25">
        <f ca="1">RANK(V34,V$33:V$35,1)</f>
        <v>2</v>
      </c>
      <c r="X34" s="25">
        <f ca="1">IF(AND($Q$5=$Q$6,$Q$5=$Q$7,$Q$5&lt;&gt;$Q$4),W34,0)</f>
        <v>0</v>
      </c>
      <c r="Y34" s="25" t="str">
        <f ca="1">IF(AND(V34=V33,V34&lt;&gt;V35),IF(AA34&gt;AA33,3,IF(AA34=AA33,1,0)),IF(AND(V34=V35,V34&lt;&gt;V33),IF(AC34&gt;AC35,3,IF(AC34=AC35,1,0)),""))</f>
        <v/>
      </c>
      <c r="Z34" s="25" t="str">
        <f ca="1" t="shared" si="18" ref="Z34:Z35">IF(X34&gt;0,Y34,"")</f>
        <v/>
      </c>
      <c r="AA34" s="206">
        <f ca="1">$I$20</f>
        <v>1</v>
      </c>
      <c r="AB34" s="25"/>
      <c r="AC34" s="219">
        <f ca="1">$K$20</f>
        <v>4</v>
      </c>
      <c r="AD34" s="25">
        <f ca="1">IF(AND($AF$16,$AD$5=$AD$6,$AD$5=$AD$7,$AD$5&lt;&gt;$AD$4),W34,0)</f>
        <v>0</v>
      </c>
      <c r="AE34" s="25" t="str">
        <f ca="1" t="shared" si="19" ref="AE34:AE35">IF(AD34&gt;0,Y34,"")</f>
        <v/>
      </c>
    </row>
    <row r="35" spans="15:31" ht="15" thickBot="1">
      <c r="O35" s="25" t="s">
        <v>34</v>
      </c>
      <c r="P35" t="str">
        <f>$P$7</f>
        <v>Albania</v>
      </c>
      <c r="Q35" s="25">
        <f ca="1">SUMIFS($H$4:$H$9,$B$4:$B$9,$P35,$D$4:$D$9,"&lt;&gt;"&amp;$P$36)+SUMIFS($I$4:$I$9,$B$4:$B$9,"&lt;&gt;"&amp;$P$36,$D$4:$D$9,$P35)</f>
        <v>0</v>
      </c>
      <c r="R35" s="25">
        <f ca="1">S35-T35</f>
        <v>-6</v>
      </c>
      <c r="S35" s="25">
        <f ca="1">SUMIFS($E$4:$E$9,$B$4:$B$9,$P35,$D$4:$D$9,"&lt;&gt;"&amp;$P$36)+SUMIFS($G$4:$G$9,$B$4:$B$9,"&lt;&gt;"&amp;$P$36,$D$4:$D$9,$P35)</f>
        <v>0</v>
      </c>
      <c r="T35" s="25">
        <f ca="1">SUMIFS($G$4:$G$9,$B$4:$B$9,$P35,$D$4:$D$9,"&lt;&gt;"&amp;$P$36)+SUMIFS($E$4:$E$9,$B$4:$B$9,"&lt;&gt;"&amp;$P$36,$D$4:$D$9,$P35)</f>
        <v>6</v>
      </c>
      <c r="U35" s="25"/>
      <c r="V35" s="217">
        <f ca="1">Q35*FactorPts+(GDzero+R35)*FactorGD+S35*FactorFor</f>
        <v>44000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6:21" ht="14.5">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5" bottom="0.787401575" header="0.3" footer="0.3"/>
  <pageSetup orientation="portrait" paperSize="9"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topLeftCell="A1"/>
  </sheetViews>
  <sheetFormatPr defaultColWidth="10.9042857142857" defaultRowHeight="14.5"/>
  <cols>
    <col min="1" max="1" width="2.28571428571429" customWidth="1"/>
    <col min="2" max="2" width="13.7142857142857" customWidth="1"/>
    <col min="3" max="3" width="4.42857142857143" customWidth="1"/>
    <col min="4" max="4" width="14.1428571428571" customWidth="1"/>
    <col min="5" max="5" width="5.14285714285714" customWidth="1"/>
    <col min="6" max="6" width="3.57142857142857" customWidth="1"/>
    <col min="7" max="7" width="4.57142857142857" customWidth="1"/>
    <col min="8" max="9" width="5" customWidth="1"/>
    <col min="10" max="10" width="4.85714285714286" customWidth="1"/>
    <col min="11" max="11" width="5.28571428571429" customWidth="1"/>
    <col min="12" max="13" width="6.28571428571429" customWidth="1"/>
    <col min="14" max="14" width="3.14285714285714" customWidth="1"/>
    <col min="15" max="15" width="4.42857142857143" style="25" customWidth="1"/>
    <col min="16" max="16" width="14" customWidth="1"/>
    <col min="17" max="17" width="7.28571428571429" customWidth="1"/>
    <col min="18" max="18" width="5.71428571428571" customWidth="1"/>
    <col min="19" max="19" width="7.28571428571429" customWidth="1"/>
    <col min="20" max="20" width="8.28571428571429" customWidth="1"/>
    <col min="21" max="21" width="5.85714285714286" customWidth="1"/>
    <col min="22" max="22" width="20.7142857142857" customWidth="1"/>
    <col min="23" max="23" width="10.7142857142857" customWidth="1"/>
    <col min="24" max="24" width="10.8571428571429" customWidth="1"/>
    <col min="26" max="26" width="13" customWidth="1"/>
    <col min="27" max="27" width="12.2857142857143" customWidth="1"/>
    <col min="31" max="31" width="7.85714285714286" customWidth="1"/>
    <col min="32" max="32" width="8.28571428571429" customWidth="1"/>
  </cols>
  <sheetData>
    <row r="1" spans="1:17" ht="23.5">
      <c r="A1" s="41"/>
      <c r="B1" s="40" t="str">
        <f>VLOOKUP($Q$1,References!$B$5:$D$10,2,0)</f>
        <v>H</v>
      </c>
      <c r="D1" s="40" t="str">
        <f>VLOOKUP($Q$1,References!$B$5:$D$10,3,0)</f>
        <v>I</v>
      </c>
      <c r="P1" s="159" t="s">
        <v>210</v>
      </c>
      <c r="Q1" s="160" t="s">
        <v>27</v>
      </c>
    </row>
    <row r="2" ht="8.25" customHeight="1"/>
    <row r="3" spans="2:32" ht="14.5">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2:33" ht="14.5">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ca="1" t="shared" si="0" ref="H4:H9">IF($M4&gt;0,IF($E4&gt;$G4,3,IF($E4=$G4,1,0)),0)</f>
        <v>0</v>
      </c>
      <c r="I4" s="25">
        <f ca="1" t="shared" si="1" ref="I4:I9">IF($M4&gt;0,IF($E4&lt;$G4,3,IF($E4=$G4,1,0)),0)</f>
        <v>3</v>
      </c>
      <c r="L4" s="5"/>
      <c r="M4" s="25">
        <f ca="1" t="shared" si="2" ref="M4:M9">IF(AND($E4&lt;&gt;"",$G4&lt;&gt;""),1,0)</f>
        <v>1</v>
      </c>
      <c r="N4" s="25"/>
      <c r="O4" s="25" t="s">
        <v>32</v>
      </c>
      <c r="P4" s="37" t="str">
        <f>VLOOKUP($Q$1&amp;ROW($A1),Groups!$B$7:$D$35,3,0)</f>
        <v>Slovenia</v>
      </c>
      <c r="Q4" s="25">
        <f ca="1">SUMIF($B$4:$B$9,P4,$H$4:$H$9)+SUMIF($D$4:$D$9,P4,$I$4:$I$9)</f>
        <v>0</v>
      </c>
      <c r="R4" s="25">
        <f ca="1">S4-T4</f>
        <v>-6</v>
      </c>
      <c r="S4" s="25">
        <f ca="1">SUMIF($B$4:$B$9,$P4,$E$4:$E$9)+SUMIF($D$4:$D$9,$P4,$G$4:$G$9)</f>
        <v>1</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44010.000085400003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44010</v>
      </c>
      <c r="AE4" s="25">
        <f ca="1">IF(OR(AND($Y$11&gt;0,OR(AND($B$8=$P4,$J$8&gt;$L$8),AND($D$8=$P4,$J$8&lt;$L$8))),AND($Y$12&gt;0,OR(AND($B$9=$P4,$J$9&gt;$L$9),AND($D$9=$P4,$J$9&lt;$L$9)))),1,0)</f>
        <v>0</v>
      </c>
      <c r="AF4" s="25">
        <f>INDEX(Language!$D$5:$D$63,MATCH($P4,Language!$E$5:$E$63,0),1)</f>
        <v>15</v>
      </c>
      <c r="AG4" s="25"/>
    </row>
    <row r="5" spans="2:32" ht="14.5">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2</v>
      </c>
      <c r="H5" s="25">
        <f t="shared" ca="1" si="0"/>
        <v>1</v>
      </c>
      <c r="I5" s="25">
        <f t="shared" ca="1" si="1"/>
        <v>1</v>
      </c>
      <c r="L5" s="5"/>
      <c r="M5" s="25">
        <f t="shared" ca="1" si="2"/>
        <v>1</v>
      </c>
      <c r="N5" s="25"/>
      <c r="O5" s="25" t="s">
        <v>33</v>
      </c>
      <c r="P5" s="37" t="str">
        <f>VLOOKUP($Q$1&amp;ROW($A2),Groups!$B$7:$D$35,3,0)</f>
        <v>Denmark</v>
      </c>
      <c r="Q5" s="25">
        <f ca="1" t="shared" si="3" ref="Q5:Q7">SUMIF($B$4:$B$9,P5,$H$4:$H$9)+SUMIF($D$4:$D$9,P5,$I$4:$I$9)</f>
        <v>5</v>
      </c>
      <c r="R5" s="25">
        <f ca="1">S5-T5</f>
        <v>1</v>
      </c>
      <c r="S5" s="25">
        <f ca="1">SUMIF($B$4:$B$9,$P5,$E$4:$E$9)+SUMIF($D$4:$D$9,$P5,$G$4:$G$9)</f>
        <v>3</v>
      </c>
      <c r="T5" s="25">
        <f ca="1">SUMIF($B$4:$B$9,$P5,$G$4:$G$9)+SUMIF($D$4:$D$9,$P5,$E$4:$E$9)</f>
        <v>2</v>
      </c>
      <c r="U5" s="25">
        <f ca="1" t="shared" si="4" ref="U5:U7">COUNTIFS($B$4:$B$9,$P5,$H$4:$H$9,"=3")+COUNTIFS($D$4:$D$9,$P5,$I$4:$I$9,"=3")</f>
        <v>1</v>
      </c>
      <c r="V5" s="421">
        <f ca="1">$Q5*FactorPts+(GDzero+$R5)*FactorGD+$S5*FactorFor+$U5*FactorWins+$W5*FactorDirC3+$X5*FactorDirC2+$Y5*FactorDirC43+$Z5*FactorDirC42+$AA5*FactorDirC42+$AB5*FactorFairPlay+$AE5*FactorPenalty+(100-$AF5)*($M$10&gt;0)*FactorRank+(8-ROW())*FactorRow</f>
        <v>51051030.001091301</v>
      </c>
      <c r="W5" s="25">
        <f ca="1" t="shared" si="5" ref="W5:W7">SUMIFS($X$18:$X$35,$P$18:$P$35,$P5)</f>
        <v>1</v>
      </c>
      <c r="X5" s="25">
        <f ca="1">IF($L19="",0,$L19)+SUMIFS($Z$18:$Z$35,$P$18:$P$35,$P5)</f>
        <v>0</v>
      </c>
      <c r="Y5">
        <f ca="1" t="shared" si="6" ref="Y5:Y7">SUMIFS($AD$18:$AD$35,$P$18:$P$35,$P5)</f>
        <v>0</v>
      </c>
      <c r="Z5">
        <f ca="1" t="shared" si="7" ref="Z5:Z7">SUMIFS($AE$18:$AE$35,$P$18:$P$35,$P5)</f>
        <v>0</v>
      </c>
      <c r="AA5" s="25">
        <f ca="1">IF($M19="",0,$M19)</f>
        <v>0</v>
      </c>
      <c r="AB5" s="25">
        <f>SUMIFS(FairPlayPoints1,FairPlayTeams1,$P5)+SUMIFS(FairPlayPoints2,FairPlayTeams2,$P5)</f>
        <v>0</v>
      </c>
      <c r="AC5" s="25" t="b">
        <f ca="1">(Q5+T5&gt;0)</f>
        <v>1</v>
      </c>
      <c r="AD5" s="228">
        <f ca="1">$Q5*FactorPts+(GDzero+$R5)*FactorGD+$S5*FactorFor</f>
        <v>50051030</v>
      </c>
      <c r="AE5" s="25">
        <f ca="1">IF(OR(AND($Y$11&gt;0,OR(AND($B$8=$P5,$J$8&gt;$L$8),AND($D$8=$P5,$J$8&lt;$L$8))),AND($Y$12&gt;0,OR(AND($B$9=$P5,$J$9&gt;$L$9),AND($D$9=$P5,$J$9&lt;$L$9)))),1,0)</f>
        <v>0</v>
      </c>
      <c r="AF5" s="25">
        <f>INDEX(Language!$D$5:$D$63,MATCH($P5,Language!$E$5:$E$63,0),1)</f>
        <v>9</v>
      </c>
    </row>
    <row r="6" spans="2:32" ht="14.5">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Serbia</v>
      </c>
      <c r="Q6" s="25">
        <f t="shared" ca="1" si="3"/>
        <v>5</v>
      </c>
      <c r="R6" s="25">
        <f ca="1">S6-T6</f>
        <v>1</v>
      </c>
      <c r="S6" s="25">
        <f ca="1">SUMIF($B$4:$B$9,$P6,$E$4:$E$9)+SUMIF($D$4:$D$9,$P6,$G$4:$G$9)</f>
        <v>5</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52151050.001081206</v>
      </c>
      <c r="W6" s="25">
        <f t="shared" ca="1" si="5"/>
        <v>2</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50051050</v>
      </c>
      <c r="AE6" s="25">
        <f ca="1">IF(OR(AND($Y$11&gt;0,OR(AND($B$8=$P6,$J$8&gt;$L$8),AND($D$8=$P6,$J$8&lt;$L$8))),AND($Y$12&gt;0,OR(AND($B$9=$P6,$J$9&gt;$L$9),AND($D$9=$P6,$J$9&lt;$L$9)))),1,0)</f>
        <v>0</v>
      </c>
      <c r="AF6" s="25">
        <f>INDEX(Language!$D$5:$D$63,MATCH($P6,Language!$E$5:$E$63,0),1)</f>
        <v>19</v>
      </c>
    </row>
    <row r="7" spans="2:32" ht="14.5">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England</v>
      </c>
      <c r="Q7" s="25">
        <f t="shared" ca="1" si="3"/>
        <v>5</v>
      </c>
      <c r="R7" s="25">
        <f ca="1">S7-T7</f>
        <v>4</v>
      </c>
      <c r="S7" s="25">
        <f ca="1">SUMIF($B$4:$B$9,$P7,$E$4:$E$9)+SUMIF($D$4:$D$9,$P7,$G$4:$G$9)</f>
        <v>7</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52154070.001095101</v>
      </c>
      <c r="W7" s="25">
        <f t="shared" ca="1" si="5"/>
        <v>2</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50054070</v>
      </c>
      <c r="AE7" s="25">
        <f ca="1">IF(OR(AND($Y$11&gt;0,OR(AND($B$8=$P7,$J$8&gt;$L$8),AND($D$8=$P7,$J$8&lt;$L$8))),AND($Y$12&gt;0,OR(AND($B$9=$P7,$J$9&gt;$L$9),AND($D$9=$P7,$J$9&lt;$L$9)))),1,0)</f>
        <v>0</v>
      </c>
      <c r="AF7" s="25">
        <f>INDEX(Language!$D$5:$D$63,MATCH($P7,Language!$E$5:$E$63,0),1)</f>
        <v>5</v>
      </c>
    </row>
    <row r="8" spans="2:26" ht="14.5">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4</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2:31" ht="14.5">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2:31"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2:31" ht="15.5" thickTop="1" thickBot="1">
      <c r="B11" s="72"/>
      <c r="C11" s="25"/>
      <c r="D11" s="72"/>
      <c r="O11" s="35" t="s">
        <v>32</v>
      </c>
      <c r="P11" s="34" t="str">
        <f ca="1" t="shared" si="8" ref="P11:U14">INDEX(P$4:P$7,MATCH($V11,$V$4:$V$7,0))</f>
        <v>England</v>
      </c>
      <c r="Q11" s="192">
        <f t="shared" ca="1" si="8"/>
        <v>5</v>
      </c>
      <c r="R11" s="33">
        <f t="shared" ca="1" si="8"/>
        <v>4</v>
      </c>
      <c r="S11" s="33">
        <f t="shared" ca="1" si="8"/>
        <v>7</v>
      </c>
      <c r="T11" s="33">
        <f t="shared" ca="1" si="8"/>
        <v>3</v>
      </c>
      <c r="U11" s="33">
        <f t="shared" ca="1" si="8"/>
        <v>1</v>
      </c>
      <c r="V11" s="422">
        <f ca="1">LARGE($V$4:$V$7,ROW(A1))</f>
        <v>52154070.001095101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1</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2:31" ht="15" thickTop="1">
      <c r="B12" s="25"/>
      <c r="C12" s="25"/>
      <c r="D12" s="25"/>
      <c r="O12" s="32" t="s">
        <v>33</v>
      </c>
      <c r="P12" t="str">
        <f t="shared" ca="1" si="8"/>
        <v>Serbia</v>
      </c>
      <c r="Q12" s="99">
        <f t="shared" ca="1" si="8"/>
        <v>5</v>
      </c>
      <c r="R12" s="25">
        <f t="shared" ca="1" si="8"/>
        <v>1</v>
      </c>
      <c r="S12" s="25">
        <f t="shared" ca="1" si="8"/>
        <v>5</v>
      </c>
      <c r="T12" s="25">
        <f t="shared" ca="1" si="8"/>
        <v>4</v>
      </c>
      <c r="U12" s="25">
        <f t="shared" ca="1" si="8"/>
        <v>1</v>
      </c>
      <c r="V12" s="423">
        <f ca="1">LARGE($V$4:$V$7,ROW(A2))</f>
        <v>52151050.001081206</v>
      </c>
      <c r="Y12" s="25">
        <f ca="1">IF(AND(VLOOKUP($B$9,$P$4:$AD$7,15,0)=VLOOKUP($D$9,$P$4:$AD$7,15,0),$E$9=$G$9,COUNTIF($Q$4:$Q$7,VLOOKUP($B$9,$P$4:$Q$7,2,0))=2,$M$10=6),1,0)</f>
        <v>0</v>
      </c>
      <c r="Z12" s="223" t="b">
        <f ca="1">VLOOKUP($P12,$E$18:$M$21,8,0)&lt;&gt;""</f>
        <v>0</v>
      </c>
      <c r="AA12" s="25" t="b">
        <f ca="1">VLOOKUP($P12,$E$18:$M$21,9,0)&lt;&gt;""</f>
        <v>0</v>
      </c>
      <c r="AB12" t="b">
        <f ca="1" t="shared" si="9" ref="AB12:AB14">SUMPRODUCT(1*(LEN($Z$18:$Z$35)&gt;0)*($P$18:$P$35=$P12))&gt;0</f>
        <v>1</v>
      </c>
      <c r="AC12" t="b">
        <f ca="1" t="shared" si="10" ref="AC12:AC14">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2:31" ht="14.5">
      <c r="B13" s="25"/>
      <c r="C13" s="25"/>
      <c r="D13" s="50"/>
      <c r="O13" s="32" t="s">
        <v>34</v>
      </c>
      <c r="P13" t="str">
        <f ca="1" t="shared" si="11" ref="P13:U14">INDEX(P$4:P$7,MATCH($V13,$V$4:$V$7,0))</f>
        <v>Denmark</v>
      </c>
      <c r="Q13" s="99">
        <f t="shared" ca="1" si="11"/>
        <v>5</v>
      </c>
      <c r="R13" s="25">
        <f t="shared" ca="1" si="11"/>
        <v>1</v>
      </c>
      <c r="S13" s="25">
        <f t="shared" ca="1" si="8"/>
        <v>3</v>
      </c>
      <c r="T13" s="25">
        <f t="shared" ca="1" si="8"/>
        <v>2</v>
      </c>
      <c r="U13" s="25">
        <f t="shared" ca="1" si="11"/>
        <v>1</v>
      </c>
      <c r="V13" s="423">
        <f ca="1">LARGE($V$4:$V$7,ROW(A3))</f>
        <v>51051030.001091301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2:31" ht="15" thickBot="1">
      <c r="B14" s="25"/>
      <c r="C14" s="25"/>
      <c r="D14" s="50"/>
      <c r="F14" s="25"/>
      <c r="G14" s="5"/>
      <c r="O14" s="31" t="s">
        <v>35</v>
      </c>
      <c r="P14" s="30" t="str">
        <f t="shared" ca="1" si="11"/>
        <v>Slovenia</v>
      </c>
      <c r="Q14" s="193">
        <f t="shared" ca="1" si="11"/>
        <v>0</v>
      </c>
      <c r="R14" s="29">
        <f t="shared" ca="1" si="11"/>
        <v>-6</v>
      </c>
      <c r="S14" s="29">
        <f t="shared" ca="1" si="8"/>
        <v>1</v>
      </c>
      <c r="T14" s="29">
        <f t="shared" ca="1" si="8"/>
        <v>7</v>
      </c>
      <c r="U14" s="29">
        <f t="shared" ca="1" si="11"/>
        <v>0</v>
      </c>
      <c r="V14" s="424">
        <f ca="1">LARGE($V$4:$V$7,ROW(A4))</f>
        <v>44010.000085400003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2:14" ht="15.5" thickTop="1" thickBot="1">
      <c r="B15" s="25"/>
      <c r="C15" s="25"/>
      <c r="D15" s="25"/>
      <c r="F15" s="25"/>
      <c r="G15" s="5"/>
      <c r="L15" s="46"/>
      <c r="M15" s="46"/>
      <c r="N15" s="46"/>
    </row>
    <row r="16" spans="2:32"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0</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0</v>
      </c>
      <c r="R18" s="25">
        <f ca="1">S18-T18</f>
        <v>-2</v>
      </c>
      <c r="S18" s="25">
        <f ca="1">SUMIFS($E$4:$E$9,$B$4:$B$9,$P18,$D$4:$D$9,"&lt;&gt;"&amp;$P$21)+SUMIFS($G$4:$G$9,$B$4:$B$9,"&lt;&gt;"&amp;$P$21,$D$4:$D$9,$P18)</f>
        <v>1</v>
      </c>
      <c r="T18" s="25">
        <f ca="1">SUMIFS($G$4:$G$9,$B$4:$B$9,$P18,$D$4:$D$9,"&lt;&gt;"&amp;$P$21)+SUMIFS($E$4:$E$9,$B$4:$B$9,"&lt;&gt;"&amp;$P$21,$D$4:$D$9,$P18)</f>
        <v>3</v>
      </c>
      <c r="U18" s="25"/>
      <c r="V18" s="217">
        <f ca="1">Q18*FactorPts+(GDzero+R18)*FactorGD+S18*FactorFor</f>
        <v>48010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ht="14.5">
      <c r="B19" s="25"/>
      <c r="C19" s="25"/>
      <c r="D19" s="25"/>
      <c r="E19" s="904" t="str">
        <f>$P$5</f>
        <v>Denmark</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1</v>
      </c>
      <c r="S19" s="25">
        <f ca="1">SUMIFS($E$4:$E$9,$B$4:$B$9,$P19,$D$4:$D$9,"&lt;&gt;"&amp;$P$21)+SUMIFS($G$4:$G$9,$B$4:$B$9,"&lt;&gt;"&amp;$P$21,$D$4:$D$9,$P19)</f>
        <v>2</v>
      </c>
      <c r="T19" s="25">
        <f ca="1">SUMIFS($G$4:$G$9,$B$4:$B$9,$P19,$D$4:$D$9,"&lt;&gt;"&amp;$P$21)+SUMIFS($E$4:$E$9,$B$4:$B$9,"&lt;&gt;"&amp;$P$21,$D$4:$D$9,$P19)</f>
        <v>1</v>
      </c>
      <c r="U19" s="25"/>
      <c r="V19" s="217">
        <f ca="1">Q19*FactorPts+(GDzero+R19)*FactorGD+S19*FactorFor</f>
        <v>40051020</v>
      </c>
      <c r="W19" s="25">
        <f ca="1">RANK(V19,V$18:V$20,1)</f>
        <v>2</v>
      </c>
      <c r="X19" s="25">
        <f ca="1">IF(AND($Q$4=$Q$5,$Q$4=$Q$6,$Q$4&lt;&gt;$Q$7),W19,0)</f>
        <v>0</v>
      </c>
      <c r="Y19" s="25" t="str">
        <f ca="1">IF(AND(V19=V18,V19&lt;&gt;V20),IF(AA19&gt;AA18,3,IF(AA19=AA18,1,0)),IF(AND(V19=V20,V19&lt;&gt;V18),IF(AC19&gt;AC20,3,IF(AC19=AC20,1,0)),""))</f>
        <v/>
      </c>
      <c r="Z19" s="25" t="str">
        <f ca="1" t="shared" si="12" ref="Z19:Z20">IF(X19&gt;0,Y19,"")</f>
        <v/>
      </c>
      <c r="AA19" s="206">
        <f ca="1">$H$19</f>
        <v>1</v>
      </c>
      <c r="AB19" s="25"/>
      <c r="AC19" s="219">
        <f ca="1">$J$19</f>
        <v>1</v>
      </c>
      <c r="AD19" s="25">
        <f ca="1">IF(AND($AF$16,$AD$4=$AD$5,$AD$4=$AD$6,$AD$4&lt;&gt;$AD$7),W19,0)</f>
        <v>0</v>
      </c>
      <c r="AE19" s="25" t="str">
        <f ca="1" t="shared" si="13" ref="AE19:AE20">IF(AD19&gt;0,Y19,"")</f>
        <v/>
      </c>
    </row>
    <row r="20" spans="5:31" ht="14.5">
      <c r="E20" s="904" t="str">
        <f>$P$6</f>
        <v>Serbia</v>
      </c>
      <c r="F20" s="905"/>
      <c r="G20" s="905"/>
      <c r="H20" s="32">
        <f ca="1">SUMIFS($E$4:$E$9,$B$4:$B$9,$P$6,$D$4:$D$9,$P$4)+SUMIFS($G$4:$G$9,$B$4:$B$9,$P$4,$D$4:$D$9,$P$6)</f>
        <v>2</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4</v>
      </c>
      <c r="R20" s="25">
        <f ca="1">S20-T20</f>
        <v>1</v>
      </c>
      <c r="S20" s="25">
        <f ca="1">SUMIFS($E$4:$E$9,$B$4:$B$9,$P20,$D$4:$D$9,"&lt;&gt;"&amp;$P$21)+SUMIFS($G$4:$G$9,$B$4:$B$9,"&lt;&gt;"&amp;$P$21,$D$4:$D$9,$P20)</f>
        <v>3</v>
      </c>
      <c r="T20" s="25">
        <f ca="1">SUMIFS($G$4:$G$9,$B$4:$B$9,$P20,$D$4:$D$9,"&lt;&gt;"&amp;$P$21)+SUMIFS($E$4:$E$9,$B$4:$B$9,"&lt;&gt;"&amp;$P$21,$D$4:$D$9,$P20)</f>
        <v>2</v>
      </c>
      <c r="U20" s="25"/>
      <c r="V20" s="217">
        <f ca="1">Q20*FactorPts+(GDzero+R20)*FactorGD+S20*FactorFor</f>
        <v>40051030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1</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4</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ht="14.5">
      <c r="B23" s="36"/>
      <c r="C23" s="25"/>
      <c r="O23" s="25" t="s">
        <v>32</v>
      </c>
      <c r="P23" t="str">
        <f>$P$4</f>
        <v>Slovenia</v>
      </c>
      <c r="Q23" s="25">
        <f ca="1">SUMIFS($H$4:$H$9,$B$4:$B$9,$P23,$D$4:$D$9,"&lt;&gt;"&amp;$P$26)+SUMIFS($I$4:$I$9,$B$4:$B$9,"&lt;&gt;"&amp;$P$26,$D$4:$D$9,$P23)</f>
        <v>0</v>
      </c>
      <c r="R23" s="25">
        <f ca="1">S23-T23</f>
        <v>-5</v>
      </c>
      <c r="S23" s="25">
        <f ca="1">SUMIFS($E$4:$E$9,$B$4:$B$9,$P23,$D$4:$D$9,"&lt;&gt;"&amp;$P$26)+SUMIFS($G$4:$G$9,$B$4:$B$9,"&lt;&gt;"&amp;$P$26,$D$4:$D$9,$P23)</f>
        <v>0</v>
      </c>
      <c r="T23" s="25">
        <f ca="1">SUMIFS($G$4:$G$9,$B$4:$B$9,$P23,$D$4:$D$9,"&lt;&gt;"&amp;$P$26)+SUMIFS($E$4:$E$9,$B$4:$B$9,"&lt;&gt;"&amp;$P$26,$D$4:$D$9,$P23)</f>
        <v>5</v>
      </c>
      <c r="U23" s="25"/>
      <c r="V23" s="217">
        <f ca="1">Q23*FactorPts+(GDzero+R23)*FactorGD+S23*FactorFor</f>
        <v>45000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ht="14.5">
      <c r="B24" s="36"/>
      <c r="C24" s="25"/>
      <c r="O24" s="25" t="s">
        <v>33</v>
      </c>
      <c r="P24" t="str">
        <f>$P$5</f>
        <v>Denmark</v>
      </c>
      <c r="Q24" s="25">
        <f ca="1">SUMIFS($H$4:$H$9,$B$4:$B$9,$P24,$D$4:$D$9,"&lt;&gt;"&amp;$P$26)+SUMIFS($I$4:$I$9,$B$4:$B$9,"&lt;&gt;"&amp;$P$26,$D$4:$D$9,$P24)</f>
        <v>4</v>
      </c>
      <c r="R24" s="25">
        <f ca="1">S24-T24</f>
        <v>1</v>
      </c>
      <c r="S24" s="25">
        <f ca="1">SUMIFS($E$4:$E$9,$B$4:$B$9,$P24,$D$4:$D$9,"&lt;&gt;"&amp;$P$26)+SUMIFS($G$4:$G$9,$B$4:$B$9,"&lt;&gt;"&amp;$P$26,$D$4:$D$9,$P24)</f>
        <v>2</v>
      </c>
      <c r="T24" s="25">
        <f ca="1">SUMIFS($G$4:$G$9,$B$4:$B$9,$P24,$D$4:$D$9,"&lt;&gt;"&amp;$P$26)+SUMIFS($E$4:$E$9,$B$4:$B$9,"&lt;&gt;"&amp;$P$26,$D$4:$D$9,$P24)</f>
        <v>1</v>
      </c>
      <c r="U24" s="25"/>
      <c r="V24" s="217">
        <f ca="1">Q24*FactorPts+(GDzero+R24)*FactorGD+S24*FactorFor</f>
        <v>40051020</v>
      </c>
      <c r="W24" s="25">
        <f ca="1">RANK(V24,V$23:V$25,1)</f>
        <v>2</v>
      </c>
      <c r="X24" s="25">
        <f ca="1">IF(AND($Q$4=$Q$5,$Q$4=$Q$7,$Q$4&lt;&gt;$Q$6),W24,0)</f>
        <v>0</v>
      </c>
      <c r="Y24" s="25" t="str">
        <f ca="1">IF(AND(V24=V23,V24&lt;&gt;V25),IF(AA24&gt;AA23,3,IF(AA24=AA23,1,0)),IF(AND(V24=V25,V24&lt;&gt;V23),IF(AC24&gt;AC25,3,IF(AC24=AC25,1,0)),""))</f>
        <v/>
      </c>
      <c r="Z24" s="25" t="str">
        <f ca="1" t="shared" si="14" ref="Z24:Z25">IF(X24&gt;0,Y24,"")</f>
        <v/>
      </c>
      <c r="AA24" s="206">
        <f ca="1">$H$19</f>
        <v>1</v>
      </c>
      <c r="AB24" s="25"/>
      <c r="AC24" s="219">
        <f ca="1">$K$19</f>
        <v>1</v>
      </c>
      <c r="AD24" s="25">
        <f ca="1">IF(AND($AF$16,$AD$4=$AD$5,$AD$4=$AD$7,$AD$4&lt;&gt;$AD$6),W24,0)</f>
        <v>0</v>
      </c>
      <c r="AE24" s="25" t="str">
        <f ca="1" t="shared" si="15" ref="AE24:AE25">IF(AD24&gt;0,Y24,"")</f>
        <v/>
      </c>
    </row>
    <row r="25" spans="2:31" ht="14.5">
      <c r="B25" s="36"/>
      <c r="C25" s="25"/>
      <c r="O25" s="25" t="s">
        <v>34</v>
      </c>
      <c r="P25" t="str">
        <f>$P$7</f>
        <v>England</v>
      </c>
      <c r="Q25" s="25">
        <f ca="1">SUMIFS($H$4:$H$9,$B$4:$B$9,$P25,$D$4:$D$9,"&lt;&gt;"&amp;$P$26)+SUMIFS($I$4:$I$9,$B$4:$B$9,"&lt;&gt;"&amp;$P$26,$D$4:$D$9,$P25)</f>
        <v>4</v>
      </c>
      <c r="R25" s="25">
        <f ca="1">S25-T25</f>
        <v>4</v>
      </c>
      <c r="S25" s="25">
        <f ca="1">SUMIFS($E$4:$E$9,$B$4:$B$9,$P25,$D$4:$D$9,"&lt;&gt;"&amp;$P$26)+SUMIFS($G$4:$G$9,$B$4:$B$9,"&lt;&gt;"&amp;$P$26,$D$4:$D$9,$P25)</f>
        <v>5</v>
      </c>
      <c r="T25" s="25">
        <f ca="1">SUMIFS($G$4:$G$9,$B$4:$B$9,$P25,$D$4:$D$9,"&lt;&gt;"&amp;$P$26)+SUMIFS($E$4:$E$9,$B$4:$B$9,"&lt;&gt;"&amp;$P$26,$D$4:$D$9,$P25)</f>
        <v>1</v>
      </c>
      <c r="U25" s="25"/>
      <c r="V25" s="217">
        <f ca="1">Q25*FactorPts+(GDzero+R25)*FactorGD+S25*FactorFor</f>
        <v>40054050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4</v>
      </c>
      <c r="AC25" s="219">
        <f ca="1">$I$21</f>
        <v>1</v>
      </c>
      <c r="AD25" s="25">
        <f ca="1">IF(AND($AF$16,$AD$4=$AD$5,$AD$4=$AD$7,$AD$4&lt;&gt;$AD$6),W25,0)</f>
        <v>0</v>
      </c>
      <c r="AE25" s="25" t="str">
        <f t="shared" ca="1" si="15"/>
        <v/>
      </c>
    </row>
    <row r="26" spans="2:31" ht="14.5">
      <c r="B26" s="36"/>
      <c r="C26" s="25"/>
      <c r="P26" s="28" t="str">
        <f>$P$6</f>
        <v>Serbia</v>
      </c>
      <c r="Q26" s="212"/>
      <c r="R26" s="212"/>
      <c r="S26" s="212"/>
      <c r="T26" s="212"/>
      <c r="U26" s="212"/>
      <c r="V26" s="213"/>
      <c r="W26" s="213"/>
      <c r="X26" s="212"/>
      <c r="Y26" s="212"/>
      <c r="Z26" s="212"/>
      <c r="AA26" s="214"/>
      <c r="AB26" s="212"/>
      <c r="AC26" s="215"/>
      <c r="AD26" s="213"/>
      <c r="AE26" s="212"/>
    </row>
    <row r="27" spans="17:31" ht="14.5">
      <c r="Q27" s="213"/>
      <c r="R27" s="213"/>
      <c r="S27" s="213"/>
      <c r="T27" s="213"/>
      <c r="U27" s="213"/>
      <c r="V27" s="213"/>
      <c r="W27" s="213"/>
      <c r="X27" s="212"/>
      <c r="Y27" s="212"/>
      <c r="Z27" s="212"/>
      <c r="AA27" s="214"/>
      <c r="AB27" s="212"/>
      <c r="AC27" s="215"/>
      <c r="AD27" s="213"/>
      <c r="AE27" s="212"/>
    </row>
    <row r="28" spans="15:31" ht="14.5">
      <c r="O28" s="25" t="s">
        <v>32</v>
      </c>
      <c r="P28" t="str">
        <f>$P$4</f>
        <v>Slovenia</v>
      </c>
      <c r="Q28" s="25">
        <f ca="1">SUMIFS($H$4:$H$9,$B$4:$B$9,$P28,$D$4:$D$9,"&lt;&gt;"&amp;$P$31)+SUMIFS($I$4:$I$9,$B$4:$B$9,"&lt;&gt;"&amp;$P$31,$D$4:$D$9,$P28)</f>
        <v>0</v>
      </c>
      <c r="R28" s="25">
        <f ca="1">S28-T28</f>
        <v>-5</v>
      </c>
      <c r="S28" s="25">
        <f ca="1">SUMIFS($E$4:$E$9,$B$4:$B$9,$P28,$D$4:$D$9,"&lt;&gt;"&amp;$P$31)+SUMIFS($G$4:$G$9,$B$4:$B$9,"&lt;&gt;"&amp;$P$31,$D$4:$D$9,$P28)</f>
        <v>1</v>
      </c>
      <c r="T28" s="25">
        <f ca="1">SUMIFS($G$4:$G$9,$B$4:$B$9,$P28,$D$4:$D$9,"&lt;&gt;"&amp;$P$31)+SUMIFS($E$4:$E$9,$B$4:$B$9,"&lt;&gt;"&amp;$P$31,$D$4:$D$9,$P28)</f>
        <v>6</v>
      </c>
      <c r="U28" s="25"/>
      <c r="V28" s="217">
        <f ca="1">Q28*FactorPts+(GDzero+R28)*FactorGD+S28*FactorFor</f>
        <v>45010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15:31" ht="14.5">
      <c r="O29" s="25" t="s">
        <v>33</v>
      </c>
      <c r="P29" t="str">
        <f>$P$6</f>
        <v>Serbia</v>
      </c>
      <c r="Q29" s="25">
        <f ca="1">SUMIFS($H$4:$H$9,$B$4:$B$9,$P29,$D$4:$D$9,"&lt;&gt;"&amp;$P$31)+SUMIFS($I$4:$I$9,$B$4:$B$9,"&lt;&gt;"&amp;$P$31,$D$4:$D$9,$P29)</f>
        <v>4</v>
      </c>
      <c r="R29" s="25">
        <f ca="1">S29-T29</f>
        <v>1</v>
      </c>
      <c r="S29" s="25">
        <f ca="1">SUMIFS($E$4:$E$9,$B$4:$B$9,$P29,$D$4:$D$9,"&lt;&gt;"&amp;$P$31)+SUMIFS($G$4:$G$9,$B$4:$B$9,"&lt;&gt;"&amp;$P$31,$D$4:$D$9,$P29)</f>
        <v>4</v>
      </c>
      <c r="T29" s="25">
        <f ca="1">SUMIFS($G$4:$G$9,$B$4:$B$9,$P29,$D$4:$D$9,"&lt;&gt;"&amp;$P$31)+SUMIFS($E$4:$E$9,$B$4:$B$9,"&lt;&gt;"&amp;$P$31,$D$4:$D$9,$P29)</f>
        <v>3</v>
      </c>
      <c r="U29" s="25"/>
      <c r="V29" s="217">
        <f ca="1">Q29*FactorPts+(GDzero+R29)*FactorGD+S29*FactorFor</f>
        <v>40051040</v>
      </c>
      <c r="W29" s="25">
        <f ca="1">RANK(V29,V$28:V$30,1)</f>
        <v>2</v>
      </c>
      <c r="X29" s="25">
        <f ca="1">IF(AND($Q$4=$Q$6,$Q$4=$Q$7,$Q$4&lt;&gt;$Q$5),W29,0)</f>
        <v>0</v>
      </c>
      <c r="Y29" s="25" t="str">
        <f ca="1">IF(AND(V29=V28,V29&lt;&gt;V30),IF(AA29&gt;AA28,3,IF(AA29=AA28,1,0)),IF(AND(V29=V30,V29&lt;&gt;V28),IF(AC29&gt;AC30,3,IF(AC29=AC30,1,0)),""))</f>
        <v/>
      </c>
      <c r="Z29" s="25" t="str">
        <f ca="1" t="shared" si="16" ref="Z29:Z30">IF(X29&gt;0,Y29,"")</f>
        <v/>
      </c>
      <c r="AA29" s="206">
        <f ca="1">$H$20</f>
        <v>2</v>
      </c>
      <c r="AB29" s="25"/>
      <c r="AC29" s="219">
        <f ca="1">$K$20</f>
        <v>2</v>
      </c>
      <c r="AD29" s="25">
        <f ca="1">IF(AND($AF$16,$AD$4=$AD$6,$AD$4=$AD$7,$AD$4&lt;&gt;$AD$5),W29,0)</f>
        <v>0</v>
      </c>
      <c r="AE29" s="25" t="str">
        <f ca="1" t="shared" si="17" ref="AE29:AE30">IF(AD29&gt;0,Y29,"")</f>
        <v/>
      </c>
    </row>
    <row r="30" spans="15:31" ht="14.5">
      <c r="O30" s="25" t="s">
        <v>34</v>
      </c>
      <c r="P30" t="str">
        <f>$P$7</f>
        <v>England</v>
      </c>
      <c r="Q30" s="25">
        <f ca="1">SUMIFS($H$4:$H$9,$B$4:$B$9,$P30,$D$4:$D$9,"&lt;&gt;"&amp;$P$31)+SUMIFS($I$4:$I$9,$B$4:$B$9,"&lt;&gt;"&amp;$P$31,$D$4:$D$9,$P30)</f>
        <v>4</v>
      </c>
      <c r="R30" s="25">
        <f ca="1">S30-T30</f>
        <v>4</v>
      </c>
      <c r="S30" s="25">
        <f ca="1">SUMIFS($E$4:$E$9,$B$4:$B$9,$P30,$D$4:$D$9,"&lt;&gt;"&amp;$P$31)+SUMIFS($G$4:$G$9,$B$4:$B$9,"&lt;&gt;"&amp;$P$31,$D$4:$D$9,$P30)</f>
        <v>6</v>
      </c>
      <c r="T30" s="25">
        <f ca="1">SUMIFS($G$4:$G$9,$B$4:$B$9,$P30,$D$4:$D$9,"&lt;&gt;"&amp;$P$31)+SUMIFS($E$4:$E$9,$B$4:$B$9,"&lt;&gt;"&amp;$P$31,$D$4:$D$9,$P30)</f>
        <v>2</v>
      </c>
      <c r="U30" s="25"/>
      <c r="V30" s="217">
        <f ca="1">Q30*FactorPts+(GDzero+R30)*FactorGD+S30*FactorFor</f>
        <v>40054060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4</v>
      </c>
      <c r="AC30" s="219">
        <f ca="1">$J$21</f>
        <v>2</v>
      </c>
      <c r="AD30" s="25">
        <f ca="1">IF(AND($AF$16,$AD$4=$AD$6,$AD$4=$AD$7,$AD$4&lt;&gt;$AD$5),W30,0)</f>
        <v>0</v>
      </c>
      <c r="AE30" s="25" t="str">
        <f t="shared" ca="1" si="17"/>
        <v/>
      </c>
    </row>
    <row r="31" spans="16:31" ht="14.5">
      <c r="P31" s="28" t="str">
        <f>$P$5</f>
        <v>Denmark</v>
      </c>
      <c r="Q31" s="212"/>
      <c r="R31" s="212"/>
      <c r="S31" s="212"/>
      <c r="T31" s="212"/>
      <c r="U31" s="212"/>
      <c r="V31" s="213"/>
      <c r="W31" s="213"/>
      <c r="X31" s="212"/>
      <c r="Y31" s="212"/>
      <c r="Z31" s="212"/>
      <c r="AA31" s="214"/>
      <c r="AB31" s="212"/>
      <c r="AC31" s="215"/>
      <c r="AD31" s="213"/>
      <c r="AE31" s="212"/>
    </row>
    <row r="32" spans="17:31" ht="14.5">
      <c r="Q32" s="213"/>
      <c r="R32" s="213"/>
      <c r="S32" s="213"/>
      <c r="T32" s="213"/>
      <c r="U32" s="213"/>
      <c r="V32" s="213"/>
      <c r="W32" s="213"/>
      <c r="X32" s="212"/>
      <c r="Y32" s="212"/>
      <c r="Z32" s="212"/>
      <c r="AA32" s="214"/>
      <c r="AB32" s="212"/>
      <c r="AC32" s="215"/>
      <c r="AD32" s="213"/>
      <c r="AE32" s="212"/>
    </row>
    <row r="33" spans="15:31" ht="14.5">
      <c r="O33" s="25" t="s">
        <v>32</v>
      </c>
      <c r="P33" t="str">
        <f>$P$5</f>
        <v>Denmark</v>
      </c>
      <c r="Q33" s="25">
        <f ca="1">SUMIFS($H$4:$H$9,$B$4:$B$9,$P33,$D$4:$D$9,"&lt;&gt;"&amp;$P$36)+SUMIFS($I$4:$I$9,$B$4:$B$9,"&lt;&gt;"&amp;$P$36,$D$4:$D$9,$P33)</f>
        <v>2</v>
      </c>
      <c r="R33" s="25">
        <f ca="1">S33-T33</f>
        <v>0</v>
      </c>
      <c r="S33" s="25">
        <f ca="1">SUMIFS($E$4:$E$9,$B$4:$B$9,$P33,$D$4:$D$9,"&lt;&gt;"&amp;$P$36)+SUMIFS($G$4:$G$9,$B$4:$B$9,"&lt;&gt;"&amp;$P$36,$D$4:$D$9,$P33)</f>
        <v>2</v>
      </c>
      <c r="T33" s="25">
        <f ca="1">SUMIFS($G$4:$G$9,$B$4:$B$9,$P33,$D$4:$D$9,"&lt;&gt;"&amp;$P$36)+SUMIFS($E$4:$E$9,$B$4:$B$9,"&lt;&gt;"&amp;$P$36,$D$4:$D$9,$P33)</f>
        <v>2</v>
      </c>
      <c r="U33" s="25"/>
      <c r="V33" s="217">
        <f ca="1">Q33*FactorPts+(GDzero+R33)*FactorGD+S33*FactorFor</f>
        <v>20050020</v>
      </c>
      <c r="W33" s="25">
        <f ca="1">RANK(V33,V$33:V$35,1)</f>
        <v>1</v>
      </c>
      <c r="X33" s="25">
        <f ca="1">IF(AND($Q$5=$Q$6,$Q$5=$Q$7,$Q$5&lt;&gt;$Q$4),W33,0)</f>
        <v>1</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ht="14.5">
      <c r="O34" s="25" t="s">
        <v>33</v>
      </c>
      <c r="P34" t="str">
        <f>$P$6</f>
        <v>Serbia</v>
      </c>
      <c r="Q34" s="25">
        <f ca="1">SUMIFS($H$4:$H$9,$B$4:$B$9,$P34,$D$4:$D$9,"&lt;&gt;"&amp;$P$36)+SUMIFS($I$4:$I$9,$B$4:$B$9,"&lt;&gt;"&amp;$P$36,$D$4:$D$9,$P34)</f>
        <v>2</v>
      </c>
      <c r="R34" s="25">
        <f ca="1">S34-T34</f>
        <v>0</v>
      </c>
      <c r="S34" s="25">
        <f ca="1">SUMIFS($E$4:$E$9,$B$4:$B$9,$P34,$D$4:$D$9,"&lt;&gt;"&amp;$P$36)+SUMIFS($G$4:$G$9,$B$4:$B$9,"&lt;&gt;"&amp;$P$36,$D$4:$D$9,$P34)</f>
        <v>3</v>
      </c>
      <c r="T34" s="25">
        <f ca="1">SUMIFS($G$4:$G$9,$B$4:$B$9,$P34,$D$4:$D$9,"&lt;&gt;"&amp;$P$36)+SUMIFS($E$4:$E$9,$B$4:$B$9,"&lt;&gt;"&amp;$P$36,$D$4:$D$9,$P34)</f>
        <v>3</v>
      </c>
      <c r="U34" s="25"/>
      <c r="V34" s="217">
        <f ca="1">Q34*FactorPts+(GDzero+R34)*FactorGD+S34*FactorFor</f>
        <v>20050030</v>
      </c>
      <c r="W34" s="25">
        <f ca="1">RANK(V34,V$33:V$35,1)</f>
        <v>2</v>
      </c>
      <c r="X34" s="25">
        <f ca="1">IF(AND($Q$5=$Q$6,$Q$5=$Q$7,$Q$5&lt;&gt;$Q$4),W34,0)</f>
        <v>2</v>
      </c>
      <c r="Y34" s="25">
        <f ca="1">IF(AND(V34=V33,V34&lt;&gt;V35),IF(AA34&gt;AA33,3,IF(AA34=AA33,1,0)),IF(AND(V34=V35,V34&lt;&gt;V33),IF(AC34&gt;AC35,3,IF(AC34=AC35,1,0)),""))</f>
        <v>1</v>
      </c>
      <c r="Z34" s="25">
        <f ca="1" t="shared" si="18" ref="Z34:Z35">IF(X34&gt;0,Y34,"")</f>
        <v>1</v>
      </c>
      <c r="AA34" s="206">
        <f ca="1">$I$20</f>
        <v>1</v>
      </c>
      <c r="AB34" s="25"/>
      <c r="AC34" s="219">
        <f ca="1">$K$20</f>
        <v>2</v>
      </c>
      <c r="AD34" s="25">
        <f ca="1">IF(AND($AF$16,$AD$5=$AD$6,$AD$5=$AD$7,$AD$5&lt;&gt;$AD$4),W34,0)</f>
        <v>0</v>
      </c>
      <c r="AE34" s="25" t="str">
        <f ca="1" t="shared" si="19" ref="AE34:AE35">IF(AD34&gt;0,Y34,"")</f>
        <v/>
      </c>
    </row>
    <row r="35" spans="15:31" ht="15" thickBot="1">
      <c r="O35" s="25" t="s">
        <v>34</v>
      </c>
      <c r="P35" t="str">
        <f>$P$7</f>
        <v>England</v>
      </c>
      <c r="Q35" s="25">
        <f ca="1">SUMIFS($H$4:$H$9,$B$4:$B$9,$P35,$D$4:$D$9,"&lt;&gt;"&amp;$P$36)+SUMIFS($I$4:$I$9,$B$4:$B$9,"&lt;&gt;"&amp;$P$36,$D$4:$D$9,$P35)</f>
        <v>2</v>
      </c>
      <c r="R35" s="25">
        <f ca="1">S35-T35</f>
        <v>0</v>
      </c>
      <c r="S35" s="25">
        <f ca="1">SUMIFS($E$4:$E$9,$B$4:$B$9,$P35,$D$4:$D$9,"&lt;&gt;"&amp;$P$36)+SUMIFS($G$4:$G$9,$B$4:$B$9,"&lt;&gt;"&amp;$P$36,$D$4:$D$9,$P35)</f>
        <v>3</v>
      </c>
      <c r="T35" s="25">
        <f ca="1">SUMIFS($G$4:$G$9,$B$4:$B$9,$P35,$D$4:$D$9,"&lt;&gt;"&amp;$P$36)+SUMIFS($E$4:$E$9,$B$4:$B$9,"&lt;&gt;"&amp;$P$36,$D$4:$D$9,$P35)</f>
        <v>3</v>
      </c>
      <c r="U35" s="25"/>
      <c r="V35" s="217">
        <f ca="1">Q35*FactorPts+(GDzero+R35)*FactorGD+S35*FactorFor</f>
        <v>20050030</v>
      </c>
      <c r="W35" s="25">
        <f ca="1">RANK(V35,V$33:V$35,1)</f>
        <v>2</v>
      </c>
      <c r="X35" s="25">
        <f ca="1">IF(AND($Q$5=$Q$6,$Q$5=$Q$7,$Q$5&lt;&gt;$Q$4),W35,0)</f>
        <v>2</v>
      </c>
      <c r="Y35" s="25">
        <f ca="1">IF(AND(V35=V33,V35&lt;&gt;V34),IF(AB35&gt;AB33,3,IF(AB35=AB33,1,0)),IF(AND(V35=V34,V35&lt;&gt;V33),IF(AC35&gt;AC34,3,IF(AC35=AC34,1,0)),""))</f>
        <v>1</v>
      </c>
      <c r="Z35" s="25">
        <f t="shared" ca="1" si="18"/>
        <v>1</v>
      </c>
      <c r="AA35" s="207"/>
      <c r="AB35" s="208">
        <f ca="1">$I$21</f>
        <v>1</v>
      </c>
      <c r="AC35" s="209">
        <f ca="1">$J$21</f>
        <v>2</v>
      </c>
      <c r="AD35" s="25">
        <f ca="1">IF(AND($AF$16,$AD$5=$AD$6,$AD$5=$AD$7,$AD$5&lt;&gt;$AD$4),W35,0)</f>
        <v>0</v>
      </c>
      <c r="AE35" s="25" t="str">
        <f t="shared" ca="1" si="19"/>
        <v/>
      </c>
    </row>
    <row r="36" spans="16:21" ht="14.5">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5" bottom="0.787401575" header="0.3" footer="0.3"/>
  <pageSetup orientation="portrait" paperSize="9"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topLeftCell="A1"/>
  </sheetViews>
  <sheetFormatPr defaultColWidth="10.9042857142857" defaultRowHeight="14.5"/>
  <cols>
    <col min="1" max="1" width="2.28571428571429" customWidth="1"/>
    <col min="2" max="2" width="13.7142857142857" customWidth="1"/>
    <col min="3" max="3" width="4.42857142857143" customWidth="1"/>
    <col min="4" max="4" width="14.1428571428571" customWidth="1"/>
    <col min="5" max="5" width="5.14285714285714" customWidth="1"/>
    <col min="6" max="6" width="3.57142857142857" customWidth="1"/>
    <col min="7" max="7" width="4.57142857142857" customWidth="1"/>
    <col min="8" max="9" width="5" customWidth="1"/>
    <col min="10" max="10" width="4.85714285714286" customWidth="1"/>
    <col min="11" max="11" width="5.28571428571429" customWidth="1"/>
    <col min="12" max="13" width="6.28571428571429" customWidth="1"/>
    <col min="14" max="14" width="3.14285714285714" customWidth="1"/>
    <col min="15" max="15" width="4.42857142857143" style="25" customWidth="1"/>
    <col min="16" max="16" width="14" customWidth="1"/>
    <col min="17" max="17" width="7.28571428571429" customWidth="1"/>
    <col min="18" max="18" width="5.71428571428571" customWidth="1"/>
    <col min="19" max="19" width="7.28571428571429" customWidth="1"/>
    <col min="20" max="20" width="8.28571428571429" customWidth="1"/>
    <col min="21" max="21" width="5.85714285714286" customWidth="1"/>
    <col min="22" max="22" width="20.7142857142857" customWidth="1"/>
    <col min="23" max="23" width="10.7142857142857" customWidth="1"/>
    <col min="24" max="24" width="10.8571428571429" customWidth="1"/>
    <col min="26" max="26" width="13" customWidth="1"/>
    <col min="27" max="27" width="12.2857142857143" customWidth="1"/>
    <col min="31" max="31" width="7.85714285714286" customWidth="1"/>
    <col min="32" max="32" width="8.28571428571429" customWidth="1"/>
  </cols>
  <sheetData>
    <row r="1" spans="1:17" ht="23.5">
      <c r="A1" s="41"/>
      <c r="B1" s="40" t="str">
        <f>VLOOKUP($Q$1,References!$B$5:$D$10,2,0)</f>
        <v>K</v>
      </c>
      <c r="D1" s="40" t="str">
        <f>VLOOKUP($Q$1,References!$B$5:$D$10,3,0)</f>
        <v>L</v>
      </c>
      <c r="P1" s="159" t="s">
        <v>210</v>
      </c>
      <c r="Q1" s="160" t="s">
        <v>31</v>
      </c>
    </row>
    <row r="2" ht="8.25" customHeight="1"/>
    <row r="3" spans="2:32" ht="14.5">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2:33" ht="14.5">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3</v>
      </c>
      <c r="H4" s="25">
        <f ca="1" t="shared" si="0" ref="H4:H9">IF($M4&gt;0,IF($E4&gt;$G4,3,IF($E4=$G4,1,0)),0)</f>
        <v>0</v>
      </c>
      <c r="I4" s="25">
        <f ca="1" t="shared" si="1" ref="I4:I9">IF($M4&gt;0,IF($E4&lt;$G4,3,IF($E4=$G4,1,0)),0)</f>
        <v>3</v>
      </c>
      <c r="L4" s="5"/>
      <c r="M4" s="25">
        <f ca="1" t="shared" si="2" ref="M4:M9">IF(AND($E4&lt;&gt;"",$G4&lt;&gt;""),1,0)</f>
        <v>1</v>
      </c>
      <c r="N4" s="25"/>
      <c r="O4" s="25" t="s">
        <v>32</v>
      </c>
      <c r="P4" s="37" t="str">
        <f>VLOOKUP($Q$1&amp;ROW($A1),Groups!$B$7:$D$35,3,0)</f>
        <v>Poland</v>
      </c>
      <c r="Q4" s="25">
        <f ca="1">SUMIF($B$4:$B$9,P4,$H$4:$H$9)+SUMIF($D$4:$D$9,P4,$I$4:$I$9)</f>
        <v>1</v>
      </c>
      <c r="R4" s="25">
        <f ca="1">S4-T4</f>
        <v>-6</v>
      </c>
      <c r="S4" s="25">
        <f ca="1">SUMIF($B$4:$B$9,$P4,$E$4:$E$9)+SUMIF($D$4:$D$9,$P4,$G$4:$G$9)</f>
        <v>3</v>
      </c>
      <c r="T4" s="25">
        <f ca="1">SUMIF($B$4:$B$9,$P4,$G$4:$G$9)+SUMIF($D$4:$D$9,$P4,$E$4:$E$9)</f>
        <v>9</v>
      </c>
      <c r="U4" s="25">
        <f ca="1">COUNTIFS($B$4:$B$9,$P4,$H$4:$H$9,"=3")+COUNTIFS($D$4:$D$9,$P4,$I$4:$I$9,"=3")</f>
        <v>0</v>
      </c>
      <c r="V4" s="421">
        <f ca="1">$Q4*FactorPts+(GDzero+$R4)*FactorGD+$S4*FactorFor+$U4*FactorWins+$W4*FactorDirC3+$X4*FactorDirC2+$Y4*FactorDirC43+$Z4*FactorDirC42+$AA4*FactorDirC42+$AB4*FactorFairPlay+$AE4*FactorPenalty+(100-$AF4)*($M$10&gt;0)*FactorRank+(8-ROW())*FactorRow</f>
        <v>10144030.0000744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10044030</v>
      </c>
      <c r="AE4" s="25">
        <f ca="1">IF(OR(AND($Y$11&gt;0,OR(AND($B$8=$P4,$J$8&gt;$L$8),AND($D$8=$P4,$J$8&lt;$L$8))),AND($Y$12&gt;0,OR(AND($B$9=$P4,$J$9&gt;$L$9),AND($D$9=$P4,$J$9&lt;$L$9)))),1,0)</f>
        <v>0</v>
      </c>
      <c r="AF4" s="25">
        <f>INDEX(Language!$D$5:$D$63,MATCH($P4,Language!$E$5:$E$63,0),1)</f>
        <v>26</v>
      </c>
      <c r="AG4" s="25"/>
    </row>
    <row r="5" spans="2:32" ht="14.5">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ca="1" t="shared" si="3" ref="Q5:Q7">SUMIF($B$4:$B$9,P5,$H$4:$H$9)+SUMIF($D$4:$D$9,P5,$I$4:$I$9)</f>
        <v>6</v>
      </c>
      <c r="R5" s="25">
        <f ca="1">S5-T5</f>
        <v>3</v>
      </c>
      <c r="S5" s="25">
        <f ca="1">SUMIF($B$4:$B$9,$P5,$E$4:$E$9)+SUMIF($D$4:$D$9,$P5,$G$4:$G$9)</f>
        <v>6</v>
      </c>
      <c r="T5" s="25">
        <f ca="1">SUMIF($B$4:$B$9,$P5,$G$4:$G$9)+SUMIF($D$4:$D$9,$P5,$E$4:$E$9)</f>
        <v>3</v>
      </c>
      <c r="U5" s="25">
        <f ca="1" t="shared" si="4" ref="U5:U7">COUNTIFS($B$4:$B$9,$P5,$H$4:$H$9,"=3")+COUNTIFS($D$4:$D$9,$P5,$I$4:$I$9,"=3")</f>
        <v>2</v>
      </c>
      <c r="V5" s="421">
        <f ca="1">$Q5*FactorPts+(GDzero+$R5)*FactorGD+$S5*FactorFor+$U5*FactorWins+$W5*FactorDirC3+$X5*FactorDirC2+$Y5*FactorDirC43+$Z5*FactorDirC42+$AA5*FactorDirC42+$AB5*FactorFairPlay+$AE5*FactorPenalty+(100-$AF5)*($M$10&gt;0)*FactorRank+(8-ROW())*FactorRow</f>
        <v>60053060.002088293</v>
      </c>
      <c r="W5" s="25">
        <f ca="1" t="shared" si="5" ref="W5:W7">SUMIFS($X$18:$X$35,$P$18:$P$35,$P5)</f>
        <v>0</v>
      </c>
      <c r="X5" s="25">
        <f ca="1">IF($L19="",0,$L19)+SUMIFS($Z$18:$Z$35,$P$18:$P$35,$P5)</f>
        <v>0</v>
      </c>
      <c r="Y5">
        <f ca="1" t="shared" si="6" ref="Y5:Y7">SUMIFS($AD$18:$AD$35,$P$18:$P$35,$P5)</f>
        <v>0</v>
      </c>
      <c r="Z5">
        <f ca="1" t="shared" si="7" ref="Z5:Z7">SUMIFS($AE$18:$AE$35,$P$18:$P$35,$P5)</f>
        <v>0</v>
      </c>
      <c r="AA5" s="25">
        <f ca="1">IF($M19="",0,$M19)</f>
        <v>0</v>
      </c>
      <c r="AB5" s="25">
        <f>SUMIFS(FairPlayPoints1,FairPlayTeams1,$P5)+SUMIFS(FairPlayPoints2,FairPlayTeams2,$P5)</f>
        <v>0</v>
      </c>
      <c r="AC5" s="25" t="b">
        <f ca="1">(Q5+T5&gt;0)</f>
        <v>1</v>
      </c>
      <c r="AD5" s="228">
        <f ca="1">$Q5*FactorPts+(GDzero+$R5)*FactorGD+$S5*FactorFor</f>
        <v>60053060</v>
      </c>
      <c r="AE5" s="25">
        <f ca="1">IF(OR(AND($Y$11&gt;0,OR(AND($B$8=$P5,$J$8&gt;$L$8),AND($D$8=$P5,$J$8&lt;$L$8))),AND($Y$12&gt;0,OR(AND($B$9=$P5,$J$9&gt;$L$9),AND($D$9=$P5,$J$9&lt;$L$9)))),1,0)</f>
        <v>0</v>
      </c>
      <c r="AF5" s="25">
        <f>INDEX(Language!$D$5:$D$63,MATCH($P5,Language!$E$5:$E$63,0),1)</f>
        <v>12</v>
      </c>
    </row>
    <row r="6" spans="2:32" ht="14.5">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Austria</v>
      </c>
      <c r="Q6" s="25">
        <f t="shared" ca="1" si="3"/>
        <v>1</v>
      </c>
      <c r="R6" s="25">
        <f ca="1">S6-T6</f>
        <v>-5</v>
      </c>
      <c r="S6" s="25">
        <f ca="1">SUMIF($B$4:$B$9,$P6,$E$4:$E$9)+SUMIF($D$4:$D$9,$P6,$G$4:$G$9)</f>
        <v>2</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10145020.0000892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10045020</v>
      </c>
      <c r="AE6" s="25">
        <f ca="1">IF(OR(AND($Y$11&gt;0,OR(AND($B$8=$P6,$J$8&gt;$L$8),AND($D$8=$P6,$J$8&lt;$L$8))),AND($Y$12&gt;0,OR(AND($B$9=$P6,$J$9&gt;$L$9),AND($D$9=$P6,$J$9&lt;$L$9)))),1,0)</f>
        <v>0</v>
      </c>
      <c r="AF6" s="25">
        <f>INDEX(Language!$D$5:$D$63,MATCH($P6,Language!$E$5:$E$63,0),1)</f>
        <v>11</v>
      </c>
    </row>
    <row r="7" spans="2:32" ht="14.5">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9</v>
      </c>
      <c r="R7" s="25">
        <f ca="1">S7-T7</f>
        <v>8</v>
      </c>
      <c r="S7" s="25">
        <f ca="1">SUMIF($B$4:$B$9,$P7,$E$4:$E$9)+SUMIF($D$4:$D$9,$P7,$G$4:$G$9)</f>
        <v>9</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90058090.003098115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90058090</v>
      </c>
      <c r="AE7" s="25">
        <f ca="1">IF(OR(AND($Y$11&gt;0,OR(AND($B$8=$P7,$J$8&gt;$L$8),AND($D$8=$P7,$J$8&lt;$L$8))),AND($Y$12&gt;0,OR(AND($B$9=$P7,$J$9&gt;$L$9),AND($D$9=$P7,$J$9&lt;$L$9)))),1,0)</f>
        <v>0</v>
      </c>
      <c r="AF7" s="25">
        <f>INDEX(Language!$D$5:$D$63,MATCH($P7,Language!$E$5:$E$63,0),1)</f>
        <v>2</v>
      </c>
    </row>
    <row r="8" spans="2:26" ht="14.5">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2:31" ht="14.5">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4</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2:31"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2:31" ht="15.5" thickTop="1" thickBot="1">
      <c r="B11" s="72"/>
      <c r="C11" s="25"/>
      <c r="D11" s="72"/>
      <c r="O11" s="35" t="s">
        <v>32</v>
      </c>
      <c r="P11" s="34" t="str">
        <f ca="1" t="shared" si="8" ref="P11:U14">INDEX(P$4:P$7,MATCH($V11,$V$4:$V$7,0))</f>
        <v>France</v>
      </c>
      <c r="Q11" s="192">
        <f t="shared" ca="1" si="8"/>
        <v>9</v>
      </c>
      <c r="R11" s="33">
        <f t="shared" ca="1" si="8"/>
        <v>8</v>
      </c>
      <c r="S11" s="33">
        <f t="shared" ca="1" si="8"/>
        <v>9</v>
      </c>
      <c r="T11" s="33">
        <f t="shared" ca="1" si="8"/>
        <v>1</v>
      </c>
      <c r="U11" s="33">
        <f t="shared" ca="1" si="8"/>
        <v>3</v>
      </c>
      <c r="V11" s="422">
        <f ca="1">LARGE($V$4:$V$7,ROW(A1))</f>
        <v>90058090.003098115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2:31" ht="15" thickTop="1">
      <c r="B12" s="25"/>
      <c r="C12" s="25"/>
      <c r="D12" s="25"/>
      <c r="O12" s="32" t="s">
        <v>33</v>
      </c>
      <c r="P12" t="str">
        <f t="shared" ca="1" si="8"/>
        <v>Netherlands</v>
      </c>
      <c r="Q12" s="99">
        <f t="shared" ca="1" si="8"/>
        <v>6</v>
      </c>
      <c r="R12" s="25">
        <f t="shared" ca="1" si="8"/>
        <v>3</v>
      </c>
      <c r="S12" s="25">
        <f t="shared" ca="1" si="8"/>
        <v>6</v>
      </c>
      <c r="T12" s="25">
        <f t="shared" ca="1" si="8"/>
        <v>3</v>
      </c>
      <c r="U12" s="25">
        <f t="shared" ca="1" si="8"/>
        <v>2</v>
      </c>
      <c r="V12" s="423">
        <f ca="1">LARGE($V$4:$V$7,ROW(A2))</f>
        <v>60053060.002088293</v>
      </c>
      <c r="Y12" s="25">
        <f ca="1">IF(AND(VLOOKUP($B$9,$P$4:$AD$7,15,0)=VLOOKUP($D$9,$P$4:$AD$7,15,0),$E$9=$G$9,COUNTIF($Q$4:$Q$7,VLOOKUP($B$9,$P$4:$Q$7,2,0))=2,$M$10=6),1,0)</f>
        <v>0</v>
      </c>
      <c r="Z12" s="223" t="b">
        <f ca="1">VLOOKUP($P12,$E$18:$M$21,8,0)&lt;&gt;""</f>
        <v>0</v>
      </c>
      <c r="AA12" s="25" t="b">
        <f ca="1">VLOOKUP($P12,$E$18:$M$21,9,0)&lt;&gt;""</f>
        <v>0</v>
      </c>
      <c r="AB12" t="b">
        <f ca="1" t="shared" si="9" ref="AB12:AB14">SUMPRODUCT(1*(LEN($Z$18:$Z$35)&gt;0)*($P$18:$P$35=$P12))&gt;0</f>
        <v>0</v>
      </c>
      <c r="AC12" t="b">
        <f ca="1" t="shared" si="10" ref="AC12:AC14">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2:31" ht="14.5">
      <c r="B13" s="25"/>
      <c r="C13" s="25"/>
      <c r="D13" s="50"/>
      <c r="O13" s="32" t="s">
        <v>34</v>
      </c>
      <c r="P13" t="str">
        <f ca="1" t="shared" si="11" ref="P13:U14">INDEX(P$4:P$7,MATCH($V13,$V$4:$V$7,0))</f>
        <v>Austria</v>
      </c>
      <c r="Q13" s="99">
        <f t="shared" ca="1" si="11"/>
        <v>1</v>
      </c>
      <c r="R13" s="25">
        <f t="shared" ca="1" si="11"/>
        <v>-5</v>
      </c>
      <c r="S13" s="25">
        <f t="shared" ca="1" si="8"/>
        <v>2</v>
      </c>
      <c r="T13" s="25">
        <f t="shared" ca="1" si="8"/>
        <v>7</v>
      </c>
      <c r="U13" s="25">
        <f t="shared" ca="1" si="11"/>
        <v>0</v>
      </c>
      <c r="V13" s="423">
        <f ca="1">LARGE($V$4:$V$7,ROW(A3))</f>
        <v>10145020.0000892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2:31" ht="15" thickBot="1">
      <c r="B14" s="25"/>
      <c r="C14" s="25"/>
      <c r="D14" s="50"/>
      <c r="F14" s="25"/>
      <c r="G14" s="5"/>
      <c r="O14" s="31" t="s">
        <v>35</v>
      </c>
      <c r="P14" s="30" t="str">
        <f t="shared" ca="1" si="11"/>
        <v>Poland</v>
      </c>
      <c r="Q14" s="193">
        <f t="shared" ca="1" si="11"/>
        <v>1</v>
      </c>
      <c r="R14" s="29">
        <f t="shared" ca="1" si="11"/>
        <v>-6</v>
      </c>
      <c r="S14" s="29">
        <f t="shared" ca="1" si="8"/>
        <v>3</v>
      </c>
      <c r="T14" s="29">
        <f t="shared" ca="1" si="8"/>
        <v>9</v>
      </c>
      <c r="U14" s="29">
        <f t="shared" ca="1" si="11"/>
        <v>0</v>
      </c>
      <c r="V14" s="424">
        <f ca="1">LARGE($V$4:$V$7,ROW(A4))</f>
        <v>10144030.0000744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2:14" ht="15.5" thickTop="1" thickBot="1">
      <c r="B15" s="25"/>
      <c r="C15" s="25"/>
      <c r="D15" s="25"/>
      <c r="F15" s="25"/>
      <c r="G15" s="5"/>
      <c r="L15" s="46"/>
      <c r="M15" s="46"/>
      <c r="N15" s="46"/>
    </row>
    <row r="16" spans="2:32"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1</v>
      </c>
      <c r="J18" s="33">
        <f ca="1">SUMIFS($E$4:$E$9,$B$4:$B$9,$P$4,$D$4:$D$9,$P$6)+SUMIFS($G$4:$G$9,$B$4:$B$9,$P$6,$D$4:$D$9,$P$4)</f>
        <v>2</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-2</v>
      </c>
      <c r="S18" s="25">
        <f ca="1">SUMIFS($E$4:$E$9,$B$4:$B$9,$P18,$D$4:$D$9,"&lt;&gt;"&amp;$P$21)+SUMIFS($G$4:$G$9,$B$4:$B$9,"&lt;&gt;"&amp;$P$21,$D$4:$D$9,$P18)</f>
        <v>3</v>
      </c>
      <c r="T18" s="25">
        <f ca="1">SUMIFS($G$4:$G$9,$B$4:$B$9,$P18,$D$4:$D$9,"&lt;&gt;"&amp;$P$21)+SUMIFS($E$4:$E$9,$B$4:$B$9,"&lt;&gt;"&amp;$P$21,$D$4:$D$9,$P18)</f>
        <v>5</v>
      </c>
      <c r="U18" s="25"/>
      <c r="V18" s="217">
        <f ca="1">Q18*FactorPts+(GDzero+R18)*FactorGD+S18*FactorFor</f>
        <v>10048030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ht="14.5">
      <c r="B19" s="25"/>
      <c r="C19" s="25"/>
      <c r="D19" s="25"/>
      <c r="E19" s="904" t="str">
        <f>$P$5</f>
        <v>Netherlands</v>
      </c>
      <c r="F19" s="905"/>
      <c r="G19" s="905"/>
      <c r="H19" s="32">
        <f ca="1">SUMIFS($E$4:$E$9,$B$4:$B$9,$P$5,$D$4:$D$9,$P$4)+SUMIFS($G$4:$G$9,$B$4:$B$9,$P$4,$D$4:$D$9,$P$5)</f>
        <v>3</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4</v>
      </c>
      <c r="S19" s="25">
        <f ca="1">SUMIFS($E$4:$E$9,$B$4:$B$9,$P19,$D$4:$D$9,"&lt;&gt;"&amp;$P$21)+SUMIFS($G$4:$G$9,$B$4:$B$9,"&lt;&gt;"&amp;$P$21,$D$4:$D$9,$P19)</f>
        <v>5</v>
      </c>
      <c r="T19" s="25">
        <f ca="1">SUMIFS($G$4:$G$9,$B$4:$B$9,$P19,$D$4:$D$9,"&lt;&gt;"&amp;$P$21)+SUMIFS($E$4:$E$9,$B$4:$B$9,"&lt;&gt;"&amp;$P$21,$D$4:$D$9,$P19)</f>
        <v>1</v>
      </c>
      <c r="U19" s="25"/>
      <c r="V19" s="217">
        <f ca="1">Q19*FactorPts+(GDzero+R19)*FactorGD+S19*FactorFor</f>
        <v>60054050</v>
      </c>
      <c r="W19" s="25">
        <f ca="1">RANK(V19,V$18:V$20,1)</f>
        <v>3</v>
      </c>
      <c r="X19" s="25">
        <f ca="1">IF(AND($Q$4=$Q$5,$Q$4=$Q$6,$Q$4&lt;&gt;$Q$7),W19,0)</f>
        <v>0</v>
      </c>
      <c r="Y19" s="25" t="str">
        <f ca="1">IF(AND(V19=V18,V19&lt;&gt;V20),IF(AA19&gt;AA18,3,IF(AA19=AA18,1,0)),IF(AND(V19=V20,V19&lt;&gt;V18),IF(AC19&gt;AC20,3,IF(AC19=AC20,1,0)),""))</f>
        <v/>
      </c>
      <c r="Z19" s="25" t="str">
        <f ca="1" t="shared" si="12" ref="Z19:Z20">IF(X19&gt;0,Y19,"")</f>
        <v/>
      </c>
      <c r="AA19" s="206">
        <f ca="1">$H$19</f>
        <v>3</v>
      </c>
      <c r="AB19" s="25"/>
      <c r="AC19" s="219">
        <f ca="1">$J$19</f>
        <v>2</v>
      </c>
      <c r="AD19" s="25">
        <f ca="1">IF(AND($AF$16,$AD$4=$AD$5,$AD$4=$AD$6,$AD$4&lt;&gt;$AD$7),W19,0)</f>
        <v>0</v>
      </c>
      <c r="AE19" s="25" t="str">
        <f ca="1" t="shared" si="13" ref="AE19:AE20">IF(AD19&gt;0,Y19,"")</f>
        <v/>
      </c>
    </row>
    <row r="20" spans="5:31" ht="14.5">
      <c r="E20" s="904" t="str">
        <f>$P$6</f>
        <v>Austria</v>
      </c>
      <c r="F20" s="905"/>
      <c r="G20" s="905"/>
      <c r="H20" s="32">
        <f ca="1">SUMIFS($E$4:$E$9,$B$4:$B$9,$P$6,$D$4:$D$9,$P$4)+SUMIFS($G$4:$G$9,$B$4:$B$9,$P$4,$D$4:$D$9,$P$6)</f>
        <v>2</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-2</v>
      </c>
      <c r="S20" s="25">
        <f ca="1">SUMIFS($E$4:$E$9,$B$4:$B$9,$P20,$D$4:$D$9,"&lt;&gt;"&amp;$P$21)+SUMIFS($G$4:$G$9,$B$4:$B$9,"&lt;&gt;"&amp;$P$21,$D$4:$D$9,$P20)</f>
        <v>2</v>
      </c>
      <c r="T20" s="25">
        <f ca="1">SUMIFS($G$4:$G$9,$B$4:$B$9,$P20,$D$4:$D$9,"&lt;&gt;"&amp;$P$21)+SUMIFS($E$4:$E$9,$B$4:$B$9,"&lt;&gt;"&amp;$P$21,$D$4:$D$9,$P20)</f>
        <v>4</v>
      </c>
      <c r="U20" s="25"/>
      <c r="V20" s="217">
        <f ca="1">Q20*FactorPts+(GDzero+R20)*FactorGD+S20*FactorFor</f>
        <v>10048020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2</v>
      </c>
      <c r="AC20" s="219">
        <f ca="1">$I$20</f>
        <v>0</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4</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ht="14.5">
      <c r="B23" s="36"/>
      <c r="C23" s="25"/>
      <c r="O23" s="25" t="s">
        <v>32</v>
      </c>
      <c r="P23" t="str">
        <f>$P$4</f>
        <v>Poland</v>
      </c>
      <c r="Q23" s="25">
        <f ca="1">SUMIFS($H$4:$H$9,$B$4:$B$9,$P23,$D$4:$D$9,"&lt;&gt;"&amp;$P$26)+SUMIFS($I$4:$I$9,$B$4:$B$9,"&lt;&gt;"&amp;$P$26,$D$4:$D$9,$P23)</f>
        <v>0</v>
      </c>
      <c r="R23" s="25">
        <f ca="1">S23-T23</f>
        <v>-6</v>
      </c>
      <c r="S23" s="25">
        <f ca="1">SUMIFS($E$4:$E$9,$B$4:$B$9,$P23,$D$4:$D$9,"&lt;&gt;"&amp;$P$26)+SUMIFS($G$4:$G$9,$B$4:$B$9,"&lt;&gt;"&amp;$P$26,$D$4:$D$9,$P23)</f>
        <v>1</v>
      </c>
      <c r="T23" s="25">
        <f ca="1">SUMIFS($G$4:$G$9,$B$4:$B$9,$P23,$D$4:$D$9,"&lt;&gt;"&amp;$P$26)+SUMIFS($E$4:$E$9,$B$4:$B$9,"&lt;&gt;"&amp;$P$26,$D$4:$D$9,$P23)</f>
        <v>7</v>
      </c>
      <c r="U23" s="25"/>
      <c r="V23" s="217">
        <f ca="1">Q23*FactorPts+(GDzero+R23)*FactorGD+S23*FactorFor</f>
        <v>44010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ht="14.5">
      <c r="B24" s="36"/>
      <c r="C24" s="25"/>
      <c r="O24" s="25" t="s">
        <v>33</v>
      </c>
      <c r="P24" t="str">
        <f>$P$5</f>
        <v>Netherlands</v>
      </c>
      <c r="Q24" s="25">
        <f ca="1">SUMIFS($H$4:$H$9,$B$4:$B$9,$P24,$D$4:$D$9,"&lt;&gt;"&amp;$P$26)+SUMIFS($I$4:$I$9,$B$4:$B$9,"&lt;&gt;"&amp;$P$26,$D$4:$D$9,$P24)</f>
        <v>3</v>
      </c>
      <c r="R24" s="25">
        <f ca="1">S24-T24</f>
        <v>1</v>
      </c>
      <c r="S24" s="25">
        <f ca="1">SUMIFS($E$4:$E$9,$B$4:$B$9,$P24,$D$4:$D$9,"&lt;&gt;"&amp;$P$26)+SUMIFS($G$4:$G$9,$B$4:$B$9,"&lt;&gt;"&amp;$P$26,$D$4:$D$9,$P24)</f>
        <v>4</v>
      </c>
      <c r="T24" s="25">
        <f ca="1">SUMIFS($G$4:$G$9,$B$4:$B$9,$P24,$D$4:$D$9,"&lt;&gt;"&amp;$P$26)+SUMIFS($E$4:$E$9,$B$4:$B$9,"&lt;&gt;"&amp;$P$26,$D$4:$D$9,$P24)</f>
        <v>3</v>
      </c>
      <c r="U24" s="25"/>
      <c r="V24" s="217">
        <f ca="1">Q24*FactorPts+(GDzero+R24)*FactorGD+S24*FactorFor</f>
        <v>30051040</v>
      </c>
      <c r="W24" s="25">
        <f ca="1">RANK(V24,V$23:V$25,1)</f>
        <v>2</v>
      </c>
      <c r="X24" s="25">
        <f ca="1">IF(AND($Q$4=$Q$5,$Q$4=$Q$7,$Q$4&lt;&gt;$Q$6),W24,0)</f>
        <v>0</v>
      </c>
      <c r="Y24" s="25" t="str">
        <f ca="1">IF(AND(V24=V23,V24&lt;&gt;V25),IF(AA24&gt;AA23,3,IF(AA24=AA23,1,0)),IF(AND(V24=V25,V24&lt;&gt;V23),IF(AC24&gt;AC25,3,IF(AC24=AC25,1,0)),""))</f>
        <v/>
      </c>
      <c r="Z24" s="25" t="str">
        <f ca="1" t="shared" si="14" ref="Z24:Z25">IF(X24&gt;0,Y24,"")</f>
        <v/>
      </c>
      <c r="AA24" s="206">
        <f ca="1">$H$19</f>
        <v>3</v>
      </c>
      <c r="AB24" s="25"/>
      <c r="AC24" s="219">
        <f ca="1">$K$19</f>
        <v>1</v>
      </c>
      <c r="AD24" s="25">
        <f ca="1">IF(AND($AF$16,$AD$4=$AD$5,$AD$4=$AD$7,$AD$4&lt;&gt;$AD$6),W24,0)</f>
        <v>0</v>
      </c>
      <c r="AE24" s="25" t="str">
        <f ca="1" t="shared" si="15" ref="AE24:AE25">IF(AD24&gt;0,Y24,"")</f>
        <v/>
      </c>
    </row>
    <row r="25" spans="2:31" ht="14.5">
      <c r="B25" s="36"/>
      <c r="C25" s="25"/>
      <c r="O25" s="25" t="s">
        <v>34</v>
      </c>
      <c r="P25" t="str">
        <f>$P$7</f>
        <v>France</v>
      </c>
      <c r="Q25" s="25">
        <f ca="1">SUMIFS($H$4:$H$9,$B$4:$B$9,$P25,$D$4:$D$9,"&lt;&gt;"&amp;$P$26)+SUMIFS($I$4:$I$9,$B$4:$B$9,"&lt;&gt;"&amp;$P$26,$D$4:$D$9,$P25)</f>
        <v>6</v>
      </c>
      <c r="R25" s="25">
        <f ca="1">S25-T25</f>
        <v>5</v>
      </c>
      <c r="S25" s="25">
        <f ca="1">SUMIFS($E$4:$E$9,$B$4:$B$9,$P25,$D$4:$D$9,"&lt;&gt;"&amp;$P$26)+SUMIFS($G$4:$G$9,$B$4:$B$9,"&lt;&gt;"&amp;$P$26,$D$4:$D$9,$P25)</f>
        <v>6</v>
      </c>
      <c r="T25" s="25">
        <f ca="1">SUMIFS($G$4:$G$9,$B$4:$B$9,$P25,$D$4:$D$9,"&lt;&gt;"&amp;$P$26)+SUMIFS($E$4:$E$9,$B$4:$B$9,"&lt;&gt;"&amp;$P$26,$D$4:$D$9,$P25)</f>
        <v>1</v>
      </c>
      <c r="U25" s="25"/>
      <c r="V25" s="217">
        <f ca="1">Q25*FactorPts+(GDzero+R25)*FactorGD+S25*FactorFor</f>
        <v>60055060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4</v>
      </c>
      <c r="AC25" s="219">
        <f ca="1">$I$21</f>
        <v>2</v>
      </c>
      <c r="AD25" s="25">
        <f ca="1">IF(AND($AF$16,$AD$4=$AD$5,$AD$4=$AD$7,$AD$4&lt;&gt;$AD$6),W25,0)</f>
        <v>0</v>
      </c>
      <c r="AE25" s="25" t="str">
        <f t="shared" ca="1" si="15"/>
        <v/>
      </c>
    </row>
    <row r="26" spans="2:31" ht="14.5">
      <c r="B26" s="36"/>
      <c r="C26" s="25"/>
      <c r="P26" s="28" t="str">
        <f>$P$6</f>
        <v>Austria</v>
      </c>
      <c r="Q26" s="212"/>
      <c r="R26" s="212"/>
      <c r="S26" s="212"/>
      <c r="T26" s="212"/>
      <c r="U26" s="212"/>
      <c r="V26" s="213"/>
      <c r="W26" s="213"/>
      <c r="X26" s="212"/>
      <c r="Y26" s="212"/>
      <c r="Z26" s="212"/>
      <c r="AA26" s="214"/>
      <c r="AB26" s="212"/>
      <c r="AC26" s="215"/>
      <c r="AD26" s="213"/>
      <c r="AE26" s="212"/>
    </row>
    <row r="27" spans="17:31" ht="14.5">
      <c r="Q27" s="213"/>
      <c r="R27" s="213"/>
      <c r="S27" s="213"/>
      <c r="T27" s="213"/>
      <c r="U27" s="213"/>
      <c r="V27" s="213"/>
      <c r="W27" s="213"/>
      <c r="X27" s="212"/>
      <c r="Y27" s="212"/>
      <c r="Z27" s="212"/>
      <c r="AA27" s="214"/>
      <c r="AB27" s="212"/>
      <c r="AC27" s="215"/>
      <c r="AD27" s="213"/>
      <c r="AE27" s="212"/>
    </row>
    <row r="28" spans="15:31" ht="14.5">
      <c r="O28" s="25" t="s">
        <v>32</v>
      </c>
      <c r="P28" t="str">
        <f>$P$4</f>
        <v>Poland</v>
      </c>
      <c r="Q28" s="25">
        <f ca="1">SUMIFS($H$4:$H$9,$B$4:$B$9,$P28,$D$4:$D$9,"&lt;&gt;"&amp;$P$31)+SUMIFS($I$4:$I$9,$B$4:$B$9,"&lt;&gt;"&amp;$P$31,$D$4:$D$9,$P28)</f>
        <v>1</v>
      </c>
      <c r="R28" s="25">
        <f ca="1">S28-T28</f>
        <v>-4</v>
      </c>
      <c r="S28" s="25">
        <f ca="1">SUMIFS($E$4:$E$9,$B$4:$B$9,$P28,$D$4:$D$9,"&lt;&gt;"&amp;$P$31)+SUMIFS($G$4:$G$9,$B$4:$B$9,"&lt;&gt;"&amp;$P$31,$D$4:$D$9,$P28)</f>
        <v>2</v>
      </c>
      <c r="T28" s="25">
        <f ca="1">SUMIFS($G$4:$G$9,$B$4:$B$9,$P28,$D$4:$D$9,"&lt;&gt;"&amp;$P$31)+SUMIFS($E$4:$E$9,$B$4:$B$9,"&lt;&gt;"&amp;$P$31,$D$4:$D$9,$P28)</f>
        <v>6</v>
      </c>
      <c r="U28" s="25"/>
      <c r="V28" s="217">
        <f ca="1">Q28*FactorPts+(GDzero+R28)*FactorGD+S28*FactorFor</f>
        <v>10046020</v>
      </c>
      <c r="W28" s="25">
        <f ca="1">RANK(V28,V$28:V$30,1)</f>
        <v>1</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15:31" ht="14.5">
      <c r="O29" s="25" t="s">
        <v>33</v>
      </c>
      <c r="P29" t="str">
        <f>$P$6</f>
        <v>Austria</v>
      </c>
      <c r="Q29" s="25">
        <f ca="1">SUMIFS($H$4:$H$9,$B$4:$B$9,$P29,$D$4:$D$9,"&lt;&gt;"&amp;$P$31)+SUMIFS($I$4:$I$9,$B$4:$B$9,"&lt;&gt;"&amp;$P$31,$D$4:$D$9,$P29)</f>
        <v>1</v>
      </c>
      <c r="R29" s="25">
        <f ca="1">S29-T29</f>
        <v>-3</v>
      </c>
      <c r="S29" s="25">
        <f ca="1">SUMIFS($E$4:$E$9,$B$4:$B$9,$P29,$D$4:$D$9,"&lt;&gt;"&amp;$P$31)+SUMIFS($G$4:$G$9,$B$4:$B$9,"&lt;&gt;"&amp;$P$31,$D$4:$D$9,$P29)</f>
        <v>2</v>
      </c>
      <c r="T29" s="25">
        <f ca="1">SUMIFS($G$4:$G$9,$B$4:$B$9,$P29,$D$4:$D$9,"&lt;&gt;"&amp;$P$31)+SUMIFS($E$4:$E$9,$B$4:$B$9,"&lt;&gt;"&amp;$P$31,$D$4:$D$9,$P29)</f>
        <v>5</v>
      </c>
      <c r="U29" s="25"/>
      <c r="V29" s="217">
        <f ca="1">Q29*FactorPts+(GDzero+R29)*FactorGD+S29*FactorFor</f>
        <v>10047020</v>
      </c>
      <c r="W29" s="25">
        <f ca="1">RANK(V29,V$28:V$30,1)</f>
        <v>2</v>
      </c>
      <c r="X29" s="25">
        <f ca="1">IF(AND($Q$4=$Q$6,$Q$4=$Q$7,$Q$4&lt;&gt;$Q$5),W29,0)</f>
        <v>0</v>
      </c>
      <c r="Y29" s="25" t="str">
        <f ca="1">IF(AND(V29=V28,V29&lt;&gt;V30),IF(AA29&gt;AA28,3,IF(AA29=AA28,1,0)),IF(AND(V29=V30,V29&lt;&gt;V28),IF(AC29&gt;AC30,3,IF(AC29=AC30,1,0)),""))</f>
        <v/>
      </c>
      <c r="Z29" s="25" t="str">
        <f ca="1" t="shared" si="16" ref="Z29:Z30">IF(X29&gt;0,Y29,"")</f>
        <v/>
      </c>
      <c r="AA29" s="206">
        <f ca="1">$H$20</f>
        <v>2</v>
      </c>
      <c r="AB29" s="25"/>
      <c r="AC29" s="219">
        <f ca="1">$K$20</f>
        <v>0</v>
      </c>
      <c r="AD29" s="25">
        <f ca="1">IF(AND($AF$16,$AD$4=$AD$6,$AD$4=$AD$7,$AD$4&lt;&gt;$AD$5),W29,0)</f>
        <v>0</v>
      </c>
      <c r="AE29" s="25" t="str">
        <f ca="1" t="shared" si="17" ref="AE29:AE30">IF(AD29&gt;0,Y29,"")</f>
        <v/>
      </c>
    </row>
    <row r="30" spans="15:31" ht="14.5">
      <c r="O30" s="25" t="s">
        <v>34</v>
      </c>
      <c r="P30" t="str">
        <f>$P$7</f>
        <v>France</v>
      </c>
      <c r="Q30" s="25">
        <f ca="1">SUMIFS($H$4:$H$9,$B$4:$B$9,$P30,$D$4:$D$9,"&lt;&gt;"&amp;$P$31)+SUMIFS($I$4:$I$9,$B$4:$B$9,"&lt;&gt;"&amp;$P$31,$D$4:$D$9,$P30)</f>
        <v>6</v>
      </c>
      <c r="R30" s="25">
        <f ca="1">S30-T30</f>
        <v>7</v>
      </c>
      <c r="S30" s="25">
        <f ca="1">SUMIFS($E$4:$E$9,$B$4:$B$9,$P30,$D$4:$D$9,"&lt;&gt;"&amp;$P$31)+SUMIFS($G$4:$G$9,$B$4:$B$9,"&lt;&gt;"&amp;$P$31,$D$4:$D$9,$P30)</f>
        <v>7</v>
      </c>
      <c r="T30" s="25">
        <f ca="1">SUMIFS($G$4:$G$9,$B$4:$B$9,$P30,$D$4:$D$9,"&lt;&gt;"&amp;$P$31)+SUMIFS($E$4:$E$9,$B$4:$B$9,"&lt;&gt;"&amp;$P$31,$D$4:$D$9,$P30)</f>
        <v>0</v>
      </c>
      <c r="U30" s="25"/>
      <c r="V30" s="217">
        <f ca="1">Q30*FactorPts+(GDzero+R30)*FactorGD+S30*FactorFor</f>
        <v>60057070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4</v>
      </c>
      <c r="AC30" s="219">
        <f ca="1">$J$21</f>
        <v>3</v>
      </c>
      <c r="AD30" s="25">
        <f ca="1">IF(AND($AF$16,$AD$4=$AD$6,$AD$4=$AD$7,$AD$4&lt;&gt;$AD$5),W30,0)</f>
        <v>0</v>
      </c>
      <c r="AE30" s="25" t="str">
        <f t="shared" ca="1" si="17"/>
        <v/>
      </c>
    </row>
    <row r="31" spans="16:31" ht="14.5">
      <c r="P31" s="28" t="str">
        <f>$P$5</f>
        <v>Netherlands</v>
      </c>
      <c r="Q31" s="212"/>
      <c r="R31" s="212"/>
      <c r="S31" s="212"/>
      <c r="T31" s="212"/>
      <c r="U31" s="212"/>
      <c r="V31" s="213"/>
      <c r="W31" s="213"/>
      <c r="X31" s="212"/>
      <c r="Y31" s="212"/>
      <c r="Z31" s="212"/>
      <c r="AA31" s="214"/>
      <c r="AB31" s="212"/>
      <c r="AC31" s="215"/>
      <c r="AD31" s="213"/>
      <c r="AE31" s="212"/>
    </row>
    <row r="32" spans="17:31" ht="14.5">
      <c r="Q32" s="213"/>
      <c r="R32" s="213"/>
      <c r="S32" s="213"/>
      <c r="T32" s="213"/>
      <c r="U32" s="213"/>
      <c r="V32" s="213"/>
      <c r="W32" s="213"/>
      <c r="X32" s="212"/>
      <c r="Y32" s="212"/>
      <c r="Z32" s="212"/>
      <c r="AA32" s="214"/>
      <c r="AB32" s="212"/>
      <c r="AC32" s="215"/>
      <c r="AD32" s="213"/>
      <c r="AE32" s="212"/>
    </row>
    <row r="33" spans="15:31" ht="14.5">
      <c r="O33" s="25" t="s">
        <v>32</v>
      </c>
      <c r="P33" t="str">
        <f>$P$5</f>
        <v>Netherlands</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ht="14.5">
      <c r="O34" s="25" t="s">
        <v>33</v>
      </c>
      <c r="P34" t="str">
        <f>$P$6</f>
        <v>Austria</v>
      </c>
      <c r="Q34" s="25">
        <f ca="1">SUMIFS($H$4:$H$9,$B$4:$B$9,$P34,$D$4:$D$9,"&lt;&gt;"&amp;$P$36)+SUMIFS($I$4:$I$9,$B$4:$B$9,"&lt;&gt;"&amp;$P$36,$D$4:$D$9,$P34)</f>
        <v>0</v>
      </c>
      <c r="R34" s="25">
        <f ca="1">S34-T34</f>
        <v>-5</v>
      </c>
      <c r="S34" s="25">
        <f ca="1">SUMIFS($E$4:$E$9,$B$4:$B$9,$P34,$D$4:$D$9,"&lt;&gt;"&amp;$P$36)+SUMIFS($G$4:$G$9,$B$4:$B$9,"&lt;&gt;"&amp;$P$36,$D$4:$D$9,$P34)</f>
        <v>0</v>
      </c>
      <c r="T34" s="25">
        <f ca="1">SUMIFS($G$4:$G$9,$B$4:$B$9,$P34,$D$4:$D$9,"&lt;&gt;"&amp;$P$36)+SUMIFS($E$4:$E$9,$B$4:$B$9,"&lt;&gt;"&amp;$P$36,$D$4:$D$9,$P34)</f>
        <v>5</v>
      </c>
      <c r="U34" s="25"/>
      <c r="V34" s="217">
        <f ca="1">Q34*FactorPts+(GDzero+R34)*FactorGD+S34*FactorFor</f>
        <v>45000</v>
      </c>
      <c r="W34" s="25">
        <f ca="1">RANK(V34,V$33:V$35,1)</f>
        <v>1</v>
      </c>
      <c r="X34" s="25">
        <f ca="1">IF(AND($Q$5=$Q$6,$Q$5=$Q$7,$Q$5&lt;&gt;$Q$4),W34,0)</f>
        <v>0</v>
      </c>
      <c r="Y34" s="25" t="str">
        <f ca="1">IF(AND(V34=V33,V34&lt;&gt;V35),IF(AA34&gt;AA33,3,IF(AA34=AA33,1,0)),IF(AND(V34=V35,V34&lt;&gt;V33),IF(AC34&gt;AC35,3,IF(AC34=AC35,1,0)),""))</f>
        <v/>
      </c>
      <c r="Z34" s="25" t="str">
        <f ca="1" t="shared" si="18" ref="Z34:Z35">IF(X34&gt;0,Y34,"")</f>
        <v/>
      </c>
      <c r="AA34" s="206">
        <f ca="1">$I$20</f>
        <v>0</v>
      </c>
      <c r="AB34" s="25"/>
      <c r="AC34" s="219">
        <f ca="1">$K$20</f>
        <v>0</v>
      </c>
      <c r="AD34" s="25">
        <f ca="1">IF(AND($AF$16,$AD$5=$AD$6,$AD$5=$AD$7,$AD$5&lt;&gt;$AD$4),W34,0)</f>
        <v>0</v>
      </c>
      <c r="AE34" s="25" t="str">
        <f ca="1" t="shared" si="19" ref="AE34:AE35">IF(AD34&gt;0,Y34,"")</f>
        <v/>
      </c>
    </row>
    <row r="35" spans="15:31" ht="15" thickBot="1">
      <c r="O35" s="25" t="s">
        <v>34</v>
      </c>
      <c r="P35" t="str">
        <f>$P$7</f>
        <v>France</v>
      </c>
      <c r="Q35" s="25">
        <f ca="1">SUMIFS($H$4:$H$9,$B$4:$B$9,$P35,$D$4:$D$9,"&lt;&gt;"&amp;$P$36)+SUMIFS($I$4:$I$9,$B$4:$B$9,"&lt;&gt;"&amp;$P$36,$D$4:$D$9,$P35)</f>
        <v>6</v>
      </c>
      <c r="R35" s="25">
        <f ca="1">S35-T35</f>
        <v>4</v>
      </c>
      <c r="S35" s="25">
        <f ca="1">SUMIFS($E$4:$E$9,$B$4:$B$9,$P35,$D$4:$D$9,"&lt;&gt;"&amp;$P$36)+SUMIFS($G$4:$G$9,$B$4:$B$9,"&lt;&gt;"&amp;$P$36,$D$4:$D$9,$P35)</f>
        <v>5</v>
      </c>
      <c r="T35" s="25">
        <f ca="1">SUMIFS($G$4:$G$9,$B$4:$B$9,$P35,$D$4:$D$9,"&lt;&gt;"&amp;$P$36)+SUMIFS($E$4:$E$9,$B$4:$B$9,"&lt;&gt;"&amp;$P$36,$D$4:$D$9,$P35)</f>
        <v>1</v>
      </c>
      <c r="U35" s="25"/>
      <c r="V35" s="217">
        <f ca="1">Q35*FactorPts+(GDzero+R35)*FactorGD+S35*FactorFor</f>
        <v>60054050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6:21" ht="14.5">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5" bottom="0.787401575" header="0.3" footer="0.3"/>
  <pageSetup orientation="portrait" paperSize="9"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topLeftCell="A1"/>
  </sheetViews>
  <sheetFormatPr defaultColWidth="10.9042857142857" defaultRowHeight="14.5"/>
  <cols>
    <col min="1" max="1" width="2.28571428571429" customWidth="1"/>
    <col min="2" max="2" width="13.7142857142857" customWidth="1"/>
    <col min="3" max="3" width="4.42857142857143" customWidth="1"/>
    <col min="4" max="4" width="14.1428571428571" customWidth="1"/>
    <col min="5" max="5" width="5.14285714285714" customWidth="1"/>
    <col min="6" max="6" width="3.57142857142857" customWidth="1"/>
    <col min="7" max="7" width="4.57142857142857" customWidth="1"/>
    <col min="8" max="9" width="5" customWidth="1"/>
    <col min="10" max="10" width="4.85714285714286" customWidth="1"/>
    <col min="11" max="11" width="5.28571428571429" customWidth="1"/>
    <col min="12" max="13" width="6.28571428571429" customWidth="1"/>
    <col min="14" max="14" width="3.14285714285714" customWidth="1"/>
    <col min="15" max="15" width="4.42857142857143" style="25" customWidth="1"/>
    <col min="16" max="16" width="14" customWidth="1"/>
    <col min="17" max="17" width="7.28571428571429" customWidth="1"/>
    <col min="18" max="18" width="5.71428571428571" customWidth="1"/>
    <col min="19" max="19" width="7.28571428571429" customWidth="1"/>
    <col min="20" max="20" width="8.28571428571429" customWidth="1"/>
    <col min="21" max="21" width="5.85714285714286" customWidth="1"/>
    <col min="22" max="22" width="20.7142857142857" customWidth="1"/>
    <col min="23" max="23" width="10.7142857142857" customWidth="1"/>
    <col min="24" max="24" width="10.8571428571429" customWidth="1"/>
    <col min="26" max="26" width="13" customWidth="1"/>
    <col min="27" max="27" width="12.2857142857143" customWidth="1"/>
    <col min="31" max="31" width="7.85714285714286" customWidth="1"/>
    <col min="32" max="32" width="8.42857142857143" customWidth="1"/>
  </cols>
  <sheetData>
    <row r="1" spans="1:17" ht="23.5">
      <c r="A1" s="41"/>
      <c r="B1" s="40" t="str">
        <f>VLOOKUP($Q$1,References!$B$5:$D$10,2,0)</f>
        <v>N</v>
      </c>
      <c r="D1" s="40" t="str">
        <f>VLOOKUP($Q$1,References!$B$5:$D$10,3,0)</f>
        <v>O</v>
      </c>
      <c r="P1" s="159" t="s">
        <v>210</v>
      </c>
      <c r="Q1" s="160" t="s">
        <v>28</v>
      </c>
    </row>
    <row r="2" ht="8.25" customHeight="1"/>
    <row r="3" spans="2:32" ht="14.5">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2:33" ht="14.5">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ca="1" t="shared" si="0" ref="H4:H9">IF($M4&gt;0,IF($E4&gt;$G4,3,IF($E4=$G4,1,0)),0)</f>
        <v>0</v>
      </c>
      <c r="I4" s="25">
        <f ca="1" t="shared" si="1" ref="I4:I9">IF($M4&gt;0,IF($E4&lt;$G4,3,IF($E4=$G4,1,0)),0)</f>
        <v>3</v>
      </c>
      <c r="L4" s="5"/>
      <c r="M4" s="25">
        <f ca="1" t="shared" si="2" ref="M4:M9">IF(AND($E4&lt;&gt;"",$G4&lt;&gt;""),1,0)</f>
        <v>1</v>
      </c>
      <c r="N4" s="25"/>
      <c r="O4" s="25" t="s">
        <v>32</v>
      </c>
      <c r="P4" s="37" t="str">
        <f>VLOOKUP($Q$1&amp;ROW($A1),Groups!$B$7:$D$35,3,0)</f>
        <v>Belgium</v>
      </c>
      <c r="Q4" s="25">
        <f ca="1">SUMIF($B$4:$B$9,P4,$H$4:$H$9)+SUMIF($D$4:$D$9,P4,$I$4:$I$9)</f>
        <v>7</v>
      </c>
      <c r="R4" s="25">
        <f ca="1">S4-T4</f>
        <v>5</v>
      </c>
      <c r="S4" s="25">
        <f ca="1">SUMIF($B$4:$B$9,$P4,$E$4:$E$9)+SUMIF($D$4:$D$9,$P4,$G$4:$G$9)</f>
        <v>7</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70055070.0020964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70055070</v>
      </c>
      <c r="AE4" s="25">
        <f ca="1">IF(OR(AND($Y$11&gt;0,OR(AND($B$8=$P4,$J$8&gt;$L$8),AND($D$8=$P4,$J$8&lt;$L$8))),AND($Y$12&gt;0,OR(AND($B$9=$P4,$J$9&gt;$L$9),AND($D$9=$P4,$J$9&lt;$L$9)))),1,0)</f>
        <v>0</v>
      </c>
      <c r="AF4" s="25">
        <f>INDEX(Language!$D$5:$D$63,MATCH($P4,Language!$E$5:$E$63,0),1)</f>
        <v>4</v>
      </c>
      <c r="AG4" s="25"/>
    </row>
    <row r="5" spans="2:32" ht="14.5">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ca="1" t="shared" si="3" ref="Q5:Q7">SUMIF($B$4:$B$9,P5,$H$4:$H$9)+SUMIF($D$4:$D$9,P5,$I$4:$I$9)</f>
        <v>2</v>
      </c>
      <c r="R5" s="25">
        <f ca="1">S5-T5</f>
        <v>-2</v>
      </c>
      <c r="S5" s="25">
        <f ca="1">SUMIF($B$4:$B$9,$P5,$E$4:$E$9)+SUMIF($D$4:$D$9,$P5,$G$4:$G$9)</f>
        <v>3</v>
      </c>
      <c r="T5" s="25">
        <f ca="1">SUMIF($B$4:$B$9,$P5,$G$4:$G$9)+SUMIF($D$4:$D$9,$P5,$E$4:$E$9)</f>
        <v>5</v>
      </c>
      <c r="U5" s="25">
        <f ca="1" t="shared" si="4" ref="U5:U7">COUNTIFS($B$4:$B$9,$P5,$H$4:$H$9,"=3")+COUNTIFS($D$4:$D$9,$P5,$I$4:$I$9,"=3")</f>
        <v>0</v>
      </c>
      <c r="V5" s="421">
        <f ca="1">$Q5*FactorPts+(GDzero+$R5)*FactorGD+$S5*FactorFor+$U5*FactorWins+$W5*FactorDirC3+$X5*FactorDirC2+$Y5*FactorDirC43+$Z5*FactorDirC42+$AA5*FactorDirC42+$AB5*FactorFairPlay+$AE5*FactorPenalty+(100-$AF5)*($M$10&gt;0)*FactorRank+(8-ROW())*FactorRow</f>
        <v>20048030.000084303</v>
      </c>
      <c r="W5" s="25">
        <f ca="1" t="shared" si="5" ref="W5:W7">SUMIFS($X$18:$X$35,$P$18:$P$35,$P5)</f>
        <v>0</v>
      </c>
      <c r="X5" s="25">
        <f ca="1">IF($L19="",0,$L19)+SUMIFS($Z$18:$Z$35,$P$18:$P$35,$P5)</f>
        <v>0</v>
      </c>
      <c r="Y5">
        <f ca="1" t="shared" si="6" ref="Y5:Y7">SUMIFS($AD$18:$AD$35,$P$18:$P$35,$P5)</f>
        <v>0</v>
      </c>
      <c r="Z5">
        <f ca="1" t="shared" si="7" ref="Z5:Z7">SUMIFS($AE$18:$AE$35,$P$18:$P$35,$P5)</f>
        <v>0</v>
      </c>
      <c r="AA5" s="25">
        <f ca="1">IF($M19="",0,$M19)</f>
        <v>0</v>
      </c>
      <c r="AB5" s="25">
        <f>SUMIFS(FairPlayPoints1,FairPlayTeams1,$P5)+SUMIFS(FairPlayPoints2,FairPlayTeams2,$P5)</f>
        <v>0</v>
      </c>
      <c r="AC5" s="25" t="b">
        <f ca="1">(Q5+T5&gt;0)</f>
        <v>1</v>
      </c>
      <c r="AD5" s="228">
        <f ca="1">$Q5*FactorPts+(GDzero+$R5)*FactorGD+$S5*FactorFor</f>
        <v>20048030</v>
      </c>
      <c r="AE5" s="25">
        <f ca="1">IF(OR(AND($Y$11&gt;0,OR(AND($B$8=$P5,$J$8&gt;$L$8),AND($D$8=$P5,$J$8&lt;$L$8))),AND($Y$12&gt;0,OR(AND($B$9=$P5,$J$9&gt;$L$9),AND($D$9=$P5,$J$9&lt;$L$9)))),1,0)</f>
        <v>0</v>
      </c>
      <c r="AF5" s="25">
        <f>INDEX(Language!$D$5:$D$63,MATCH($P5,Language!$E$5:$E$63,0),1)</f>
        <v>16</v>
      </c>
    </row>
    <row r="6" spans="2:32" ht="14.5">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1</v>
      </c>
      <c r="R6" s="25">
        <f ca="1">S6-T6</f>
        <v>-4</v>
      </c>
      <c r="S6" s="25">
        <f ca="1">SUMIF($B$4:$B$9,$P6,$E$4:$E$9)+SUMIF($D$4:$D$9,$P6,$G$4:$G$9)</f>
        <v>2</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10046020.000092199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10046020</v>
      </c>
      <c r="AE6" s="25">
        <f ca="1">IF(OR(AND($Y$11&gt;0,OR(AND($B$8=$P6,$J$8&gt;$L$8),AND($D$8=$P6,$J$8&lt;$L$8))),AND($Y$12&gt;0,OR(AND($B$9=$P6,$J$9&gt;$L$9),AND($D$9=$P6,$J$9&lt;$L$9)))),1,0)</f>
        <v>0</v>
      </c>
      <c r="AF6" s="25">
        <f>INDEX(Language!$D$5:$D$63,MATCH($P6,Language!$E$5:$E$63,0),1)</f>
        <v>8</v>
      </c>
    </row>
    <row r="7" spans="2:32" ht="14.5">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5</v>
      </c>
      <c r="R7" s="25">
        <f ca="1">S7-T7</f>
        <v>1</v>
      </c>
      <c r="S7" s="25">
        <f ca="1">SUMIF($B$4:$B$9,$P7,$E$4:$E$9)+SUMIF($D$4:$D$9,$P7,$G$4:$G$9)</f>
        <v>4</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50051040.001079097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50051040</v>
      </c>
      <c r="AE7" s="25">
        <f ca="1">IF(OR(AND($Y$11&gt;0,OR(AND($B$8=$P7,$J$8&gt;$L$8),AND($D$8=$P7,$J$8&lt;$L$8))),AND($Y$12&gt;0,OR(AND($B$9=$P7,$J$9&gt;$L$9),AND($D$9=$P7,$J$9&lt;$L$9)))),1,0)</f>
        <v>0</v>
      </c>
      <c r="AF7" s="25">
        <f>INDEX(Language!$D$5:$D$63,MATCH($P7,Language!$E$5:$E$63,0),1)</f>
        <v>21</v>
      </c>
    </row>
    <row r="8" spans="2:26" ht="14.5">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2</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2:31" ht="14.5">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2:31"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2:31" ht="15.5" thickTop="1" thickBot="1">
      <c r="B11" s="72"/>
      <c r="C11" s="25"/>
      <c r="D11" s="72"/>
      <c r="O11" s="35" t="s">
        <v>32</v>
      </c>
      <c r="P11" s="34" t="str">
        <f ca="1" t="shared" si="8" ref="P11:U14">INDEX(P$4:P$7,MATCH($V11,$V$4:$V$7,0))</f>
        <v>Belgium</v>
      </c>
      <c r="Q11" s="192">
        <f t="shared" ca="1" si="8"/>
        <v>7</v>
      </c>
      <c r="R11" s="33">
        <f t="shared" ca="1" si="8"/>
        <v>5</v>
      </c>
      <c r="S11" s="33">
        <f t="shared" ca="1" si="8"/>
        <v>7</v>
      </c>
      <c r="T11" s="33">
        <f t="shared" ca="1" si="8"/>
        <v>2</v>
      </c>
      <c r="U11" s="33">
        <f t="shared" ca="1" si="8"/>
        <v>2</v>
      </c>
      <c r="V11" s="422">
        <f ca="1">LARGE($V$4:$V$7,ROW(A1))</f>
        <v>70055070.0020964</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2:31" ht="15" thickTop="1">
      <c r="B12" s="25"/>
      <c r="C12" s="25"/>
      <c r="D12" s="25"/>
      <c r="O12" s="32" t="s">
        <v>33</v>
      </c>
      <c r="P12" t="str">
        <f t="shared" ca="1" si="8"/>
        <v>Ukraine</v>
      </c>
      <c r="Q12" s="99">
        <f t="shared" ca="1" si="8"/>
        <v>5</v>
      </c>
      <c r="R12" s="25">
        <f t="shared" ca="1" si="8"/>
        <v>1</v>
      </c>
      <c r="S12" s="25">
        <f t="shared" ca="1" si="8"/>
        <v>4</v>
      </c>
      <c r="T12" s="25">
        <f t="shared" ca="1" si="8"/>
        <v>3</v>
      </c>
      <c r="U12" s="25">
        <f t="shared" ca="1" si="8"/>
        <v>1</v>
      </c>
      <c r="V12" s="423">
        <f ca="1">LARGE($V$4:$V$7,ROW(A2))</f>
        <v>50051040.001079097</v>
      </c>
      <c r="Y12" s="25">
        <f ca="1">IF(AND(VLOOKUP($B$9,$P$4:$AD$7,15,0)=VLOOKUP($D$9,$P$4:$AD$7,15,0),$E$9=$G$9,COUNTIF($Q$4:$Q$7,VLOOKUP($B$9,$P$4:$Q$7,2,0))=2,$M$10=6),1,0)</f>
        <v>0</v>
      </c>
      <c r="Z12" s="223" t="b">
        <f ca="1">VLOOKUP($P12,$E$18:$M$21,8,0)&lt;&gt;""</f>
        <v>0</v>
      </c>
      <c r="AA12" s="25" t="b">
        <f ca="1">VLOOKUP($P12,$E$18:$M$21,9,0)&lt;&gt;""</f>
        <v>0</v>
      </c>
      <c r="AB12" t="b">
        <f ca="1" t="shared" si="9" ref="AB12:AB14">SUMPRODUCT(1*(LEN($Z$18:$Z$35)&gt;0)*($P$18:$P$35=$P12))&gt;0</f>
        <v>0</v>
      </c>
      <c r="AC12" t="b">
        <f ca="1" t="shared" si="10" ref="AC12:AC14">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2:31" ht="14.5">
      <c r="B13" s="25"/>
      <c r="C13" s="25"/>
      <c r="D13" s="50"/>
      <c r="O13" s="32" t="s">
        <v>34</v>
      </c>
      <c r="P13" t="str">
        <f ca="1" t="shared" si="11" ref="P13:U14">INDEX(P$4:P$7,MATCH($V13,$V$4:$V$7,0))</f>
        <v>Slovakia</v>
      </c>
      <c r="Q13" s="99">
        <f t="shared" ca="1" si="11"/>
        <v>2</v>
      </c>
      <c r="R13" s="25">
        <f t="shared" ca="1" si="11"/>
        <v>-2</v>
      </c>
      <c r="S13" s="25">
        <f t="shared" ca="1" si="8"/>
        <v>3</v>
      </c>
      <c r="T13" s="25">
        <f t="shared" ca="1" si="8"/>
        <v>5</v>
      </c>
      <c r="U13" s="25">
        <f t="shared" ca="1" si="11"/>
        <v>0</v>
      </c>
      <c r="V13" s="423">
        <f ca="1">LARGE($V$4:$V$7,ROW(A3))</f>
        <v>20048030.000084303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2:31" ht="15" thickBot="1">
      <c r="B14" s="25"/>
      <c r="C14" s="25"/>
      <c r="D14" s="50"/>
      <c r="F14" s="25"/>
      <c r="G14" s="5"/>
      <c r="O14" s="31" t="s">
        <v>35</v>
      </c>
      <c r="P14" s="30" t="str">
        <f t="shared" ca="1" si="11"/>
        <v>Romania</v>
      </c>
      <c r="Q14" s="193">
        <f t="shared" ca="1" si="11"/>
        <v>1</v>
      </c>
      <c r="R14" s="29">
        <f t="shared" ca="1" si="11"/>
        <v>-4</v>
      </c>
      <c r="S14" s="29">
        <f t="shared" ca="1" si="8"/>
        <v>2</v>
      </c>
      <c r="T14" s="29">
        <f t="shared" ca="1" si="8"/>
        <v>6</v>
      </c>
      <c r="U14" s="29">
        <f t="shared" ca="1" si="11"/>
        <v>0</v>
      </c>
      <c r="V14" s="424">
        <f ca="1">LARGE($V$4:$V$7,ROW(A4))</f>
        <v>10046020.000092199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2:14" ht="15.5" thickTop="1" thickBot="1">
      <c r="B15" s="25"/>
      <c r="C15" s="25"/>
      <c r="D15" s="25"/>
      <c r="F15" s="25"/>
      <c r="G15" s="5"/>
      <c r="L15" s="46"/>
      <c r="M15" s="46"/>
      <c r="N15" s="46"/>
    </row>
    <row r="16" spans="2:32"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2</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ht="14.5">
      <c r="B19" s="25"/>
      <c r="C19" s="25"/>
      <c r="D19" s="25"/>
      <c r="E19" s="904" t="str">
        <f>$P$5</f>
        <v>Slovakia</v>
      </c>
      <c r="F19" s="905"/>
      <c r="G19" s="905"/>
      <c r="H19" s="32">
        <f ca="1">SUMIFS($E$4:$E$9,$B$4:$B$9,$P$5,$D$4:$D$9,$P$4)+SUMIFS($G$4:$G$9,$B$4:$B$9,$P$4,$D$4:$D$9,$P$5)</f>
        <v>0</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-2</v>
      </c>
      <c r="S19" s="25">
        <f ca="1">SUMIFS($E$4:$E$9,$B$4:$B$9,$P19,$D$4:$D$9,"&lt;&gt;"&amp;$P$21)+SUMIFS($G$4:$G$9,$B$4:$B$9,"&lt;&gt;"&amp;$P$21,$D$4:$D$9,$P19)</f>
        <v>2</v>
      </c>
      <c r="T19" s="25">
        <f ca="1">SUMIFS($G$4:$G$9,$B$4:$B$9,$P19,$D$4:$D$9,"&lt;&gt;"&amp;$P$21)+SUMIFS($E$4:$E$9,$B$4:$B$9,"&lt;&gt;"&amp;$P$21,$D$4:$D$9,$P19)</f>
        <v>4</v>
      </c>
      <c r="U19" s="25"/>
      <c r="V19" s="217">
        <f ca="1">Q19*FactorPts+(GDzero+R19)*FactorGD+S19*FactorFor</f>
        <v>10048020</v>
      </c>
      <c r="W19" s="25">
        <f ca="1">RANK(V19,V$18:V$20,1)</f>
        <v>2</v>
      </c>
      <c r="X19" s="25">
        <f ca="1">IF(AND($Q$4=$Q$5,$Q$4=$Q$6,$Q$4&lt;&gt;$Q$7),W19,0)</f>
        <v>0</v>
      </c>
      <c r="Y19" s="25" t="str">
        <f ca="1">IF(AND(V19=V18,V19&lt;&gt;V20),IF(AA19&gt;AA18,3,IF(AA19=AA18,1,0)),IF(AND(V19=V20,V19&lt;&gt;V18),IF(AC19&gt;AC20,3,IF(AC19=AC20,1,0)),""))</f>
        <v/>
      </c>
      <c r="Z19" s="25" t="str">
        <f ca="1" t="shared" si="12" ref="Z19:Z20">IF(X19&gt;0,Y19,"")</f>
        <v/>
      </c>
      <c r="AA19" s="206">
        <f ca="1">$H$19</f>
        <v>0</v>
      </c>
      <c r="AB19" s="25"/>
      <c r="AC19" s="219">
        <f ca="1">$J$19</f>
        <v>2</v>
      </c>
      <c r="AD19" s="25">
        <f ca="1">IF(AND($AF$16,$AD$4=$AD$5,$AD$4=$AD$6,$AD$4&lt;&gt;$AD$7),W19,0)</f>
        <v>0</v>
      </c>
      <c r="AE19" s="25" t="str">
        <f ca="1" t="shared" si="13" ref="AE19:AE20">IF(AD19&gt;0,Y19,"")</f>
        <v/>
      </c>
    </row>
    <row r="20" spans="5:31" ht="14.5">
      <c r="E20" s="904" t="str">
        <f>$P$6</f>
        <v>Romania</v>
      </c>
      <c r="F20" s="905"/>
      <c r="G20" s="905"/>
      <c r="H20" s="32">
        <f ca="1">SUMIFS($E$4:$E$9,$B$4:$B$9,$P$6,$D$4:$D$9,$P$4)+SUMIFS($G$4:$G$9,$B$4:$B$9,$P$4,$D$4:$D$9,$P$6)</f>
        <v>0</v>
      </c>
      <c r="I20" s="25">
        <f ca="1">SUMIFS($E$4:$E$9,$B$4:$B$9,$P$6,$D$4:$D$9,$P$5)+SUMIFS($G$4:$G$9,$B$4:$B$9,$P$5,$D$4:$D$9,$P$6)</f>
        <v>2</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-3</v>
      </c>
      <c r="S20" s="25">
        <f ca="1">SUMIFS($E$4:$E$9,$B$4:$B$9,$P20,$D$4:$D$9,"&lt;&gt;"&amp;$P$21)+SUMIFS($G$4:$G$9,$B$4:$B$9,"&lt;&gt;"&amp;$P$21,$D$4:$D$9,$P20)</f>
        <v>2</v>
      </c>
      <c r="T20" s="25">
        <f ca="1">SUMIFS($G$4:$G$9,$B$4:$B$9,$P20,$D$4:$D$9,"&lt;&gt;"&amp;$P$21)+SUMIFS($E$4:$E$9,$B$4:$B$9,"&lt;&gt;"&amp;$P$21,$D$4:$D$9,$P20)</f>
        <v>5</v>
      </c>
      <c r="U20" s="25"/>
      <c r="V20" s="217">
        <f ca="1">Q20*FactorPts+(GDzero+R20)*FactorGD+S20*FactorFor</f>
        <v>10047020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2</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2</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ht="14.5">
      <c r="B23" s="36"/>
      <c r="C23" s="25"/>
      <c r="O23" s="25" t="s">
        <v>32</v>
      </c>
      <c r="P23" t="str">
        <f>$P$4</f>
        <v>Belgium</v>
      </c>
      <c r="Q23" s="25">
        <f ca="1">SUMIFS($H$4:$H$9,$B$4:$B$9,$P23,$D$4:$D$9,"&lt;&gt;"&amp;$P$26)+SUMIFS($I$4:$I$9,$B$4:$B$9,"&lt;&gt;"&amp;$P$26,$D$4:$D$9,$P23)</f>
        <v>4</v>
      </c>
      <c r="R23" s="25">
        <f ca="1">S23-T23</f>
        <v>2</v>
      </c>
      <c r="S23" s="25">
        <f ca="1">SUMIFS($E$4:$E$9,$B$4:$B$9,$P23,$D$4:$D$9,"&lt;&gt;"&amp;$P$26)+SUMIFS($G$4:$G$9,$B$4:$B$9,"&lt;&gt;"&amp;$P$26,$D$4:$D$9,$P23)</f>
        <v>4</v>
      </c>
      <c r="T23" s="25">
        <f ca="1">SUMIFS($G$4:$G$9,$B$4:$B$9,$P23,$D$4:$D$9,"&lt;&gt;"&amp;$P$26)+SUMIFS($E$4:$E$9,$B$4:$B$9,"&lt;&gt;"&amp;$P$26,$D$4:$D$9,$P23)</f>
        <v>2</v>
      </c>
      <c r="U23" s="25"/>
      <c r="V23" s="217">
        <f ca="1">Q23*FactorPts+(GDzero+R23)*FactorGD+S23*FactorFor</f>
        <v>40052040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ht="14.5">
      <c r="B24" s="36"/>
      <c r="C24" s="25"/>
      <c r="O24" s="25" t="s">
        <v>33</v>
      </c>
      <c r="P24" t="str">
        <f>$P$5</f>
        <v>Slovakia</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t="str">
        <f ca="1">IF(AND(V24=V23,V24&lt;&gt;V25),IF(AA24&gt;AA23,3,IF(AA24=AA23,1,0)),IF(AND(V24=V25,V24&lt;&gt;V23),IF(AC24&gt;AC25,3,IF(AC24=AC25,1,0)),""))</f>
        <v/>
      </c>
      <c r="Z24" s="25" t="str">
        <f ca="1" t="shared" si="14" ref="Z24:Z25">IF(X24&gt;0,Y24,"")</f>
        <v/>
      </c>
      <c r="AA24" s="206">
        <f ca="1">$H$19</f>
        <v>0</v>
      </c>
      <c r="AB24" s="25"/>
      <c r="AC24" s="219">
        <f ca="1">$K$19</f>
        <v>1</v>
      </c>
      <c r="AD24" s="25">
        <f ca="1">IF(AND($AF$16,$AD$4=$AD$5,$AD$4=$AD$7,$AD$4&lt;&gt;$AD$6),W24,0)</f>
        <v>0</v>
      </c>
      <c r="AE24" s="25" t="str">
        <f ca="1" t="shared" si="15" ref="AE24:AE25">IF(AD24&gt;0,Y24,"")</f>
        <v/>
      </c>
    </row>
    <row r="25" spans="2:31" ht="14.5">
      <c r="B25" s="36"/>
      <c r="C25" s="25"/>
      <c r="O25" s="25" t="s">
        <v>34</v>
      </c>
      <c r="P25" t="str">
        <f>$P$7</f>
        <v>Ukraine</v>
      </c>
      <c r="Q25" s="25">
        <f ca="1">SUMIFS($H$4:$H$9,$B$4:$B$9,$P25,$D$4:$D$9,"&lt;&gt;"&amp;$P$26)+SUMIFS($I$4:$I$9,$B$4:$B$9,"&lt;&gt;"&amp;$P$26,$D$4:$D$9,$P25)</f>
        <v>2</v>
      </c>
      <c r="R25" s="25">
        <f ca="1">S25-T25</f>
        <v>0</v>
      </c>
      <c r="S25" s="25">
        <f ca="1">SUMIFS($E$4:$E$9,$B$4:$B$9,$P25,$D$4:$D$9,"&lt;&gt;"&amp;$P$26)+SUMIFS($G$4:$G$9,$B$4:$B$9,"&lt;&gt;"&amp;$P$26,$D$4:$D$9,$P25)</f>
        <v>3</v>
      </c>
      <c r="T25" s="25">
        <f ca="1">SUMIFS($G$4:$G$9,$B$4:$B$9,$P25,$D$4:$D$9,"&lt;&gt;"&amp;$P$26)+SUMIFS($E$4:$E$9,$B$4:$B$9,"&lt;&gt;"&amp;$P$26,$D$4:$D$9,$P25)</f>
        <v>3</v>
      </c>
      <c r="U25" s="25"/>
      <c r="V25" s="217">
        <f ca="1">Q25*FactorPts+(GDzero+R25)*FactorGD+S25*FactorFor</f>
        <v>20050030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ht="14.5">
      <c r="B26" s="36"/>
      <c r="C26" s="25"/>
      <c r="P26" s="28" t="str">
        <f>$P$6</f>
        <v>Romania</v>
      </c>
      <c r="Q26" s="212"/>
      <c r="R26" s="212"/>
      <c r="S26" s="212"/>
      <c r="T26" s="212"/>
      <c r="U26" s="212"/>
      <c r="V26" s="213"/>
      <c r="W26" s="213"/>
      <c r="X26" s="212"/>
      <c r="Y26" s="212"/>
      <c r="Z26" s="212"/>
      <c r="AA26" s="214"/>
      <c r="AB26" s="212"/>
      <c r="AC26" s="215"/>
      <c r="AD26" s="213"/>
      <c r="AE26" s="212"/>
    </row>
    <row r="27" spans="17:31" ht="14.5">
      <c r="Q27" s="213"/>
      <c r="R27" s="213"/>
      <c r="S27" s="213"/>
      <c r="T27" s="213"/>
      <c r="U27" s="213"/>
      <c r="V27" s="213"/>
      <c r="W27" s="213"/>
      <c r="X27" s="212"/>
      <c r="Y27" s="212"/>
      <c r="Z27" s="212"/>
      <c r="AA27" s="214"/>
      <c r="AB27" s="212"/>
      <c r="AC27" s="215"/>
      <c r="AD27" s="213"/>
      <c r="AE27" s="212"/>
    </row>
    <row r="28" spans="15:31" ht="14.5">
      <c r="O28" s="25" t="s">
        <v>32</v>
      </c>
      <c r="P28" t="str">
        <f>$P$4</f>
        <v>Belgium</v>
      </c>
      <c r="Q28" s="25">
        <f ca="1">SUMIFS($H$4:$H$9,$B$4:$B$9,$P28,$D$4:$D$9,"&lt;&gt;"&amp;$P$31)+SUMIFS($I$4:$I$9,$B$4:$B$9,"&lt;&gt;"&amp;$P$31,$D$4:$D$9,$P28)</f>
        <v>4</v>
      </c>
      <c r="R28" s="25">
        <f ca="1">S28-T28</f>
        <v>3</v>
      </c>
      <c r="S28" s="25">
        <f ca="1">SUMIFS($E$4:$E$9,$B$4:$B$9,$P28,$D$4:$D$9,"&lt;&gt;"&amp;$P$31)+SUMIFS($G$4:$G$9,$B$4:$B$9,"&lt;&gt;"&amp;$P$31,$D$4:$D$9,$P28)</f>
        <v>5</v>
      </c>
      <c r="T28" s="25">
        <f ca="1">SUMIFS($G$4:$G$9,$B$4:$B$9,$P28,$D$4:$D$9,"&lt;&gt;"&amp;$P$31)+SUMIFS($E$4:$E$9,$B$4:$B$9,"&lt;&gt;"&amp;$P$31,$D$4:$D$9,$P28)</f>
        <v>2</v>
      </c>
      <c r="U28" s="25"/>
      <c r="V28" s="217">
        <f ca="1">Q28*FactorPts+(GDzero+R28)*FactorGD+S28*FactorFor</f>
        <v>40053050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15:31" ht="14.5">
      <c r="O29" s="25" t="s">
        <v>33</v>
      </c>
      <c r="P29" t="str">
        <f>$P$6</f>
        <v>Romania</v>
      </c>
      <c r="Q29" s="25">
        <f ca="1">SUMIFS($H$4:$H$9,$B$4:$B$9,$P29,$D$4:$D$9,"&lt;&gt;"&amp;$P$31)+SUMIFS($I$4:$I$9,$B$4:$B$9,"&lt;&gt;"&amp;$P$31,$D$4:$D$9,$P29)</f>
        <v>0</v>
      </c>
      <c r="R29" s="25">
        <f ca="1">S29-T29</f>
        <v>-4</v>
      </c>
      <c r="S29" s="25">
        <f ca="1">SUMIFS($E$4:$E$9,$B$4:$B$9,$P29,$D$4:$D$9,"&lt;&gt;"&amp;$P$31)+SUMIFS($G$4:$G$9,$B$4:$B$9,"&lt;&gt;"&amp;$P$31,$D$4:$D$9,$P29)</f>
        <v>0</v>
      </c>
      <c r="T29" s="25">
        <f ca="1">SUMIFS($G$4:$G$9,$B$4:$B$9,$P29,$D$4:$D$9,"&lt;&gt;"&amp;$P$31)+SUMIFS($E$4:$E$9,$B$4:$B$9,"&lt;&gt;"&amp;$P$31,$D$4:$D$9,$P29)</f>
        <v>4</v>
      </c>
      <c r="U29" s="25"/>
      <c r="V29" s="217">
        <f ca="1">Q29*FactorPts+(GDzero+R29)*FactorGD+S29*FactorFor</f>
        <v>46000</v>
      </c>
      <c r="W29" s="25">
        <f ca="1">RANK(V29,V$28:V$30,1)</f>
        <v>1</v>
      </c>
      <c r="X29" s="25">
        <f ca="1">IF(AND($Q$4=$Q$6,$Q$4=$Q$7,$Q$4&lt;&gt;$Q$5),W29,0)</f>
        <v>0</v>
      </c>
      <c r="Y29" s="25" t="str">
        <f ca="1">IF(AND(V29=V28,V29&lt;&gt;V30),IF(AA29&gt;AA28,3,IF(AA29=AA28,1,0)),IF(AND(V29=V30,V29&lt;&gt;V28),IF(AC29&gt;AC30,3,IF(AC29=AC30,1,0)),""))</f>
        <v/>
      </c>
      <c r="Z29" s="25" t="str">
        <f ca="1" t="shared" si="16" ref="Z29:Z30">IF(X29&gt;0,Y29,"")</f>
        <v/>
      </c>
      <c r="AA29" s="206">
        <f ca="1">$H$20</f>
        <v>0</v>
      </c>
      <c r="AB29" s="25"/>
      <c r="AC29" s="219">
        <f ca="1">$K$20</f>
        <v>0</v>
      </c>
      <c r="AD29" s="25">
        <f ca="1">IF(AND($AF$16,$AD$4=$AD$6,$AD$4=$AD$7,$AD$4&lt;&gt;$AD$5),W29,0)</f>
        <v>0</v>
      </c>
      <c r="AE29" s="25" t="str">
        <f ca="1" t="shared" si="17" ref="AE29:AE30">IF(AD29&gt;0,Y29,"")</f>
        <v/>
      </c>
    </row>
    <row r="30" spans="15:31" ht="14.5">
      <c r="O30" s="25" t="s">
        <v>34</v>
      </c>
      <c r="P30" t="str">
        <f>$P$7</f>
        <v>Ukraine</v>
      </c>
      <c r="Q30" s="25">
        <f ca="1">SUMIFS($H$4:$H$9,$B$4:$B$9,$P30,$D$4:$D$9,"&lt;&gt;"&amp;$P$31)+SUMIFS($I$4:$I$9,$B$4:$B$9,"&lt;&gt;"&amp;$P$31,$D$4:$D$9,$P30)</f>
        <v>4</v>
      </c>
      <c r="R30" s="25">
        <f ca="1">S30-T30</f>
        <v>1</v>
      </c>
      <c r="S30" s="25">
        <f ca="1">SUMIFS($E$4:$E$9,$B$4:$B$9,$P30,$D$4:$D$9,"&lt;&gt;"&amp;$P$31)+SUMIFS($G$4:$G$9,$B$4:$B$9,"&lt;&gt;"&amp;$P$31,$D$4:$D$9,$P30)</f>
        <v>3</v>
      </c>
      <c r="T30" s="25">
        <f ca="1">SUMIFS($G$4:$G$9,$B$4:$B$9,$P30,$D$4:$D$9,"&lt;&gt;"&amp;$P$31)+SUMIFS($E$4:$E$9,$B$4:$B$9,"&lt;&gt;"&amp;$P$31,$D$4:$D$9,$P30)</f>
        <v>2</v>
      </c>
      <c r="U30" s="25"/>
      <c r="V30" s="217">
        <f ca="1">Q30*FactorPts+(GDzero+R30)*FactorGD+S30*FactorFor</f>
        <v>40051030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16:31" ht="14.5">
      <c r="P31" s="28" t="str">
        <f>$P$5</f>
        <v>Slovakia</v>
      </c>
      <c r="Q31" s="212"/>
      <c r="R31" s="212"/>
      <c r="S31" s="212"/>
      <c r="T31" s="212"/>
      <c r="U31" s="212"/>
      <c r="V31" s="213"/>
      <c r="W31" s="213"/>
      <c r="X31" s="212"/>
      <c r="Y31" s="212"/>
      <c r="Z31" s="212"/>
      <c r="AA31" s="214"/>
      <c r="AB31" s="212"/>
      <c r="AC31" s="215"/>
      <c r="AD31" s="213"/>
      <c r="AE31" s="212"/>
    </row>
    <row r="32" spans="17:31" ht="14.5">
      <c r="Q32" s="213"/>
      <c r="R32" s="213"/>
      <c r="S32" s="213"/>
      <c r="T32" s="213"/>
      <c r="U32" s="213"/>
      <c r="V32" s="213"/>
      <c r="W32" s="213"/>
      <c r="X32" s="212"/>
      <c r="Y32" s="212"/>
      <c r="Z32" s="212"/>
      <c r="AA32" s="214"/>
      <c r="AB32" s="212"/>
      <c r="AC32" s="215"/>
      <c r="AD32" s="213"/>
      <c r="AE32" s="212"/>
    </row>
    <row r="33" spans="15:31" ht="14.5">
      <c r="O33" s="25" t="s">
        <v>32</v>
      </c>
      <c r="P33" t="str">
        <f>$P$5</f>
        <v>Slovakia</v>
      </c>
      <c r="Q33" s="25">
        <f ca="1">SUMIFS($H$4:$H$9,$B$4:$B$9,$P33,$D$4:$D$9,"&lt;&gt;"&amp;$P$36)+SUMIFS($I$4:$I$9,$B$4:$B$9,"&lt;&gt;"&amp;$P$36,$D$4:$D$9,$P33)</f>
        <v>2</v>
      </c>
      <c r="R33" s="25">
        <f ca="1">S33-T33</f>
        <v>0</v>
      </c>
      <c r="S33" s="25">
        <f ca="1">SUMIFS($E$4:$E$9,$B$4:$B$9,$P33,$D$4:$D$9,"&lt;&gt;"&amp;$P$36)+SUMIFS($G$4:$G$9,$B$4:$B$9,"&lt;&gt;"&amp;$P$36,$D$4:$D$9,$P33)</f>
        <v>3</v>
      </c>
      <c r="T33" s="25">
        <f ca="1">SUMIFS($G$4:$G$9,$B$4:$B$9,$P33,$D$4:$D$9,"&lt;&gt;"&amp;$P$36)+SUMIFS($E$4:$E$9,$B$4:$B$9,"&lt;&gt;"&amp;$P$36,$D$4:$D$9,$P33)</f>
        <v>3</v>
      </c>
      <c r="U33" s="25"/>
      <c r="V33" s="217">
        <f ca="1">Q33*FactorPts+(GDzero+R33)*FactorGD+S33*FactorFor</f>
        <v>20050030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ht="14.5">
      <c r="O34" s="25" t="s">
        <v>33</v>
      </c>
      <c r="P34" t="str">
        <f>$P$6</f>
        <v>Romania</v>
      </c>
      <c r="Q34" s="25">
        <f ca="1">SUMIFS($H$4:$H$9,$B$4:$B$9,$P34,$D$4:$D$9,"&lt;&gt;"&amp;$P$36)+SUMIFS($I$4:$I$9,$B$4:$B$9,"&lt;&gt;"&amp;$P$36,$D$4:$D$9,$P34)</f>
        <v>1</v>
      </c>
      <c r="R34" s="25">
        <f ca="1">S34-T34</f>
        <v>-1</v>
      </c>
      <c r="S34" s="25">
        <f ca="1">SUMIFS($E$4:$E$9,$B$4:$B$9,$P34,$D$4:$D$9,"&lt;&gt;"&amp;$P$36)+SUMIFS($G$4:$G$9,$B$4:$B$9,"&lt;&gt;"&amp;$P$36,$D$4:$D$9,$P34)</f>
        <v>2</v>
      </c>
      <c r="T34" s="25">
        <f ca="1">SUMIFS($G$4:$G$9,$B$4:$B$9,$P34,$D$4:$D$9,"&lt;&gt;"&amp;$P$36)+SUMIFS($E$4:$E$9,$B$4:$B$9,"&lt;&gt;"&amp;$P$36,$D$4:$D$9,$P34)</f>
        <v>3</v>
      </c>
      <c r="U34" s="25"/>
      <c r="V34" s="217">
        <f ca="1">Q34*FactorPts+(GDzero+R34)*FactorGD+S34*FactorFor</f>
        <v>10049020</v>
      </c>
      <c r="W34" s="25">
        <f ca="1">RANK(V34,V$33:V$35,1)</f>
        <v>1</v>
      </c>
      <c r="X34" s="25">
        <f ca="1">IF(AND($Q$5=$Q$6,$Q$5=$Q$7,$Q$5&lt;&gt;$Q$4),W34,0)</f>
        <v>0</v>
      </c>
      <c r="Y34" s="25" t="str">
        <f ca="1">IF(AND(V34=V33,V34&lt;&gt;V35),IF(AA34&gt;AA33,3,IF(AA34=AA33,1,0)),IF(AND(V34=V35,V34&lt;&gt;V33),IF(AC34&gt;AC35,3,IF(AC34=AC35,1,0)),""))</f>
        <v/>
      </c>
      <c r="Z34" s="25" t="str">
        <f ca="1" t="shared" si="18" ref="Z34:Z35">IF(X34&gt;0,Y34,"")</f>
        <v/>
      </c>
      <c r="AA34" s="206">
        <f ca="1">$I$20</f>
        <v>2</v>
      </c>
      <c r="AB34" s="25"/>
      <c r="AC34" s="219">
        <f ca="1">$K$20</f>
        <v>0</v>
      </c>
      <c r="AD34" s="25">
        <f ca="1">IF(AND($AF$16,$AD$5=$AD$6,$AD$5=$AD$7,$AD$5&lt;&gt;$AD$4),W34,0)</f>
        <v>0</v>
      </c>
      <c r="AE34" s="25" t="str">
        <f ca="1" t="shared" si="19" ref="AE34:AE35">IF(AD34&gt;0,Y34,"")</f>
        <v/>
      </c>
    </row>
    <row r="35" spans="15:31" ht="15" thickBot="1">
      <c r="O35" s="25" t="s">
        <v>34</v>
      </c>
      <c r="P35" t="str">
        <f>$P$7</f>
        <v>Ukraine</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6:21" ht="14.5">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5" bottom="0.787401575" header="0.3" footer="0.3"/>
  <pageSetup orientation="portrait" paperSize="9"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topLeftCell="A1"/>
  </sheetViews>
  <sheetFormatPr defaultColWidth="10.9042857142857" defaultRowHeight="14.5"/>
  <cols>
    <col min="1" max="1" width="2.28571428571429" customWidth="1"/>
    <col min="2" max="2" width="13.7142857142857" customWidth="1"/>
    <col min="3" max="3" width="4.42857142857143" customWidth="1"/>
    <col min="4" max="4" width="14.1428571428571" customWidth="1"/>
    <col min="5" max="5" width="5.14285714285714" customWidth="1"/>
    <col min="6" max="6" width="3.57142857142857" customWidth="1"/>
    <col min="7" max="7" width="4.57142857142857" customWidth="1"/>
    <col min="8" max="9" width="5" customWidth="1"/>
    <col min="10" max="10" width="4.85714285714286" customWidth="1"/>
    <col min="11" max="11" width="5.28571428571429" customWidth="1"/>
    <col min="12" max="13" width="6.28571428571429" customWidth="1"/>
    <col min="14" max="14" width="3.14285714285714" customWidth="1"/>
    <col min="15" max="15" width="4.42857142857143" style="25" customWidth="1"/>
    <col min="16" max="16" width="14" customWidth="1"/>
    <col min="17" max="17" width="7.28571428571429" customWidth="1"/>
    <col min="18" max="18" width="5.71428571428571" customWidth="1"/>
    <col min="19" max="19" width="7.28571428571429" customWidth="1"/>
    <col min="20" max="20" width="8.28571428571429" customWidth="1"/>
    <col min="21" max="21" width="5.85714285714286" customWidth="1"/>
    <col min="22" max="22" width="20.7142857142857" customWidth="1"/>
    <col min="23" max="23" width="10.7142857142857" customWidth="1"/>
    <col min="24" max="24" width="10.8571428571429" customWidth="1"/>
    <col min="26" max="26" width="13" customWidth="1"/>
    <col min="27" max="27" width="12.2857142857143" customWidth="1"/>
    <col min="31" max="31" width="7.85714285714286" customWidth="1"/>
    <col min="32" max="32" width="8.57142857142857" customWidth="1"/>
  </cols>
  <sheetData>
    <row r="1" spans="1:17" ht="23.5">
      <c r="A1" s="41"/>
      <c r="B1" s="40" t="str">
        <f>VLOOKUP($Q$1,References!$B$5:$D$10,2,0)</f>
        <v>Q</v>
      </c>
      <c r="D1" s="40" t="str">
        <f>VLOOKUP($Q$1,References!$B$5:$D$10,3,0)</f>
        <v>R</v>
      </c>
      <c r="P1" s="159" t="s">
        <v>210</v>
      </c>
      <c r="Q1" s="160" t="s">
        <v>29</v>
      </c>
    </row>
    <row r="2" ht="8.25" customHeight="1"/>
    <row r="3" spans="2:32" ht="14.5">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2:33" ht="14.5">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ca="1" t="shared" si="0" ref="H4:H9">IF($M4&gt;0,IF($E4&gt;$G4,3,IF($E4=$G4,1,0)),0)</f>
        <v>3</v>
      </c>
      <c r="I4" s="25">
        <f ca="1" t="shared" si="1" ref="I4:I9">IF($M4&gt;0,IF($E4&lt;$G4,3,IF($E4=$G4,1,0)),0)</f>
        <v>0</v>
      </c>
      <c r="L4" s="5"/>
      <c r="M4" s="25">
        <f ca="1" t="shared" si="2" ref="M4:M9">IF(AND($E4&lt;&gt;"",$G4&lt;&gt;""),1,0)</f>
        <v>1</v>
      </c>
      <c r="N4" s="25"/>
      <c r="O4" s="25" t="s">
        <v>32</v>
      </c>
      <c r="P4" s="37" t="str">
        <f>VLOOKUP($Q$1&amp;ROW($A1),Groups!$B$7:$D$35,3,0)</f>
        <v>Türkiye</v>
      </c>
      <c r="Q4" s="25">
        <f ca="1">SUMIF($B$4:$B$9,P4,$H$4:$H$9)+SUMIF($D$4:$D$9,P4,$I$4:$I$9)</f>
        <v>3</v>
      </c>
      <c r="R4" s="25">
        <f ca="1">S4-T4</f>
        <v>-2</v>
      </c>
      <c r="S4" s="25">
        <f ca="1">SUMIF($B$4:$B$9,$P4,$E$4:$E$9)+SUMIF($D$4:$D$9,$P4,$G$4:$G$9)</f>
        <v>2</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30048020.001093395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30048020</v>
      </c>
      <c r="AE4" s="25">
        <f ca="1">IF(OR(AND($Y$11&gt;0,OR(AND($B$8=$P4,$J$8&gt;$L$8),AND($D$8=$P4,$J$8&lt;$L$8))),AND($Y$12&gt;0,OR(AND($B$9=$P4,$J$9&gt;$L$9),AND($D$9=$P4,$J$9&lt;$L$9)))),1,0)</f>
        <v>0</v>
      </c>
      <c r="AF4" s="25">
        <f>INDEX(Language!$D$5:$D$63,MATCH($P4,Language!$E$5:$E$63,0),1)</f>
        <v>7</v>
      </c>
      <c r="AG4" s="25"/>
    </row>
    <row r="5" spans="2:32" ht="14.5">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1</v>
      </c>
      <c r="H5" s="25">
        <f t="shared" ca="1" si="0"/>
        <v>1</v>
      </c>
      <c r="I5" s="25">
        <f t="shared" ca="1" si="1"/>
        <v>1</v>
      </c>
      <c r="L5" s="5"/>
      <c r="M5" s="25">
        <f t="shared" ca="1" si="2"/>
        <v>1</v>
      </c>
      <c r="N5" s="25"/>
      <c r="O5" s="25" t="s">
        <v>33</v>
      </c>
      <c r="P5" s="37" t="str">
        <f>VLOOKUP($Q$1&amp;ROW($A2),Groups!$B$7:$D$35,3,0)</f>
        <v>Georgia</v>
      </c>
      <c r="Q5" s="25">
        <f ca="1" t="shared" si="3" ref="Q5:Q7">SUMIF($B$4:$B$9,P5,$H$4:$H$9)+SUMIF($D$4:$D$9,P5,$I$4:$I$9)</f>
        <v>0</v>
      </c>
      <c r="R5" s="25">
        <f ca="1">S5-T5</f>
        <v>-5</v>
      </c>
      <c r="S5" s="25">
        <f ca="1">SUMIF($B$4:$B$9,$P5,$E$4:$E$9)+SUMIF($D$4:$D$9,$P5,$G$4:$G$9)</f>
        <v>3</v>
      </c>
      <c r="T5" s="25">
        <f ca="1">SUMIF($B$4:$B$9,$P5,$G$4:$G$9)+SUMIF($D$4:$D$9,$P5,$E$4:$E$9)</f>
        <v>8</v>
      </c>
      <c r="U5" s="25">
        <f ca="1" t="shared" si="4" ref="U5:U7">COUNTIFS($B$4:$B$9,$P5,$H$4:$H$9,"=3")+COUNTIFS($D$4:$D$9,$P5,$I$4:$I$9,"=3")</f>
        <v>0</v>
      </c>
      <c r="V5" s="421">
        <f ca="1">$Q5*FactorPts+(GDzero+$R5)*FactorGD+$S5*FactorFor+$U5*FactorWins+$W5*FactorDirC3+$X5*FactorDirC2+$Y5*FactorDirC43+$Z5*FactorDirC42+$AA5*FactorDirC42+$AB5*FactorFairPlay+$AE5*FactorPenalty+(100-$AF5)*($M$10&gt;0)*FactorRank+(8-ROW())*FactorRow</f>
        <v>45030.000066300003</v>
      </c>
      <c r="W5" s="25">
        <f ca="1" t="shared" si="5" ref="W5:W7">SUMIFS($X$18:$X$35,$P$18:$P$35,$P5)</f>
        <v>0</v>
      </c>
      <c r="X5" s="25">
        <f ca="1">IF($L19="",0,$L19)+SUMIFS($Z$18:$Z$35,$P$18:$P$35,$P5)</f>
        <v>0</v>
      </c>
      <c r="Y5">
        <f ca="1" t="shared" si="6" ref="Y5:Y7">SUMIFS($AD$18:$AD$35,$P$18:$P$35,$P5)</f>
        <v>0</v>
      </c>
      <c r="Z5">
        <f ca="1" t="shared" si="7" ref="Z5:Z7">SUMIFS($AE$18:$AE$35,$P$18:$P$35,$P5)</f>
        <v>0</v>
      </c>
      <c r="AA5" s="25">
        <f ca="1">IF($M19="",0,$M19)</f>
        <v>0</v>
      </c>
      <c r="AB5" s="25">
        <f>SUMIFS(FairPlayPoints1,FairPlayTeams1,$P5)+SUMIFS(FairPlayPoints2,FairPlayTeams2,$P5)</f>
        <v>0</v>
      </c>
      <c r="AC5" s="25" t="b">
        <f ca="1">(Q5+T5&gt;0)</f>
        <v>1</v>
      </c>
      <c r="AD5" s="228">
        <f ca="1">$Q5*FactorPts+(GDzero+$R5)*FactorGD+$S5*FactorFor</f>
        <v>45030</v>
      </c>
      <c r="AE5" s="25">
        <f ca="1">IF(OR(AND($Y$11&gt;0,OR(AND($B$8=$P5,$J$8&gt;$L$8),AND($D$8=$P5,$J$8&lt;$L$8))),AND($Y$12&gt;0,OR(AND($B$9=$P5,$J$9&gt;$L$9),AND($D$9=$P5,$J$9&lt;$L$9)))),1,0)</f>
        <v>0</v>
      </c>
      <c r="AF5" s="25">
        <f>INDEX(Language!$D$5:$D$63,MATCH($P5,Language!$E$5:$E$63,0),1)</f>
        <v>34</v>
      </c>
    </row>
    <row r="6" spans="2:32" ht="14.5">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Portugal</v>
      </c>
      <c r="Q6" s="25">
        <f t="shared" ca="1" si="3"/>
        <v>7</v>
      </c>
      <c r="R6" s="25">
        <f ca="1">S6-T6</f>
        <v>4</v>
      </c>
      <c r="S6" s="25">
        <f ca="1">SUMIF($B$4:$B$9,$P6,$E$4:$E$9)+SUMIF($D$4:$D$9,$P6,$G$4:$G$9)</f>
        <v>6</v>
      </c>
      <c r="T6" s="25">
        <f ca="1">SUMIF($B$4:$B$9,$P6,$G$4:$G$9)+SUMIF($D$4:$D$9,$P6,$E$4:$E$9)</f>
        <v>2</v>
      </c>
      <c r="U6" s="25">
        <f t="shared" ca="1" si="4"/>
        <v>2</v>
      </c>
      <c r="V6" s="421">
        <f ca="1">$Q6*FactorPts+(GDzero+$R6)*FactorGD+$S6*FactorFor+$U6*FactorWins+$W6*FactorDirC3+$X6*FactorDirC2+$Y6*FactorDirC43+$Z6*FactorDirC42+$AA6*FactorDirC42+$AB6*FactorFairPlay+$AE6*FactorPenalty+(100-$AF6)*($M$10&gt;0)*FactorRank+(8-ROW())*FactorRow</f>
        <v>70154060.002099201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70054060</v>
      </c>
      <c r="AE6" s="25">
        <f ca="1">IF(OR(AND($Y$11&gt;0,OR(AND($B$8=$P6,$J$8&gt;$L$8),AND($D$8=$P6,$J$8&lt;$L$8))),AND($Y$12&gt;0,OR(AND($B$9=$P6,$J$9&gt;$L$9),AND($D$9=$P6,$J$9&lt;$L$9)))),1,0)</f>
        <v>0</v>
      </c>
      <c r="AF6" s="25">
        <f>INDEX(Language!$D$5:$D$63,MATCH($P6,Language!$E$5:$E$63,0),1)</f>
        <v>1</v>
      </c>
    </row>
    <row r="7" spans="2:32" ht="14.5">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7</v>
      </c>
      <c r="R7" s="25">
        <f ca="1">S7-T7</f>
        <v>3</v>
      </c>
      <c r="S7" s="25">
        <f ca="1">SUMIF($B$4:$B$9,$P7,$E$4:$E$9)+SUMIF($D$4:$D$9,$P7,$G$4:$G$9)</f>
        <v>5</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70153050.002083108</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70053050</v>
      </c>
      <c r="AE7" s="25">
        <f ca="1">IF(OR(AND($Y$11&gt;0,OR(AND($B$8=$P7,$J$8&gt;$L$8),AND($D$8=$P7,$J$8&lt;$L$8))),AND($Y$12&gt;0,OR(AND($B$9=$P7,$J$9&gt;$L$9),AND($D$9=$P7,$J$9&lt;$L$9)))),1,0)</f>
        <v>0</v>
      </c>
      <c r="AF7" s="25">
        <f>INDEX(Language!$D$5:$D$63,MATCH($P7,Language!$E$5:$E$63,0),1)</f>
        <v>17</v>
      </c>
    </row>
    <row r="8" spans="2:26" ht="14.5">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2:31" ht="14.5">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2:31"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2:31" ht="15.5" thickTop="1" thickBot="1">
      <c r="B11" s="72"/>
      <c r="C11" s="25"/>
      <c r="D11" s="72"/>
      <c r="O11" s="35" t="s">
        <v>32</v>
      </c>
      <c r="P11" s="34" t="str">
        <f ca="1" t="shared" si="8" ref="P11:U14">INDEX(P$4:P$7,MATCH($V11,$V$4:$V$7,0))</f>
        <v>Portugal</v>
      </c>
      <c r="Q11" s="192">
        <f t="shared" ca="1" si="8"/>
        <v>7</v>
      </c>
      <c r="R11" s="33">
        <f t="shared" ca="1" si="8"/>
        <v>4</v>
      </c>
      <c r="S11" s="33">
        <f t="shared" ca="1" si="8"/>
        <v>6</v>
      </c>
      <c r="T11" s="33">
        <f t="shared" ca="1" si="8"/>
        <v>2</v>
      </c>
      <c r="U11" s="33">
        <f t="shared" ca="1" si="8"/>
        <v>2</v>
      </c>
      <c r="V11" s="422">
        <f ca="1">LARGE($V$4:$V$7,ROW(A1))</f>
        <v>70154060.002099201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2:31" ht="15" thickTop="1">
      <c r="B12" s="25"/>
      <c r="C12" s="25"/>
      <c r="D12" s="25"/>
      <c r="O12" s="32" t="s">
        <v>33</v>
      </c>
      <c r="P12" t="str">
        <f t="shared" ca="1" si="8"/>
        <v>Czechia</v>
      </c>
      <c r="Q12" s="99">
        <f t="shared" ca="1" si="8"/>
        <v>7</v>
      </c>
      <c r="R12" s="25">
        <f t="shared" ca="1" si="8"/>
        <v>3</v>
      </c>
      <c r="S12" s="25">
        <f t="shared" ca="1" si="8"/>
        <v>5</v>
      </c>
      <c r="T12" s="25">
        <f t="shared" ca="1" si="8"/>
        <v>2</v>
      </c>
      <c r="U12" s="25">
        <f t="shared" ca="1" si="8"/>
        <v>2</v>
      </c>
      <c r="V12" s="423">
        <f ca="1">LARGE($V$4:$V$7,ROW(A2))</f>
        <v>70153050.002083108</v>
      </c>
      <c r="Y12" s="25">
        <f ca="1">IF(AND(VLOOKUP($B$9,$P$4:$AD$7,15,0)=VLOOKUP($D$9,$P$4:$AD$7,15,0),$E$9=$G$9,COUNTIF($Q$4:$Q$7,VLOOKUP($B$9,$P$4:$Q$7,2,0))=2,$M$10=6),1,0)</f>
        <v>0</v>
      </c>
      <c r="Z12" s="223" t="b">
        <f ca="1">VLOOKUP($P12,$E$18:$M$21,8,0)&lt;&gt;""</f>
        <v>1</v>
      </c>
      <c r="AA12" s="25" t="b">
        <f ca="1">VLOOKUP($P12,$E$18:$M$21,9,0)&lt;&gt;""</f>
        <v>0</v>
      </c>
      <c r="AB12" t="b">
        <f ca="1" t="shared" si="9" ref="AB12:AB14">SUMPRODUCT(1*(LEN($Z$18:$Z$35)&gt;0)*($P$18:$P$35=$P12))&gt;0</f>
        <v>0</v>
      </c>
      <c r="AC12" t="b">
        <f ca="1" t="shared" si="10" ref="AC12:AC14">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2:31" ht="14.5">
      <c r="B13" s="25"/>
      <c r="C13" s="25"/>
      <c r="D13" s="50"/>
      <c r="O13" s="32" t="s">
        <v>34</v>
      </c>
      <c r="P13" t="str">
        <f ca="1" t="shared" si="11" ref="P13:U14">INDEX(P$4:P$7,MATCH($V13,$V$4:$V$7,0))</f>
        <v>Türkiye</v>
      </c>
      <c r="Q13" s="99">
        <f t="shared" ca="1" si="11"/>
        <v>3</v>
      </c>
      <c r="R13" s="25">
        <f t="shared" ca="1" si="11"/>
        <v>-2</v>
      </c>
      <c r="S13" s="25">
        <f t="shared" ca="1" si="8"/>
        <v>2</v>
      </c>
      <c r="T13" s="25">
        <f t="shared" ca="1" si="8"/>
        <v>4</v>
      </c>
      <c r="U13" s="25">
        <f t="shared" ca="1" si="11"/>
        <v>1</v>
      </c>
      <c r="V13" s="423">
        <f ca="1">LARGE($V$4:$V$7,ROW(A3))</f>
        <v>30048020.001093395</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2:31" ht="15" thickBot="1">
      <c r="B14" s="25"/>
      <c r="C14" s="25"/>
      <c r="D14" s="50"/>
      <c r="F14" s="25"/>
      <c r="G14" s="5"/>
      <c r="O14" s="31" t="s">
        <v>35</v>
      </c>
      <c r="P14" s="30" t="str">
        <f t="shared" ca="1" si="11"/>
        <v>Georgia</v>
      </c>
      <c r="Q14" s="193">
        <f t="shared" ca="1" si="11"/>
        <v>0</v>
      </c>
      <c r="R14" s="29">
        <f t="shared" ca="1" si="11"/>
        <v>-5</v>
      </c>
      <c r="S14" s="29">
        <f t="shared" ca="1" si="8"/>
        <v>3</v>
      </c>
      <c r="T14" s="29">
        <f t="shared" ca="1" si="8"/>
        <v>8</v>
      </c>
      <c r="U14" s="29">
        <f t="shared" ca="1" si="11"/>
        <v>0</v>
      </c>
      <c r="V14" s="424">
        <f ca="1">LARGE($V$4:$V$7,ROW(A4))</f>
        <v>45030.000066300003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2:14" ht="15.5" thickTop="1" thickBot="1">
      <c r="B15" s="25"/>
      <c r="C15" s="25"/>
      <c r="D15" s="25"/>
      <c r="F15" s="25"/>
      <c r="G15" s="5"/>
      <c r="L15" s="46"/>
      <c r="M15" s="46"/>
      <c r="N15" s="46"/>
    </row>
    <row r="16" spans="2:32"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2</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3</v>
      </c>
      <c r="U18" s="25"/>
      <c r="V18" s="217">
        <f ca="1">Q18*FactorPts+(GDzero+R18)*FactorGD+S18*FactorFor</f>
        <v>30049020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0</v>
      </c>
      <c r="AC18" s="205"/>
      <c r="AD18" s="25">
        <f ca="1">IF(AND($AF$16,$AD$4=$AD$5,$AD$4=$AD$6,$AD$4&lt;&gt;$AD$7),W18,0)</f>
        <v>0</v>
      </c>
      <c r="AE18" s="25" t="str">
        <f ca="1">IF(AD18&gt;0,Y18,"")</f>
        <v/>
      </c>
    </row>
    <row r="19" spans="2:31" ht="14.5">
      <c r="B19" s="25"/>
      <c r="C19" s="25"/>
      <c r="D19" s="25"/>
      <c r="E19" s="904" t="str">
        <f>$P$5</f>
        <v>Georgia</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-3</v>
      </c>
      <c r="S19" s="25">
        <f ca="1">SUMIFS($E$4:$E$9,$B$4:$B$9,$P19,$D$4:$D$9,"&lt;&gt;"&amp;$P$21)+SUMIFS($G$4:$G$9,$B$4:$B$9,"&lt;&gt;"&amp;$P$21,$D$4:$D$9,$P19)</f>
        <v>2</v>
      </c>
      <c r="T19" s="25">
        <f ca="1">SUMIFS($G$4:$G$9,$B$4:$B$9,$P19,$D$4:$D$9,"&lt;&gt;"&amp;$P$21)+SUMIFS($E$4:$E$9,$B$4:$B$9,"&lt;&gt;"&amp;$P$21,$D$4:$D$9,$P19)</f>
        <v>5</v>
      </c>
      <c r="U19" s="25"/>
      <c r="V19" s="217">
        <f ca="1">Q19*FactorPts+(GDzero+R19)*FactorGD+S19*FactorFor</f>
        <v>47020</v>
      </c>
      <c r="W19" s="25">
        <f ca="1">RANK(V19,V$18:V$20,1)</f>
        <v>1</v>
      </c>
      <c r="X19" s="25">
        <f ca="1">IF(AND($Q$4=$Q$5,$Q$4=$Q$6,$Q$4&lt;&gt;$Q$7),W19,0)</f>
        <v>0</v>
      </c>
      <c r="Y19" s="25" t="str">
        <f ca="1">IF(AND(V19=V18,V19&lt;&gt;V20),IF(AA19&gt;AA18,3,IF(AA19=AA18,1,0)),IF(AND(V19=V20,V19&lt;&gt;V18),IF(AC19&gt;AC20,3,IF(AC19=AC20,1,0)),""))</f>
        <v/>
      </c>
      <c r="Z19" s="25" t="str">
        <f ca="1" t="shared" si="12" ref="Z19:Z20">IF(X19&gt;0,Y19,"")</f>
        <v/>
      </c>
      <c r="AA19" s="206">
        <f ca="1">$H$19</f>
        <v>1</v>
      </c>
      <c r="AB19" s="25"/>
      <c r="AC19" s="219">
        <f ca="1">$J$19</f>
        <v>1</v>
      </c>
      <c r="AD19" s="25">
        <f ca="1">IF(AND($AF$16,$AD$4=$AD$5,$AD$4=$AD$6,$AD$4&lt;&gt;$AD$7),W19,0)</f>
        <v>0</v>
      </c>
      <c r="AE19" s="25" t="str">
        <f ca="1" t="shared" si="13" ref="AE19:AE20">IF(AD19&gt;0,Y19,"")</f>
        <v/>
      </c>
    </row>
    <row r="20" spans="5:31" ht="14.5">
      <c r="E20" s="904" t="str">
        <f>$P$6</f>
        <v>Portugal</v>
      </c>
      <c r="F20" s="905"/>
      <c r="G20" s="905"/>
      <c r="H20" s="32">
        <f ca="1">SUMIFS($E$4:$E$9,$B$4:$B$9,$P$6,$D$4:$D$9,$P$4)+SUMIFS($G$4:$G$9,$B$4:$B$9,$P$4,$D$4:$D$9,$P$6)</f>
        <v>2</v>
      </c>
      <c r="I20" s="25">
        <f ca="1">SUMIFS($E$4:$E$9,$B$4:$B$9,$P$6,$D$4:$D$9,$P$5)+SUMIFS($G$4:$G$9,$B$4:$B$9,$P$5,$D$4:$D$9,$P$6)</f>
        <v>3</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4</v>
      </c>
      <c r="S20" s="25">
        <f ca="1">SUMIFS($E$4:$E$9,$B$4:$B$9,$P20,$D$4:$D$9,"&lt;&gt;"&amp;$P$21)+SUMIFS($G$4:$G$9,$B$4:$B$9,"&lt;&gt;"&amp;$P$21,$D$4:$D$9,$P20)</f>
        <v>5</v>
      </c>
      <c r="T20" s="25">
        <f ca="1">SUMIFS($G$4:$G$9,$B$4:$B$9,$P20,$D$4:$D$9,"&lt;&gt;"&amp;$P$21)+SUMIFS($E$4:$E$9,$B$4:$B$9,"&lt;&gt;"&amp;$P$21,$D$4:$D$9,$P20)</f>
        <v>1</v>
      </c>
      <c r="U20" s="25"/>
      <c r="V20" s="217">
        <f ca="1">Q20*FactorPts+(GDzero+R20)*FactorGD+S20*FactorFor</f>
        <v>60054050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1</v>
      </c>
      <c r="I21" s="29">
        <f ca="1">SUMIFS($E$4:$E$9,$B$4:$B$9,$P$7,$D$4:$D$9,$P$5)+SUMIFS($G$4:$G$9,$B$4:$B$9,$P$5,$D$4:$D$9,$P$7)</f>
        <v>3</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ht="14.5">
      <c r="B23" s="36"/>
      <c r="C23" s="25"/>
      <c r="O23" s="25" t="s">
        <v>32</v>
      </c>
      <c r="P23" t="str">
        <f>$P$4</f>
        <v>Türkiye</v>
      </c>
      <c r="Q23" s="25">
        <f ca="1">SUMIFS($H$4:$H$9,$B$4:$B$9,$P23,$D$4:$D$9,"&lt;&gt;"&amp;$P$26)+SUMIFS($I$4:$I$9,$B$4:$B$9,"&lt;&gt;"&amp;$P$26,$D$4:$D$9,$P23)</f>
        <v>3</v>
      </c>
      <c r="R23" s="25">
        <f ca="1">S23-T23</f>
        <v>0</v>
      </c>
      <c r="S23" s="25">
        <f ca="1">SUMIFS($E$4:$E$9,$B$4:$B$9,$P23,$D$4:$D$9,"&lt;&gt;"&amp;$P$26)+SUMIFS($G$4:$G$9,$B$4:$B$9,"&lt;&gt;"&amp;$P$26,$D$4:$D$9,$P23)</f>
        <v>2</v>
      </c>
      <c r="T23" s="25">
        <f ca="1">SUMIFS($G$4:$G$9,$B$4:$B$9,$P23,$D$4:$D$9,"&lt;&gt;"&amp;$P$26)+SUMIFS($E$4:$E$9,$B$4:$B$9,"&lt;&gt;"&amp;$P$26,$D$4:$D$9,$P23)</f>
        <v>2</v>
      </c>
      <c r="U23" s="25"/>
      <c r="V23" s="217">
        <f ca="1">Q23*FactorPts+(GDzero+R23)*FactorGD+S23*FactorFor</f>
        <v>30050020</v>
      </c>
      <c r="W23" s="25">
        <f ca="1">RANK(V23,V$23:V$25,1)</f>
        <v>2</v>
      </c>
      <c r="X23" s="25">
        <f ca="1">IF(AND($Q$4=$Q$5,$Q$4=$Q$7,$Q$4&lt;&gt;$Q$6),W23,0)</f>
        <v>0</v>
      </c>
      <c r="Y23" s="25" t="str">
        <f ca="1">IF(AND(V23=V24,V23&lt;&gt;V25),IF(AA23&gt;AA24,3,IF(AA23=AA24,1,0)),IF(AND(V23=V25,V23&lt;&gt;V24),IF(AB23&gt;AB25,3,IF(AB23=AB25,1,0)),""))</f>
        <v/>
      </c>
      <c r="Z23" s="25" t="str">
        <f ca="1">IF(X23&gt;0,Y23,"")</f>
        <v/>
      </c>
      <c r="AA23" s="206">
        <f ca="1">$I$18</f>
        <v>2</v>
      </c>
      <c r="AB23" s="25">
        <f ca="1">$K$18</f>
        <v>0</v>
      </c>
      <c r="AC23" s="219"/>
      <c r="AD23" s="25">
        <f ca="1">IF(AND($AF$16,$AD$4=$AD$5,$AD$4=$AD$7,$AD$4&lt;&gt;$AD$6),W23,0)</f>
        <v>0</v>
      </c>
      <c r="AE23" s="25" t="str">
        <f ca="1">IF(AD23&gt;0,Y23,"")</f>
        <v/>
      </c>
    </row>
    <row r="24" spans="2:31" ht="14.5">
      <c r="B24" s="36"/>
      <c r="C24" s="25"/>
      <c r="O24" s="25" t="s">
        <v>33</v>
      </c>
      <c r="P24" t="str">
        <f>$P$5</f>
        <v>Georgia</v>
      </c>
      <c r="Q24" s="25">
        <f ca="1">SUMIFS($H$4:$H$9,$B$4:$B$9,$P24,$D$4:$D$9,"&lt;&gt;"&amp;$P$26)+SUMIFS($I$4:$I$9,$B$4:$B$9,"&lt;&gt;"&amp;$P$26,$D$4:$D$9,$P24)</f>
        <v>0</v>
      </c>
      <c r="R24" s="25">
        <f ca="1">S24-T24</f>
        <v>-3</v>
      </c>
      <c r="S24" s="25">
        <f ca="1">SUMIFS($E$4:$E$9,$B$4:$B$9,$P24,$D$4:$D$9,"&lt;&gt;"&amp;$P$26)+SUMIFS($G$4:$G$9,$B$4:$B$9,"&lt;&gt;"&amp;$P$26,$D$4:$D$9,$P24)</f>
        <v>2</v>
      </c>
      <c r="T24" s="25">
        <f ca="1">SUMIFS($G$4:$G$9,$B$4:$B$9,$P24,$D$4:$D$9,"&lt;&gt;"&amp;$P$26)+SUMIFS($E$4:$E$9,$B$4:$B$9,"&lt;&gt;"&amp;$P$26,$D$4:$D$9,$P24)</f>
        <v>5</v>
      </c>
      <c r="U24" s="25"/>
      <c r="V24" s="217">
        <f ca="1">Q24*FactorPts+(GDzero+R24)*FactorGD+S24*FactorFor</f>
        <v>47020</v>
      </c>
      <c r="W24" s="25">
        <f ca="1">RANK(V24,V$23:V$25,1)</f>
        <v>1</v>
      </c>
      <c r="X24" s="25">
        <f ca="1">IF(AND($Q$4=$Q$5,$Q$4=$Q$7,$Q$4&lt;&gt;$Q$6),W24,0)</f>
        <v>0</v>
      </c>
      <c r="Y24" s="25" t="str">
        <f ca="1">IF(AND(V24=V23,V24&lt;&gt;V25),IF(AA24&gt;AA23,3,IF(AA24=AA23,1,0)),IF(AND(V24=V25,V24&lt;&gt;V23),IF(AC24&gt;AC25,3,IF(AC24=AC25,1,0)),""))</f>
        <v/>
      </c>
      <c r="Z24" s="25" t="str">
        <f ca="1" t="shared" si="14" ref="Z24:Z25">IF(X24&gt;0,Y24,"")</f>
        <v/>
      </c>
      <c r="AA24" s="206">
        <f ca="1">$H$19</f>
        <v>1</v>
      </c>
      <c r="AB24" s="25"/>
      <c r="AC24" s="219">
        <f ca="1">$K$19</f>
        <v>1</v>
      </c>
      <c r="AD24" s="25">
        <f ca="1">IF(AND($AF$16,$AD$4=$AD$5,$AD$4=$AD$7,$AD$4&lt;&gt;$AD$6),W24,0)</f>
        <v>0</v>
      </c>
      <c r="AE24" s="25" t="str">
        <f ca="1" t="shared" si="15" ref="AE24:AE25">IF(AD24&gt;0,Y24,"")</f>
        <v/>
      </c>
    </row>
    <row r="25" spans="2:31" ht="14.5">
      <c r="B25" s="36"/>
      <c r="C25" s="25"/>
      <c r="O25" s="25" t="s">
        <v>34</v>
      </c>
      <c r="P25" t="str">
        <f>$P$7</f>
        <v>Czechia</v>
      </c>
      <c r="Q25" s="25">
        <f ca="1">SUMIFS($H$4:$H$9,$B$4:$B$9,$P25,$D$4:$D$9,"&lt;&gt;"&amp;$P$26)+SUMIFS($I$4:$I$9,$B$4:$B$9,"&lt;&gt;"&amp;$P$26,$D$4:$D$9,$P25)</f>
        <v>6</v>
      </c>
      <c r="R25" s="25">
        <f ca="1">S25-T25</f>
        <v>3</v>
      </c>
      <c r="S25" s="25">
        <f ca="1">SUMIFS($E$4:$E$9,$B$4:$B$9,$P25,$D$4:$D$9,"&lt;&gt;"&amp;$P$26)+SUMIFS($G$4:$G$9,$B$4:$B$9,"&lt;&gt;"&amp;$P$26,$D$4:$D$9,$P25)</f>
        <v>4</v>
      </c>
      <c r="T25" s="25">
        <f ca="1">SUMIFS($G$4:$G$9,$B$4:$B$9,$P25,$D$4:$D$9,"&lt;&gt;"&amp;$P$26)+SUMIFS($E$4:$E$9,$B$4:$B$9,"&lt;&gt;"&amp;$P$26,$D$4:$D$9,$P25)</f>
        <v>1</v>
      </c>
      <c r="U25" s="25"/>
      <c r="V25" s="217">
        <f ca="1">Q25*FactorPts+(GDzero+R25)*FactorGD+S25*FactorFor</f>
        <v>60053040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1</v>
      </c>
      <c r="AC25" s="219">
        <f ca="1">$I$21</f>
        <v>3</v>
      </c>
      <c r="AD25" s="25">
        <f ca="1">IF(AND($AF$16,$AD$4=$AD$5,$AD$4=$AD$7,$AD$4&lt;&gt;$AD$6),W25,0)</f>
        <v>0</v>
      </c>
      <c r="AE25" s="25" t="str">
        <f t="shared" ca="1" si="15"/>
        <v/>
      </c>
    </row>
    <row r="26" spans="2:31" ht="14.5">
      <c r="B26" s="36"/>
      <c r="C26" s="25"/>
      <c r="P26" s="28" t="str">
        <f>$P$6</f>
        <v>Portugal</v>
      </c>
      <c r="Q26" s="212"/>
      <c r="R26" s="212"/>
      <c r="S26" s="212"/>
      <c r="T26" s="212"/>
      <c r="U26" s="212"/>
      <c r="V26" s="213"/>
      <c r="W26" s="213"/>
      <c r="X26" s="212"/>
      <c r="Y26" s="212"/>
      <c r="Z26" s="212"/>
      <c r="AA26" s="214"/>
      <c r="AB26" s="212"/>
      <c r="AC26" s="215"/>
      <c r="AD26" s="213"/>
      <c r="AE26" s="212"/>
    </row>
    <row r="27" spans="17:31" ht="14.5">
      <c r="Q27" s="213"/>
      <c r="R27" s="213"/>
      <c r="S27" s="213"/>
      <c r="T27" s="213"/>
      <c r="U27" s="213"/>
      <c r="V27" s="213"/>
      <c r="W27" s="213"/>
      <c r="X27" s="212"/>
      <c r="Y27" s="212"/>
      <c r="Z27" s="212"/>
      <c r="AA27" s="214"/>
      <c r="AB27" s="212"/>
      <c r="AC27" s="215"/>
      <c r="AD27" s="213"/>
      <c r="AE27" s="212"/>
    </row>
    <row r="28" spans="15:31" ht="14.5">
      <c r="O28" s="25" t="s">
        <v>32</v>
      </c>
      <c r="P28" t="str">
        <f>$P$4</f>
        <v>Türkiye</v>
      </c>
      <c r="Q28" s="25">
        <f ca="1">SUMIFS($H$4:$H$9,$B$4:$B$9,$P28,$D$4:$D$9,"&lt;&gt;"&amp;$P$31)+SUMIFS($I$4:$I$9,$B$4:$B$9,"&lt;&gt;"&amp;$P$31,$D$4:$D$9,$P28)</f>
        <v>0</v>
      </c>
      <c r="R28" s="25">
        <f ca="1">S28-T28</f>
        <v>-3</v>
      </c>
      <c r="S28" s="25">
        <f ca="1">SUMIFS($E$4:$E$9,$B$4:$B$9,$P28,$D$4:$D$9,"&lt;&gt;"&amp;$P$31)+SUMIFS($G$4:$G$9,$B$4:$B$9,"&lt;&gt;"&amp;$P$31,$D$4:$D$9,$P28)</f>
        <v>0</v>
      </c>
      <c r="T28" s="25">
        <f ca="1">SUMIFS($G$4:$G$9,$B$4:$B$9,$P28,$D$4:$D$9,"&lt;&gt;"&amp;$P$31)+SUMIFS($E$4:$E$9,$B$4:$B$9,"&lt;&gt;"&amp;$P$31,$D$4:$D$9,$P28)</f>
        <v>3</v>
      </c>
      <c r="U28" s="25"/>
      <c r="V28" s="217">
        <f ca="1">Q28*FactorPts+(GDzero+R28)*FactorGD+S28*FactorFor</f>
        <v>47000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15:31" ht="14.5">
      <c r="O29" s="25" t="s">
        <v>33</v>
      </c>
      <c r="P29" t="str">
        <f>$P$6</f>
        <v>Portugal</v>
      </c>
      <c r="Q29" s="25">
        <f ca="1">SUMIFS($H$4:$H$9,$B$4:$B$9,$P29,$D$4:$D$9,"&lt;&gt;"&amp;$P$31)+SUMIFS($I$4:$I$9,$B$4:$B$9,"&lt;&gt;"&amp;$P$31,$D$4:$D$9,$P29)</f>
        <v>4</v>
      </c>
      <c r="R29" s="25">
        <f ca="1">S29-T29</f>
        <v>2</v>
      </c>
      <c r="S29" s="25">
        <f ca="1">SUMIFS($E$4:$E$9,$B$4:$B$9,$P29,$D$4:$D$9,"&lt;&gt;"&amp;$P$31)+SUMIFS($G$4:$G$9,$B$4:$B$9,"&lt;&gt;"&amp;$P$31,$D$4:$D$9,$P29)</f>
        <v>3</v>
      </c>
      <c r="T29" s="25">
        <f ca="1">SUMIFS($G$4:$G$9,$B$4:$B$9,$P29,$D$4:$D$9,"&lt;&gt;"&amp;$P$31)+SUMIFS($E$4:$E$9,$B$4:$B$9,"&lt;&gt;"&amp;$P$31,$D$4:$D$9,$P29)</f>
        <v>1</v>
      </c>
      <c r="U29" s="25"/>
      <c r="V29" s="217">
        <f ca="1">Q29*FactorPts+(GDzero+R29)*FactorGD+S29*FactorFor</f>
        <v>40052030</v>
      </c>
      <c r="W29" s="25">
        <f ca="1">RANK(V29,V$28:V$30,1)</f>
        <v>3</v>
      </c>
      <c r="X29" s="25">
        <f ca="1">IF(AND($Q$4=$Q$6,$Q$4=$Q$7,$Q$4&lt;&gt;$Q$5),W29,0)</f>
        <v>0</v>
      </c>
      <c r="Y29" s="25" t="str">
        <f ca="1">IF(AND(V29=V28,V29&lt;&gt;V30),IF(AA29&gt;AA28,3,IF(AA29=AA28,1,0)),IF(AND(V29=V30,V29&lt;&gt;V28),IF(AC29&gt;AC30,3,IF(AC29=AC30,1,0)),""))</f>
        <v/>
      </c>
      <c r="Z29" s="25" t="str">
        <f ca="1" t="shared" si="16" ref="Z29:Z30">IF(X29&gt;0,Y29,"")</f>
        <v/>
      </c>
      <c r="AA29" s="206">
        <f ca="1">$H$20</f>
        <v>2</v>
      </c>
      <c r="AB29" s="25"/>
      <c r="AC29" s="219">
        <f ca="1">$K$20</f>
        <v>1</v>
      </c>
      <c r="AD29" s="25">
        <f ca="1">IF(AND($AF$16,$AD$4=$AD$6,$AD$4=$AD$7,$AD$4&lt;&gt;$AD$5),W29,0)</f>
        <v>0</v>
      </c>
      <c r="AE29" s="25" t="str">
        <f ca="1" t="shared" si="17" ref="AE29:AE30">IF(AD29&gt;0,Y29,"")</f>
        <v/>
      </c>
    </row>
    <row r="30" spans="15:31" ht="14.5">
      <c r="O30" s="25" t="s">
        <v>34</v>
      </c>
      <c r="P30" t="str">
        <f>$P$7</f>
        <v>Czechia</v>
      </c>
      <c r="Q30" s="25">
        <f ca="1">SUMIFS($H$4:$H$9,$B$4:$B$9,$P30,$D$4:$D$9,"&lt;&gt;"&amp;$P$31)+SUMIFS($I$4:$I$9,$B$4:$B$9,"&lt;&gt;"&amp;$P$31,$D$4:$D$9,$P30)</f>
        <v>4</v>
      </c>
      <c r="R30" s="25">
        <f ca="1">S30-T30</f>
        <v>1</v>
      </c>
      <c r="S30" s="25">
        <f ca="1">SUMIFS($E$4:$E$9,$B$4:$B$9,$P30,$D$4:$D$9,"&lt;&gt;"&amp;$P$31)+SUMIFS($G$4:$G$9,$B$4:$B$9,"&lt;&gt;"&amp;$P$31,$D$4:$D$9,$P30)</f>
        <v>2</v>
      </c>
      <c r="T30" s="25">
        <f ca="1">SUMIFS($G$4:$G$9,$B$4:$B$9,$P30,$D$4:$D$9,"&lt;&gt;"&amp;$P$31)+SUMIFS($E$4:$E$9,$B$4:$B$9,"&lt;&gt;"&amp;$P$31,$D$4:$D$9,$P30)</f>
        <v>1</v>
      </c>
      <c r="U30" s="25"/>
      <c r="V30" s="217">
        <f ca="1">Q30*FactorPts+(GDzero+R30)*FactorGD+S30*FactorFor</f>
        <v>40051020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16:31" ht="14.5">
      <c r="P31" s="28" t="str">
        <f>$P$5</f>
        <v>Georgia</v>
      </c>
      <c r="Q31" s="212"/>
      <c r="R31" s="212"/>
      <c r="S31" s="212"/>
      <c r="T31" s="212"/>
      <c r="U31" s="212"/>
      <c r="V31" s="213"/>
      <c r="W31" s="213"/>
      <c r="X31" s="212"/>
      <c r="Y31" s="212"/>
      <c r="Z31" s="212"/>
      <c r="AA31" s="214"/>
      <c r="AB31" s="212"/>
      <c r="AC31" s="215"/>
      <c r="AD31" s="213"/>
      <c r="AE31" s="212"/>
    </row>
    <row r="32" spans="17:31" ht="14.5">
      <c r="Q32" s="213"/>
      <c r="R32" s="213"/>
      <c r="S32" s="213"/>
      <c r="T32" s="213"/>
      <c r="U32" s="213"/>
      <c r="V32" s="213"/>
      <c r="W32" s="213"/>
      <c r="X32" s="212"/>
      <c r="Y32" s="212"/>
      <c r="Z32" s="212"/>
      <c r="AA32" s="214"/>
      <c r="AB32" s="212"/>
      <c r="AC32" s="215"/>
      <c r="AD32" s="213"/>
      <c r="AE32" s="212"/>
    </row>
    <row r="33" spans="15:31" ht="14.5">
      <c r="O33" s="25" t="s">
        <v>32</v>
      </c>
      <c r="P33" t="str">
        <f>$P$5</f>
        <v>Georgia</v>
      </c>
      <c r="Q33" s="25">
        <f ca="1">SUMIFS($H$4:$H$9,$B$4:$B$9,$P33,$D$4:$D$9,"&lt;&gt;"&amp;$P$36)+SUMIFS($I$4:$I$9,$B$4:$B$9,"&lt;&gt;"&amp;$P$36,$D$4:$D$9,$P33)</f>
        <v>0</v>
      </c>
      <c r="R33" s="25">
        <f ca="1">S33-T33</f>
        <v>-4</v>
      </c>
      <c r="S33" s="25">
        <f ca="1">SUMIFS($E$4:$E$9,$B$4:$B$9,$P33,$D$4:$D$9,"&lt;&gt;"&amp;$P$36)+SUMIFS($G$4:$G$9,$B$4:$B$9,"&lt;&gt;"&amp;$P$36,$D$4:$D$9,$P33)</f>
        <v>2</v>
      </c>
      <c r="T33" s="25">
        <f ca="1">SUMIFS($G$4:$G$9,$B$4:$B$9,$P33,$D$4:$D$9,"&lt;&gt;"&amp;$P$36)+SUMIFS($E$4:$E$9,$B$4:$B$9,"&lt;&gt;"&amp;$P$36,$D$4:$D$9,$P33)</f>
        <v>6</v>
      </c>
      <c r="U33" s="25"/>
      <c r="V33" s="217">
        <f ca="1">Q33*FactorPts+(GDzero+R33)*FactorGD+S33*FactorFor</f>
        <v>46020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ht="14.5">
      <c r="O34" s="25" t="s">
        <v>33</v>
      </c>
      <c r="P34" t="str">
        <f>$P$6</f>
        <v>Portugal</v>
      </c>
      <c r="Q34" s="25">
        <f ca="1">SUMIFS($H$4:$H$9,$B$4:$B$9,$P34,$D$4:$D$9,"&lt;&gt;"&amp;$P$36)+SUMIFS($I$4:$I$9,$B$4:$B$9,"&lt;&gt;"&amp;$P$36,$D$4:$D$9,$P34)</f>
        <v>4</v>
      </c>
      <c r="R34" s="25">
        <f ca="1">S34-T34</f>
        <v>2</v>
      </c>
      <c r="S34" s="25">
        <f ca="1">SUMIFS($E$4:$E$9,$B$4:$B$9,$P34,$D$4:$D$9,"&lt;&gt;"&amp;$P$36)+SUMIFS($G$4:$G$9,$B$4:$B$9,"&lt;&gt;"&amp;$P$36,$D$4:$D$9,$P34)</f>
        <v>4</v>
      </c>
      <c r="T34" s="25">
        <f ca="1">SUMIFS($G$4:$G$9,$B$4:$B$9,$P34,$D$4:$D$9,"&lt;&gt;"&amp;$P$36)+SUMIFS($E$4:$E$9,$B$4:$B$9,"&lt;&gt;"&amp;$P$36,$D$4:$D$9,$P34)</f>
        <v>2</v>
      </c>
      <c r="U34" s="25"/>
      <c r="V34" s="217">
        <f ca="1">Q34*FactorPts+(GDzero+R34)*FactorGD+S34*FactorFor</f>
        <v>40052040</v>
      </c>
      <c r="W34" s="25">
        <f ca="1">RANK(V34,V$33:V$35,1)</f>
        <v>2</v>
      </c>
      <c r="X34" s="25">
        <f ca="1">IF(AND($Q$5=$Q$6,$Q$5=$Q$7,$Q$5&lt;&gt;$Q$4),W34,0)</f>
        <v>0</v>
      </c>
      <c r="Y34" s="25">
        <f ca="1">IF(AND(V34=V33,V34&lt;&gt;V35),IF(AA34&gt;AA33,3,IF(AA34=AA33,1,0)),IF(AND(V34=V35,V34&lt;&gt;V33),IF(AC34&gt;AC35,3,IF(AC34=AC35,1,0)),""))</f>
        <v>1</v>
      </c>
      <c r="Z34" s="25" t="str">
        <f ca="1" t="shared" si="18" ref="Z34:Z35">IF(X34&gt;0,Y34,"")</f>
        <v/>
      </c>
      <c r="AA34" s="206">
        <f ca="1">$I$20</f>
        <v>3</v>
      </c>
      <c r="AB34" s="25"/>
      <c r="AC34" s="219">
        <f ca="1">$K$20</f>
        <v>1</v>
      </c>
      <c r="AD34" s="25">
        <f ca="1">IF(AND($AF$16,$AD$5=$AD$6,$AD$5=$AD$7,$AD$5&lt;&gt;$AD$4),W34,0)</f>
        <v>0</v>
      </c>
      <c r="AE34" s="25" t="str">
        <f ca="1" t="shared" si="19" ref="AE34:AE35">IF(AD34&gt;0,Y34,"")</f>
        <v/>
      </c>
    </row>
    <row r="35" spans="15:31" ht="15" thickBot="1">
      <c r="O35" s="25" t="s">
        <v>34</v>
      </c>
      <c r="P35" t="str">
        <f>$P$7</f>
        <v>Czechia</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2</v>
      </c>
      <c r="X35" s="25">
        <f ca="1">IF(AND($Q$5=$Q$6,$Q$5=$Q$7,$Q$5&lt;&gt;$Q$4),W35,0)</f>
        <v>0</v>
      </c>
      <c r="Y35" s="25">
        <f ca="1">IF(AND(V35=V33,V35&lt;&gt;V34),IF(AB35&gt;AB33,3,IF(AB35=AB33,1,0)),IF(AND(V35=V34,V35&lt;&gt;V33),IF(AC35&gt;AC34,3,IF(AC35=AC34,1,0)),""))</f>
        <v>1</v>
      </c>
      <c r="Z35" s="25" t="str">
        <f t="shared" ca="1" si="18"/>
        <v/>
      </c>
      <c r="AA35" s="207"/>
      <c r="AB35" s="208">
        <f ca="1">$I$21</f>
        <v>3</v>
      </c>
      <c r="AC35" s="209">
        <f ca="1">$J$21</f>
        <v>1</v>
      </c>
      <c r="AD35" s="25">
        <f ca="1">IF(AND($AF$16,$AD$5=$AD$6,$AD$5=$AD$7,$AD$5&lt;&gt;$AD$4),W35,0)</f>
        <v>0</v>
      </c>
      <c r="AE35" s="25" t="str">
        <f t="shared" ca="1" si="19"/>
        <v/>
      </c>
    </row>
    <row r="36" spans="16:21" ht="14.5">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5" bottom="0.787401575" header="0.3" footer="0.3"/>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27</vt:i4>
      </vt:variant>
    </vt:vector>
  </HeadingPairs>
  <TitlesOfParts>
    <vt:vector size="27"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hb</dc:creator>
  <cp:keywords/>
  <dc:description/>
  <cp:lastModifiedBy>Sander Teder</cp:lastModifiedBy>
  <cp:lastPrinted>2024-03-09T13:20:23Z</cp:lastPrinted>
  <dcterms:created xsi:type="dcterms:W3CDTF">2018-06-13T10:24:55Z</dcterms:created>
  <dcterms:modified xsi:type="dcterms:W3CDTF">2024-05-21T14:16:03Z</dcterms:modified>
  <cp:category/>
</cp:coreProperties>
</file>