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pa\Downloads\"/>
    </mc:Choice>
  </mc:AlternateContent>
  <xr:revisionPtr revIDLastSave="0" documentId="13_ncr:1_{76FDAB88-B64B-4302-AAC7-06318FD258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opejais" sheetId="5" r:id="rId1"/>
    <sheet name="ElevenifyPrognozes" sheetId="13" r:id="rId2"/>
    <sheet name="AutoraPrognozes" sheetId="14" r:id="rId3"/>
    <sheet name="FaktiskaisXG" sheetId="16" r:id="rId4"/>
    <sheet name="FaktiskieVarti" sheetId="15" r:id="rId5"/>
    <sheet name="Individuālas kārtas dati" sheetId="8" r:id="rId6"/>
    <sheet name="Salīdzinājum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7" l="1"/>
  <c r="G16" i="7"/>
  <c r="F16" i="7"/>
  <c r="D16" i="7"/>
  <c r="E15" i="7"/>
  <c r="E14" i="7"/>
  <c r="E10" i="7"/>
  <c r="F10" i="7"/>
  <c r="G10" i="7"/>
  <c r="D10" i="7"/>
  <c r="E9" i="7"/>
  <c r="E8" i="7"/>
  <c r="AB29" i="8"/>
  <c r="AA29" i="8"/>
  <c r="N29" i="8"/>
  <c r="M29" i="8"/>
  <c r="E29" i="8"/>
  <c r="D29" i="8"/>
  <c r="U29" i="8"/>
  <c r="T29" i="8"/>
  <c r="J30" i="5" a="1"/>
  <c r="J30" i="5" s="1"/>
  <c r="I30" i="5" a="1"/>
  <c r="I30" i="5" s="1"/>
  <c r="H30" i="5" a="1"/>
  <c r="H30" i="5" s="1"/>
  <c r="J29" i="5" a="1"/>
  <c r="J29" i="5" s="1"/>
  <c r="I29" i="5" a="1"/>
  <c r="I29" i="5" s="1"/>
  <c r="H29" i="5" a="1"/>
  <c r="H29" i="5" s="1"/>
  <c r="G30" i="5" a="1"/>
  <c r="G30" i="5" s="1"/>
  <c r="F30" i="5" a="1"/>
  <c r="F30" i="5" s="1"/>
  <c r="G29" i="5" a="1"/>
  <c r="G29" i="5" s="1"/>
  <c r="F29" i="5" a="1"/>
  <c r="F29" i="5" s="1"/>
  <c r="E30" i="5" a="1"/>
  <c r="E30" i="5" s="1"/>
  <c r="E29" i="5" a="1"/>
  <c r="E29" i="5" s="1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A21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A20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A19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A18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A17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A16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A15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A14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A13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A12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A11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A10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A9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A8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A7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6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A5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A4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3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<sst xmlns="http://schemas.openxmlformats.org/spreadsheetml/2006/main" count="490" uniqueCount="76">
  <si>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</si>
  <si>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</si>
  <si>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</si>
  <si>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</si>
  <si>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</si>
  <si>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</si>
  <si>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</si>
  <si>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</si>
  <si>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</si>
  <si>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</si>
  <si>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</si>
  <si>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</si>
  <si>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</si>
  <si>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</si>
  <si>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</si>
  <si>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</si>
  <si>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</si>
  <si>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</si>
  <si>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</si>
  <si>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</si>
  <si>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Manas prognozes</t>
  </si>
  <si>
    <t>Spēļu kārta</t>
  </si>
  <si>
    <t>Modelis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</si>
  <si>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</si>
  <si>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</si>
  <si>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</si>
  <si>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</si>
  <si>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</si>
  <si>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</si>
  <si>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</si>
  <si>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</si>
  <si>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</si>
  <si>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</si>
  <si>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</si>
  <si>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</si>
  <si>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</si>
  <si>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</si>
  <si>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</si>
  <si>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</si>
  <si>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</si>
  <si>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</si>
  <si>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</si>
  <si>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</si>
  <si>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</si>
  <si>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</si>
  <si>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</si>
  <si>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</si>
  <si>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</si>
  <si>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</si>
  <si>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</si>
  <si>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</si>
  <si>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</si>
  <si>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</si>
  <si>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</si>
  <si>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</si>
  <si>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</si>
  <si>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</si>
  <si>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</si>
  <si>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Elevenify</t>
  </si>
  <si>
    <t>Nobīde no īstā xG</t>
  </si>
  <si>
    <t>Lielākā nobīde</t>
  </si>
  <si>
    <t>Mazākā nobīde</t>
  </si>
  <si>
    <t>Nobīde no rezultātiem</t>
  </si>
  <si>
    <t>Lielākā nobīde no rezultātiem</t>
  </si>
  <si>
    <t>Mazākā nobīde  no rezultātiem</t>
  </si>
  <si>
    <t>Lielākā nobīde no xG</t>
  </si>
  <si>
    <t>Mazākā nobīde no xG</t>
  </si>
  <si>
    <t>Vidēji nobīde pret spēli</t>
  </si>
  <si>
    <t>Burnley</t>
  </si>
  <si>
    <t>Komanda/Spēļu kārta</t>
  </si>
  <si>
    <t>Faktiskais xG</t>
  </si>
  <si>
    <t>Faktiskie Vārti</t>
  </si>
  <si>
    <t>Autors</t>
  </si>
  <si>
    <t>avg</t>
  </si>
  <si>
    <t>Kopējā absolūtā nobīde no īstā xG</t>
  </si>
  <si>
    <t>Relatīvā atšķirība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</si>
</sst>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0"/>
      <color rgb="FF000000"/>
      <name val="Calibri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86"/>
    </font>
    <font>
      <sz val="10"/>
      <color rgb="FF00000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18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2"/>
    <xf numFmtId="0" fontId="6" fillId="0" borderId="1" xfId="2" applyFont="1" applyBorder="1" applyAlignment="1">
      <alignment horizontal="center" vertical="top"/>
    </xf>
    <xf numFmtId="0" fontId="8" fillId="0" borderId="0" xfId="3" applyFont="1"/>
    <xf numFmtId="0" fontId="7" fillId="0" borderId="0" xfId="3"/>
    <xf numFmtId="2" fontId="8" fillId="0" borderId="0" xfId="3" applyNumberFormat="1" applyFont="1"/>
    <xf numFmtId="0" fontId="4" fillId="0" borderId="0" xfId="2" applyFont="1"/>
    <xf numFmtId="0" fontId="3" fillId="0" borderId="1" xfId="2" applyFont="1" applyBorder="1" applyAlignment="1">
      <alignment horizontal="center" vertical="top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6" borderId="0" xfId="0" applyFill="1" applyAlignment="1">
      <alignment horizontal="center"/>
    </xf>
  </cellXfs>
  <cellStyles count="4">
    <cellStyle name="Normal" xfId="0" builtinId="0"/>
    <cellStyle name="Normal 2" xfId="1" xr:uid="{2A1D8BC1-ED08-4609-8546-382B14F3470B}"/>
    <cellStyle name="Normal 2 2" xfId="2" xr:uid="{76DE5946-F314-4943-A687-26B52B8E61FD}"/>
    <cellStyle name="Normal 3" xfId="3" xr:uid="{56456FA7-0511-4BD6-A50E-E52C50EC0571}"/>
  </cellStyles>
  <dxfs count="16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186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86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29D755-EF17-47A0-AA1D-4F454AB0C232}" name="Table5" displayName="Table5" ref="A1:AJ21" totalsRowShown="0" headerRowDxfId="165" dataDxfId="164" headerRowCellStyle="Normal 3" dataCellStyle="Normal 3">
  <autoFilter ref="A1:AJ21" xr:uid="{8629D755-EF17-47A0-AA1D-4F454AB0C232}"/>
  <tableColumns count="36">
    <tableColumn id="1" xr3:uid="{958EB6DB-E6B6-481B-8151-A0FF61C19798}" name="Komanda/Spēļu kārta" dataDxfId="163" dataCellStyle="Normal 3"/>
    <tableColumn id="2" xr3:uid="{951CD254-5899-45FA-8A52-05F710075194}" name="1" dataDxfId="162" dataCellStyle="Normal 3"/>
    <tableColumn id="3" xr3:uid="{DEDD11C3-7E13-4CDF-A0E4-AEB82D0E62D6}" name="2" dataDxfId="161" dataCellStyle="Normal 3"/>
    <tableColumn id="4" xr3:uid="{6722D1C4-CD03-4A79-AD7E-39201F25B88E}" name="3" dataDxfId="160" dataCellStyle="Normal 3"/>
    <tableColumn id="5" xr3:uid="{FD7CF364-092B-4997-BF74-216D20DA6A89}" name="4" dataDxfId="159" dataCellStyle="Normal 3"/>
    <tableColumn id="6" xr3:uid="{48AA60B5-8267-4DF3-9BDC-49C2FC9DA8D4}" name="5" dataDxfId="158" dataCellStyle="Normal 3"/>
    <tableColumn id="7" xr3:uid="{5C7A827A-A3A5-40E5-817B-87B4FB8A2959}" name="6" dataDxfId="157" dataCellStyle="Normal 3"/>
    <tableColumn id="8" xr3:uid="{A4B90E9A-4FEC-4570-ABA1-77A1469B5BFD}" name="7" dataDxfId="156" dataCellStyle="Normal 3"/>
    <tableColumn id="9" xr3:uid="{89A6055D-9D6C-4C06-BE05-59247DDB7BC5}" name="8" dataDxfId="155" dataCellStyle="Normal 3"/>
    <tableColumn id="10" xr3:uid="{E42E6CA8-3A4A-48B0-B5B3-5529E0D24E50}" name="9" dataDxfId="154" dataCellStyle="Normal 3"/>
    <tableColumn id="11" xr3:uid="{4246C008-D281-4F01-A98A-5DFF455C1FA8}" name="10" dataDxfId="153" dataCellStyle="Normal 3"/>
    <tableColumn id="12" xr3:uid="{15C7BCB8-1F51-48F4-B8A8-8F0D6C20E5C0}" name="11" dataDxfId="152" dataCellStyle="Normal 3"/>
    <tableColumn id="13" xr3:uid="{1A42FC0A-0D11-4C8F-BF4E-9206DD4DEC4C}" name="12" dataDxfId="151" dataCellStyle="Normal 3"/>
    <tableColumn id="14" xr3:uid="{12DD7316-217E-44BF-9DFE-FDF84F80B2DB}" name="13" dataDxfId="150" dataCellStyle="Normal 3"/>
    <tableColumn id="15" xr3:uid="{A05126B0-1F7C-4A72-9FD5-894D59D0B75F}" name="14" dataDxfId="149" dataCellStyle="Normal 3"/>
    <tableColumn id="16" xr3:uid="{3FED85B9-79C0-4AB4-BA5A-DF877847DA98}" name="15" dataDxfId="148" dataCellStyle="Normal 3"/>
    <tableColumn id="17" xr3:uid="{E77BF807-CD70-427D-BFD0-11409F5F7F61}" name="16" dataDxfId="147" dataCellStyle="Normal 3"/>
    <tableColumn id="18" xr3:uid="{FA9BDFCD-F71A-4DD2-B8C2-249F03FFDDBC}" name="17" dataDxfId="146" dataCellStyle="Normal 3"/>
    <tableColumn id="19" xr3:uid="{884AF0EE-D3D1-44E3-BF85-E75054F6D0A5}" name="18" dataDxfId="145" dataCellStyle="Normal 3"/>
    <tableColumn id="20" xr3:uid="{636E09CE-8E7E-4CE3-91BD-A5BE6721606E}" name="19" dataDxfId="144" dataCellStyle="Normal 3"/>
    <tableColumn id="21" xr3:uid="{8A6D50CA-99BA-4144-A68D-91E8C6AA3B53}" name="20" dataDxfId="143" dataCellStyle="Normal 3"/>
    <tableColumn id="22" xr3:uid="{0675514A-33F2-464B-B877-6624445E6FC6}" name="21" dataDxfId="142" dataCellStyle="Normal 3"/>
    <tableColumn id="23" xr3:uid="{CAF2894F-4750-4B2E-A1ED-1F0287F29DE8}" name="22" dataDxfId="141" dataCellStyle="Normal 3"/>
    <tableColumn id="24" xr3:uid="{3312E931-9621-452C-BE53-7666F3BA6A6C}" name="23" dataDxfId="140" dataCellStyle="Normal 3"/>
    <tableColumn id="25" xr3:uid="{4653F8B7-AB7F-4415-A9BE-E8BA4AAB142C}" name="24" dataDxfId="139" dataCellStyle="Normal 3"/>
    <tableColumn id="26" xr3:uid="{6624695C-76C6-49E2-9817-51677B46F612}" name="25" dataDxfId="138" dataCellStyle="Normal 3"/>
    <tableColumn id="27" xr3:uid="{47758122-4C7B-427E-BDA7-ADF050671E24}" name="26" dataDxfId="137" dataCellStyle="Normal 3"/>
    <tableColumn id="28" xr3:uid="{4B1600F4-ABA4-4AF9-A005-F8FE8FECB575}" name="27" dataDxfId="136" dataCellStyle="Normal 3"/>
    <tableColumn id="29" xr3:uid="{E59FA996-4E2F-4197-A8BB-83C097559713}" name="28" dataDxfId="135" dataCellStyle="Normal 3"/>
    <tableColumn id="30" xr3:uid="{777CFEBC-4B4A-4D11-B7A0-EE7C48EFD6B3}" name="29" dataDxfId="134" dataCellStyle="Normal 3"/>
    <tableColumn id="31" xr3:uid="{3146F30A-023E-4717-9051-55F410B3979D}" name="30" dataDxfId="133" dataCellStyle="Normal 3"/>
    <tableColumn id="32" xr3:uid="{0652608E-6406-4D60-8EC6-60B725C03AD1}" name="31" dataDxfId="132" dataCellStyle="Normal 3"/>
    <tableColumn id="33" xr3:uid="{FF55AD68-320A-4035-9DEC-CB51300D7D47}" name="32" dataDxfId="131" dataCellStyle="Normal 3"/>
    <tableColumn id="34" xr3:uid="{2834E6A0-556C-442D-AA4B-7626DAEF714B}" name="33" dataDxfId="130" dataCellStyle="Normal 3"/>
    <tableColumn id="35" xr3:uid="{55144463-E770-47EF-BCF7-A46C09F0F2D9}" name="34" dataDxfId="129" dataCellStyle="Normal 3"/>
    <tableColumn id="36" xr3:uid="{70D425BB-98CC-4DC3-B464-64B19D61E517}" name="35" dataDxfId="128" dataCellStyle="Normal 3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8B5CDF-E4EE-427A-93CE-1C9FA4ACDF46}" name="Table6" displayName="Table6" ref="A1:AJ21" totalsRowShown="0" headerRowDxfId="127" dataDxfId="126" headerRowCellStyle="Normal 2 2" dataCellStyle="Normal 2 2">
  <autoFilter ref="A1:AJ21" xr:uid="{C28B5CDF-E4EE-427A-93CE-1C9FA4ACDF46}"/>
  <tableColumns count="36">
    <tableColumn id="1" xr3:uid="{198E3C29-BC3F-478E-A818-5080D7ADDCBF}" name="Komanda/Spēļu kārta" dataDxfId="125" dataCellStyle="Normal 3"/>
    <tableColumn id="2" xr3:uid="{64E20CDC-E35F-4AE7-A8A9-52192B47FC43}" name="1" dataDxfId="124" dataCellStyle="Normal 3"/>
    <tableColumn id="3" xr3:uid="{6B89547D-93C5-4628-A06A-698E8B50B8A5}" name="2" dataDxfId="123" dataCellStyle="Normal 3"/>
    <tableColumn id="4" xr3:uid="{1CC5D425-0141-4C80-B198-AB6CC3498283}" name="3" dataDxfId="122" dataCellStyle="Normal 3"/>
    <tableColumn id="5" xr3:uid="{C0C0168E-AAF0-4A95-AD4C-CB83BBDF13BC}" name="4" dataDxfId="121" dataCellStyle="Normal 3"/>
    <tableColumn id="6" xr3:uid="{4B2DB4E6-4D81-4C7D-ACE9-C45C4734E8EE}" name="5" dataDxfId="120" dataCellStyle="Normal 3"/>
    <tableColumn id="7" xr3:uid="{986C5AA8-9B3E-4B3D-A51A-435F4FA60CFD}" name="6" dataDxfId="119" dataCellStyle="Normal 3"/>
    <tableColumn id="8" xr3:uid="{72B235DD-202B-4B93-B7EA-CC6C37EA0CB9}" name="7" dataDxfId="118" dataCellStyle="Normal 3"/>
    <tableColumn id="9" xr3:uid="{1F9E2E4C-6333-4BB9-8DED-4C70FB78C423}" name="8" dataDxfId="117" dataCellStyle="Normal 3"/>
    <tableColumn id="10" xr3:uid="{82846448-747E-4320-B2DA-8719B8DB92E4}" name="9" dataDxfId="116" dataCellStyle="Normal 3"/>
    <tableColumn id="11" xr3:uid="{550D1EF6-0110-44A7-8BA7-235B19570D56}" name="10" dataDxfId="115" dataCellStyle="Normal 3"/>
    <tableColumn id="12" xr3:uid="{ED8DD17F-1400-4067-936D-414BD6C44EEF}" name="11" dataDxfId="114" dataCellStyle="Normal 3"/>
    <tableColumn id="13" xr3:uid="{81B9551F-1D77-4BA9-8387-30DD10D5B153}" name="12" dataDxfId="113" dataCellStyle="Normal 3"/>
    <tableColumn id="14" xr3:uid="{13B9C1B8-2303-4538-AB6B-EF20F13A7EDC}" name="13" dataDxfId="112" dataCellStyle="Normal 3"/>
    <tableColumn id="15" xr3:uid="{F15C71C5-BF45-4CF5-BCA4-8D28215BA06B}" name="14" dataDxfId="111" dataCellStyle="Normal 3"/>
    <tableColumn id="16" xr3:uid="{CFA10ADB-3DBD-47F1-9D10-7269EDBFAEE0}" name="15" dataDxfId="110" dataCellStyle="Normal 3"/>
    <tableColumn id="17" xr3:uid="{5F529542-BDE2-4B87-AAA8-C83D5E323147}" name="16" dataDxfId="109" dataCellStyle="Normal 3"/>
    <tableColumn id="18" xr3:uid="{CA87AD23-FB3B-4675-BDB0-7F5DE061B700}" name="17" dataDxfId="108" dataCellStyle="Normal 3"/>
    <tableColumn id="19" xr3:uid="{34C70A5C-7149-4A7B-BCC5-A322B9F126C1}" name="18" dataDxfId="107" dataCellStyle="Normal 3"/>
    <tableColumn id="20" xr3:uid="{6DD2E432-9059-4C16-B1C4-5F9AF5BE0C8A}" name="19" dataDxfId="106" dataCellStyle="Normal 3"/>
    <tableColumn id="21" xr3:uid="{8AE90F1E-BA31-4694-9DEC-FBEAA4007399}" name="20" dataDxfId="105" dataCellStyle="Normal 3"/>
    <tableColumn id="22" xr3:uid="{9CBDF4FD-2A6B-498F-8DFB-0D4B55F88C86}" name="21" dataDxfId="104" dataCellStyle="Normal 3"/>
    <tableColumn id="23" xr3:uid="{A39EDC38-9713-43D8-9F62-DC77093BB079}" name="22" dataDxfId="103" dataCellStyle="Normal 3"/>
    <tableColumn id="24" xr3:uid="{10E7CAEC-8FCC-4D5E-A459-C9540A76B776}" name="23" dataDxfId="102" dataCellStyle="Normal 3"/>
    <tableColumn id="25" xr3:uid="{39C6ABCA-24CB-4350-ADF2-9DD52AC0A74D}" name="24" dataDxfId="101" dataCellStyle="Normal 3"/>
    <tableColumn id="26" xr3:uid="{52764299-5166-49CA-95C5-4B479F4B61B4}" name="25" dataDxfId="100" dataCellStyle="Normal 3"/>
    <tableColumn id="27" xr3:uid="{8A669F15-1D7D-4A85-AF1F-9E6F2E1949CE}" name="26" dataDxfId="99" dataCellStyle="Normal 3"/>
    <tableColumn id="28" xr3:uid="{D78FEE80-7A4D-456F-B738-AF9282A8EFA6}" name="27" dataDxfId="98" dataCellStyle="Normal 3"/>
    <tableColumn id="29" xr3:uid="{7576F697-DD40-40A8-B96D-246D4AED2AEF}" name="28" dataDxfId="97" dataCellStyle="Normal 3"/>
    <tableColumn id="30" xr3:uid="{3C498C9F-4CF0-4123-A5C3-CE64DE25FCEE}" name="29" dataDxfId="96" dataCellStyle="Normal 3"/>
    <tableColumn id="31" xr3:uid="{FA10833F-5711-4391-87C2-9C4FFD94D42A}" name="30" dataDxfId="95" dataCellStyle="Normal 3"/>
    <tableColumn id="32" xr3:uid="{BA9E536C-49FE-4E91-ACE6-F4F8D4B28748}" name="31" dataDxfId="94" dataCellStyle="Normal 3"/>
    <tableColumn id="33" xr3:uid="{564650F8-452B-473B-A2BF-830C86C41464}" name="32" dataDxfId="93" dataCellStyle="Normal 3"/>
    <tableColumn id="34" xr3:uid="{DB0B45AC-CF5D-4654-B899-4812814E3B9C}" name="33" dataDxfId="92" dataCellStyle="Normal 3"/>
    <tableColumn id="35" xr3:uid="{3C4BEDF4-9A1D-4A17-9AB4-94C8E859574E}" name="34" dataDxfId="91" dataCellStyle="Normal 3"/>
    <tableColumn id="36" xr3:uid="{5D1E257B-DCAC-4668-AE08-51F7D7AC3BD9}" name="35" dataDxfId="90" dataCellStyle="Normal 3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8867EA-4A73-4E09-9C79-F628399A797E}" name="Table8" displayName="Table8" ref="A1:AJ21" totalsRowShown="0" headerRowDxfId="89" dataDxfId="88" headerRowCellStyle="Normal 2 2" dataCellStyle="Normal 2 2">
  <autoFilter ref="A1:AJ21" xr:uid="{6C8867EA-4A73-4E09-9C79-F628399A797E}"/>
  <tableColumns count="36">
    <tableColumn id="1" xr3:uid="{E0C7996E-B366-48A3-8051-6982F479636A}" name="Komanda/Spēļu kārta" dataDxfId="87" dataCellStyle="Normal 3"/>
    <tableColumn id="2" xr3:uid="{3EA05F37-391C-43A3-92D5-881C7CCD35B0}" name="1" dataDxfId="86" dataCellStyle="Normal 3"/>
    <tableColumn id="3" xr3:uid="{B23571F6-B49E-482D-A74B-B1ADFE2AEC8F}" name="2" dataDxfId="85" dataCellStyle="Normal 3"/>
    <tableColumn id="4" xr3:uid="{5A635421-5395-4495-9701-1C905FA2762E}" name="3" dataDxfId="84" dataCellStyle="Normal 3"/>
    <tableColumn id="5" xr3:uid="{FEEB0A12-05EB-44D7-9487-291112A8DEBA}" name="4" dataDxfId="83" dataCellStyle="Normal 3"/>
    <tableColumn id="6" xr3:uid="{E8A2292D-25D0-417E-A101-144603C90E59}" name="5" dataDxfId="82" dataCellStyle="Normal 3"/>
    <tableColumn id="7" xr3:uid="{99BF5E9F-EC35-4DAD-9F04-39D10523C8E0}" name="6" dataDxfId="81" dataCellStyle="Normal 3"/>
    <tableColumn id="8" xr3:uid="{7076AFED-C65F-422A-9DBE-3F46894B19D0}" name="7" dataDxfId="80" dataCellStyle="Normal 3"/>
    <tableColumn id="9" xr3:uid="{3576F5DA-A5DC-40C3-8F20-6D4ED5443D30}" name="8" dataDxfId="79" dataCellStyle="Normal 3"/>
    <tableColumn id="10" xr3:uid="{00693DE2-05D3-4EE0-9656-F13656994921}" name="9" dataDxfId="78" dataCellStyle="Normal 3"/>
    <tableColumn id="11" xr3:uid="{7F642D02-89C2-4441-B618-13C74C5ED53C}" name="10" dataDxfId="77" dataCellStyle="Normal 3"/>
    <tableColumn id="12" xr3:uid="{0FD96168-5A5E-4826-A1EC-D0643B857215}" name="11" dataDxfId="76" dataCellStyle="Normal 3"/>
    <tableColumn id="13" xr3:uid="{B16898B2-F25F-45FB-9E96-1538AB793EF0}" name="12" dataDxfId="75" dataCellStyle="Normal 3"/>
    <tableColumn id="14" xr3:uid="{6D78EA42-938B-4F53-9FC5-C89C9B3F8BB7}" name="13" dataDxfId="74" dataCellStyle="Normal 3"/>
    <tableColumn id="15" xr3:uid="{BAB4212B-9C6E-4756-9ECE-AF78F2E40EFC}" name="14" dataDxfId="73" dataCellStyle="Normal 3"/>
    <tableColumn id="16" xr3:uid="{566DE9D7-FFE8-4432-B155-A55278B06893}" name="15" dataDxfId="72" dataCellStyle="Normal 3"/>
    <tableColumn id="17" xr3:uid="{87BE8A5D-C69B-4AF0-B407-0ECDD700BAB2}" name="16" dataDxfId="71" dataCellStyle="Normal 3"/>
    <tableColumn id="18" xr3:uid="{A749FB0F-A1B0-46AB-87A2-71201667472B}" name="17" dataDxfId="70" dataCellStyle="Normal 3"/>
    <tableColumn id="19" xr3:uid="{1ABE3F80-E102-4895-B6C4-3F44056B93F6}" name="18" dataDxfId="69" dataCellStyle="Normal 3"/>
    <tableColumn id="20" xr3:uid="{6016A44D-E061-4571-8BAB-5C50F7C8B1AA}" name="19" dataDxfId="68" dataCellStyle="Normal 3"/>
    <tableColumn id="21" xr3:uid="{385A70CB-272D-4A45-AFDD-BD866294D509}" name="20" dataDxfId="67" dataCellStyle="Normal 3"/>
    <tableColumn id="22" xr3:uid="{B2F956E5-8E45-4919-909D-08DF6EAEA898}" name="21" dataDxfId="66" dataCellStyle="Normal 3"/>
    <tableColumn id="23" xr3:uid="{A05D7ACC-0499-496F-B6FE-B552B39FFAF6}" name="22" dataDxfId="65" dataCellStyle="Normal 3"/>
    <tableColumn id="24" xr3:uid="{9E458E62-A718-417B-990A-C426DC8260D3}" name="23" dataDxfId="64" dataCellStyle="Normal 3"/>
    <tableColumn id="25" xr3:uid="{6497133A-E38A-4636-9EA6-29536A993482}" name="24" dataDxfId="63" dataCellStyle="Normal 3"/>
    <tableColumn id="26" xr3:uid="{C47BC18B-8F4D-4107-927B-614F4D6B2C9D}" name="25" dataDxfId="62" dataCellStyle="Normal 3"/>
    <tableColumn id="27" xr3:uid="{2E0C1DB8-A935-4D26-98D8-F846B1FDF43B}" name="26" dataDxfId="61" dataCellStyle="Normal 3"/>
    <tableColumn id="28" xr3:uid="{F6BC1BA0-E2F5-4414-806F-A974162EB4C1}" name="27" dataDxfId="60" dataCellStyle="Normal 3"/>
    <tableColumn id="29" xr3:uid="{334C5EBC-E3E3-4DAD-A7C2-F48943C01F96}" name="28" dataDxfId="59" dataCellStyle="Normal 3"/>
    <tableColumn id="30" xr3:uid="{341120FE-B4E5-4C94-B4FA-65363EA154C0}" name="29" dataDxfId="58" dataCellStyle="Normal 3"/>
    <tableColumn id="31" xr3:uid="{64915EC1-069F-4B00-A592-488D56B0ECAA}" name="30" dataDxfId="57" dataCellStyle="Normal 3"/>
    <tableColumn id="32" xr3:uid="{21B19D23-BDF2-46ED-BC7D-3C02D9BBA262}" name="31" dataDxfId="56" dataCellStyle="Normal 3"/>
    <tableColumn id="33" xr3:uid="{825B0410-0AC0-4FF7-90A5-AB6B05EFFA47}" name="32" dataDxfId="55" dataCellStyle="Normal 3"/>
    <tableColumn id="34" xr3:uid="{E405D0E9-0BE3-411C-8A34-5E7903D6FC0A}" name="33" dataDxfId="54" dataCellStyle="Normal 3"/>
    <tableColumn id="35" xr3:uid="{FBC2AFDA-3767-407A-9DFB-6A5C89AFC86F}" name="34" dataDxfId="53" dataCellStyle="Normal 3"/>
    <tableColumn id="36" xr3:uid="{A76CB735-66BE-4050-AA2E-EDEE719A52E9}" name="35" dataDxfId="52" dataCellStyle="Normal 3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E256F-023C-44C7-A545-4C4BB3F67637}" name="Table7" displayName="Table7" ref="A1:AJ21" totalsRowShown="0" headerRowDxfId="51" dataDxfId="50" headerRowCellStyle="Normal 2 2" dataCellStyle="Normal 2 2">
  <autoFilter ref="A1:AJ21" xr:uid="{BABE256F-023C-44C7-A545-4C4BB3F67637}"/>
  <tableColumns count="36">
    <tableColumn id="1" xr3:uid="{452E783B-28A2-4957-94DA-BE97237C8995}" name="Komanda/Spēļu kārta" dataDxfId="49" dataCellStyle="Normal 3"/>
    <tableColumn id="2" xr3:uid="{3CB20271-A9BC-4A7C-A408-0A36DD38B250}" name="1" dataDxfId="48" dataCellStyle="Normal 2 2"/>
    <tableColumn id="3" xr3:uid="{C9F1259D-8A76-4830-B694-88C1EC2ED776}" name="2" dataDxfId="47" dataCellStyle="Normal 2 2"/>
    <tableColumn id="4" xr3:uid="{841A2151-876A-41D9-9C51-54A63C01DD16}" name="3" dataDxfId="46" dataCellStyle="Normal 2 2"/>
    <tableColumn id="5" xr3:uid="{35492622-2669-492A-93ED-CBC8B2B839D0}" name="4" dataDxfId="45" dataCellStyle="Normal 2 2"/>
    <tableColumn id="6" xr3:uid="{BE6B81B1-0059-4577-AFAC-1B5BB107820C}" name="5" dataDxfId="44" dataCellStyle="Normal 2 2"/>
    <tableColumn id="7" xr3:uid="{C969958D-D872-4D89-A797-264A52D97F1C}" name="6" dataDxfId="43" dataCellStyle="Normal 2 2"/>
    <tableColumn id="8" xr3:uid="{4955AA99-1FDD-45BD-9DDA-2FB73B200563}" name="7" dataDxfId="42" dataCellStyle="Normal 2 2"/>
    <tableColumn id="9" xr3:uid="{18ADB5C8-4EDC-4737-A057-F650269F21AF}" name="8" dataDxfId="41" dataCellStyle="Normal 2 2"/>
    <tableColumn id="10" xr3:uid="{67B0A785-25DA-420B-A2B2-6596EA14F792}" name="9" dataDxfId="40" dataCellStyle="Normal 2 2"/>
    <tableColumn id="11" xr3:uid="{9D187241-5D37-485D-9B45-0AC71CD0A3B0}" name="10" dataDxfId="39" dataCellStyle="Normal 2 2"/>
    <tableColumn id="12" xr3:uid="{DD65E968-04A4-4D06-9FC2-3855E357CCB4}" name="11" dataDxfId="38" dataCellStyle="Normal 2 2"/>
    <tableColumn id="13" xr3:uid="{8B406BBD-A7EE-41C6-AAEE-889EDD1414E4}" name="12" dataDxfId="37" dataCellStyle="Normal 2 2"/>
    <tableColumn id="14" xr3:uid="{3DC393E9-ED86-4F3D-B043-9B68B25604DB}" name="13" dataDxfId="36" dataCellStyle="Normal 2 2"/>
    <tableColumn id="15" xr3:uid="{6A3C11DA-611A-407B-9141-56FDF595BA33}" name="14" dataDxfId="35" dataCellStyle="Normal 2 2"/>
    <tableColumn id="16" xr3:uid="{66A869DF-DD22-4E9F-8F5B-5613AC512C72}" name="15" dataDxfId="34" dataCellStyle="Normal 2 2"/>
    <tableColumn id="17" xr3:uid="{2625A586-9BCF-47F7-8DD7-0DCA3381F3D6}" name="16" dataDxfId="33" dataCellStyle="Normal 2 2"/>
    <tableColumn id="18" xr3:uid="{19A0A33B-6D32-4C61-9651-6B9D95409079}" name="17" dataDxfId="32" dataCellStyle="Normal 2 2"/>
    <tableColumn id="19" xr3:uid="{D3053C33-7E07-4665-8E91-8B302161A630}" name="18" dataDxfId="31" dataCellStyle="Normal 2 2"/>
    <tableColumn id="20" xr3:uid="{6125B9C4-151B-4AE3-BBE0-593ABF6E24D8}" name="19" dataDxfId="30" dataCellStyle="Normal 2 2"/>
    <tableColumn id="21" xr3:uid="{011B2E42-45B6-4B5F-9C80-29764880707F}" name="20" dataDxfId="29" dataCellStyle="Normal 2 2"/>
    <tableColumn id="22" xr3:uid="{1735A344-544E-422F-9B69-14ABED2C6251}" name="21" dataDxfId="28" dataCellStyle="Normal 2 2"/>
    <tableColumn id="23" xr3:uid="{D58FC3F2-C78B-420C-8C84-D63DF4E3E706}" name="22" dataDxfId="27" dataCellStyle="Normal 2 2"/>
    <tableColumn id="24" xr3:uid="{44378654-A5BA-4C88-8C62-518221221D40}" name="23" dataDxfId="26" dataCellStyle="Normal 2 2"/>
    <tableColumn id="25" xr3:uid="{6D841940-0ECB-452E-BFDA-CA128F0CAE6B}" name="24" dataDxfId="25" dataCellStyle="Normal 2 2"/>
    <tableColumn id="26" xr3:uid="{F5A30C30-9B8B-403F-9FB1-B050F0EC96FC}" name="25" dataDxfId="24" dataCellStyle="Normal 2 2"/>
    <tableColumn id="27" xr3:uid="{97F47D06-127A-4E66-8B26-029BC306D107}" name="26" dataDxfId="23" dataCellStyle="Normal 2 2"/>
    <tableColumn id="28" xr3:uid="{D3DC0A20-0402-4C40-883C-820C6AC0EF90}" name="27" dataDxfId="22" dataCellStyle="Normal 2 2"/>
    <tableColumn id="29" xr3:uid="{D09D9F64-B2F2-4FC8-A6B0-C8D16EC5A510}" name="28" dataDxfId="21" dataCellStyle="Normal 2 2"/>
    <tableColumn id="30" xr3:uid="{E4AAAAC0-F87A-467D-B300-78BEA6D70BA8}" name="29" dataDxfId="20" dataCellStyle="Normal 2 2"/>
    <tableColumn id="31" xr3:uid="{4C15E42B-CCFF-4AFF-8E79-C2EC373162CF}" name="30" dataDxfId="19" dataCellStyle="Normal 2 2"/>
    <tableColumn id="32" xr3:uid="{8E6BD151-8101-4420-B6AD-6EDFC8E76750}" name="31" dataDxfId="18" dataCellStyle="Normal 2 2"/>
    <tableColumn id="33" xr3:uid="{C13CB622-4C36-448D-B30F-9C7899FC68B0}" name="32" dataDxfId="17" dataCellStyle="Normal 2 2"/>
    <tableColumn id="34" xr3:uid="{17AD8FB2-3C9B-47E4-AB8A-C5C1A9FFF085}" name="33" dataDxfId="16" dataCellStyle="Normal 2 2"/>
    <tableColumn id="35" xr3:uid="{357418C1-C580-4A2F-916F-72115DDE3785}" name="34" dataDxfId="15" dataCellStyle="Normal 2 2"/>
    <tableColumn id="36" xr3:uid="{F1458718-8468-4E98-9311-F30A1533BA63}" name="35" dataDxfId="14" dataCellStyle="Normal 2 2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08C3E-D8C8-4E78-B5E2-5AACFA56AB71}" name="Table1" displayName="Table1" ref="C7:G10" totalsRowShown="0" headerRowDxfId="13" dataDxfId="12">
  <autoFilter ref="C7:G10" xr:uid="{EEB08C3E-D8C8-4E78-B5E2-5AACFA56AB71}"/>
  <tableColumns count="5">
    <tableColumn id="1" xr3:uid="{4CB72BF4-BDED-4486-B0AE-008B4517D878}" name="Modelis" dataDxfId="11"/>
    <tableColumn id="2" xr3:uid="{04450DF7-F068-4ABC-8729-21EDFAC76862}" name="Kopējā absolūtā nobīde no īstā xG" dataDxfId="10"/>
    <tableColumn id="3" xr3:uid="{121FD28A-1974-4282-B731-EBCC1F69FC8E}" name="Vidēji nobīde pret spēli" dataDxfId="9"/>
    <tableColumn id="4" xr3:uid="{4A1FDAEB-1FEC-4B1D-BBE8-DB9E03149A3B}" name="Lielākā nobīde no xG" dataDxfId="8"/>
    <tableColumn id="5" xr3:uid="{FAB9DAB7-0D72-4378-BC28-6943523A2DA9}" name="Mazākā nobīde no xG" dataDxfId="7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3DA3C-D850-45CF-B414-3C8031081EBF}" name="Table2" displayName="Table2" ref="C13:G16" totalsRowShown="0" headerRowDxfId="6" dataDxfId="5">
  <autoFilter ref="C13:G16" xr:uid="{0603DA3C-D850-45CF-B414-3C8031081EBF}"/>
  <tableColumns count="5">
    <tableColumn id="1" xr3:uid="{36556F6D-6836-449A-AF67-BA65459A2F9D}" name="Modelis" dataDxfId="4"/>
    <tableColumn id="2" xr3:uid="{C76C8828-B32D-41EE-B995-5A51BB11FEA2}" name="Nobīde no rezultātiem" dataDxfId="3"/>
    <tableColumn id="3" xr3:uid="{516497CF-BD4C-45EF-B12E-E4DEA081EE1A}" name="Vidēji nobīde pret spēli" dataDxfId="2"/>
    <tableColumn id="4" xr3:uid="{1936E11A-CB2C-410A-BE51-41D0E5C90DCD}" name="Lielākā nobīde no rezultātiem" dataDxfId="1"/>
    <tableColumn id="5" xr3:uid="{37059FE5-3DBC-4E93-9DAD-14630F95A5A1}" name="Mazākā nobīde  no rezultātiem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830D-E40B-419D-9F83-1DC751CE187C}">
  <sheetPr codeName="Sheet1"/>
  <dimension ref="A1:EK30"/>
  <sheetViews>
    <sheetView tabSelected="1" zoomScale="46" zoomScaleNormal="100" workbookViewId="0">
      <selection activeCell="L28" sqref="L28"/>
    </sheetView>
  </sheetViews>
  <sheetFormatPr defaultRowHeight="14.5" x14ac:dyDescent="0.35"/>
  <cols>
    <col min="1" max="1" width="17.26953125" customWidth="1"/>
    <col min="2" max="2" width="9.7265625" customWidth="1"/>
    <col min="3" max="3" width="10.54296875" customWidth="1"/>
    <col min="4" max="4" width="9.81640625" customWidth="1"/>
    <col min="5" max="5" width="8.90625" customWidth="1"/>
  </cols>
  <sheetData>
    <row r="1" spans="1:141" x14ac:dyDescent="0.35">
      <c r="A1" s="2" t="s">
        <v>21</v>
      </c>
      <c r="B1" s="17">
        <v>1</v>
      </c>
      <c r="C1" s="17"/>
      <c r="D1" s="17"/>
      <c r="E1" s="17"/>
      <c r="F1" s="17">
        <v>2</v>
      </c>
      <c r="G1" s="17"/>
      <c r="H1" s="17"/>
      <c r="I1" s="17"/>
      <c r="J1" s="17">
        <v>3</v>
      </c>
      <c r="K1" s="17"/>
      <c r="L1" s="17"/>
      <c r="M1" s="17"/>
      <c r="N1" s="17">
        <v>4</v>
      </c>
      <c r="O1" s="17"/>
      <c r="P1" s="17"/>
      <c r="Q1" s="17"/>
      <c r="R1" s="17">
        <v>5</v>
      </c>
      <c r="S1" s="17"/>
      <c r="T1" s="17"/>
      <c r="U1" s="17"/>
      <c r="V1" s="17">
        <v>6</v>
      </c>
      <c r="W1" s="17"/>
      <c r="X1" s="17"/>
      <c r="Y1" s="17"/>
      <c r="Z1" s="17">
        <v>7</v>
      </c>
      <c r="AA1" s="17"/>
      <c r="AB1" s="17"/>
      <c r="AC1" s="17"/>
      <c r="AD1" s="17">
        <v>8</v>
      </c>
      <c r="AE1" s="17"/>
      <c r="AF1" s="17"/>
      <c r="AG1" s="17"/>
      <c r="AH1" s="17">
        <v>9</v>
      </c>
      <c r="AI1" s="17"/>
      <c r="AJ1" s="17"/>
      <c r="AK1" s="17"/>
      <c r="AL1" s="17">
        <v>10</v>
      </c>
      <c r="AM1" s="17"/>
      <c r="AN1" s="17"/>
      <c r="AO1" s="17"/>
      <c r="AP1" s="17">
        <v>11</v>
      </c>
      <c r="AQ1" s="17"/>
      <c r="AR1" s="17"/>
      <c r="AS1" s="17"/>
      <c r="AT1" s="17">
        <v>12</v>
      </c>
      <c r="AU1" s="17"/>
      <c r="AV1" s="17"/>
      <c r="AW1" s="17"/>
      <c r="AX1" s="17">
        <v>13</v>
      </c>
      <c r="AY1" s="17"/>
      <c r="AZ1" s="17"/>
      <c r="BA1" s="17"/>
      <c r="BB1" s="17">
        <v>14</v>
      </c>
      <c r="BC1" s="17"/>
      <c r="BD1" s="17"/>
      <c r="BE1" s="17"/>
      <c r="BF1" s="17">
        <v>15</v>
      </c>
      <c r="BG1" s="17"/>
      <c r="BH1" s="17"/>
      <c r="BI1" s="17"/>
      <c r="BJ1" s="17">
        <v>16</v>
      </c>
      <c r="BK1" s="17"/>
      <c r="BL1" s="17"/>
      <c r="BM1" s="17"/>
      <c r="BN1" s="17">
        <v>17</v>
      </c>
      <c r="BO1" s="17"/>
      <c r="BP1" s="17"/>
      <c r="BQ1" s="17"/>
      <c r="BR1" s="17">
        <v>18</v>
      </c>
      <c r="BS1" s="17"/>
      <c r="BT1" s="17"/>
      <c r="BU1" s="17"/>
      <c r="BV1" s="17">
        <v>19</v>
      </c>
      <c r="BW1" s="17"/>
      <c r="BX1" s="17"/>
      <c r="BY1" s="17"/>
      <c r="BZ1" s="17">
        <v>20</v>
      </c>
      <c r="CA1" s="17"/>
      <c r="CB1" s="17"/>
      <c r="CC1" s="17"/>
      <c r="CD1" s="17">
        <v>21</v>
      </c>
      <c r="CE1" s="17"/>
      <c r="CF1" s="17"/>
      <c r="CG1" s="17"/>
      <c r="CH1" s="17">
        <v>22</v>
      </c>
      <c r="CI1" s="17"/>
      <c r="CJ1" s="17"/>
      <c r="CK1" s="17"/>
      <c r="CL1" s="17">
        <v>23</v>
      </c>
      <c r="CM1" s="17"/>
      <c r="CN1" s="17"/>
      <c r="CO1" s="17"/>
      <c r="CP1" s="17">
        <v>24</v>
      </c>
      <c r="CQ1" s="17"/>
      <c r="CR1" s="17"/>
      <c r="CS1" s="17"/>
      <c r="CT1" s="17">
        <v>25</v>
      </c>
      <c r="CU1" s="17"/>
      <c r="CV1" s="17"/>
      <c r="CW1" s="17"/>
      <c r="CX1" s="17">
        <v>26</v>
      </c>
      <c r="CY1" s="17"/>
      <c r="CZ1" s="17"/>
      <c r="DA1" s="17"/>
      <c r="DB1" s="17">
        <v>27</v>
      </c>
      <c r="DC1" s="17"/>
      <c r="DD1" s="17"/>
      <c r="DE1" s="17"/>
      <c r="DF1" s="17">
        <v>28</v>
      </c>
      <c r="DG1" s="17"/>
      <c r="DH1" s="17"/>
      <c r="DI1" s="17"/>
      <c r="DJ1" s="17">
        <v>29</v>
      </c>
      <c r="DK1" s="17"/>
      <c r="DL1" s="17"/>
      <c r="DM1" s="17"/>
      <c r="DN1" s="17">
        <v>30</v>
      </c>
      <c r="DO1" s="17"/>
      <c r="DP1" s="17"/>
      <c r="DQ1" s="17"/>
      <c r="DR1" s="17">
        <v>31</v>
      </c>
      <c r="DS1" s="17"/>
      <c r="DT1" s="17"/>
      <c r="DU1" s="17"/>
      <c r="DV1" s="17">
        <v>32</v>
      </c>
      <c r="DW1" s="17"/>
      <c r="DX1" s="17"/>
      <c r="DY1" s="17"/>
      <c r="DZ1" s="17">
        <v>33</v>
      </c>
      <c r="EA1" s="17"/>
      <c r="EB1" s="17"/>
      <c r="EC1" s="17"/>
      <c r="ED1" s="17">
        <v>34</v>
      </c>
      <c r="EE1" s="17"/>
      <c r="EF1" s="17"/>
      <c r="EG1" s="17"/>
      <c r="EH1" s="17">
        <v>35</v>
      </c>
      <c r="EI1" s="17"/>
      <c r="EJ1" s="17"/>
      <c r="EK1" s="17"/>
    </row>
    <row r="2" spans="1:141" ht="29" x14ac:dyDescent="0.35">
      <c r="A2" s="2" t="s">
        <v>22</v>
      </c>
      <c r="B2" s="11" t="s">
        <v>58</v>
      </c>
      <c r="C2" s="12" t="s">
        <v>72</v>
      </c>
      <c r="D2" s="13" t="s">
        <v>70</v>
      </c>
      <c r="E2" s="14" t="s">
        <v>71</v>
      </c>
      <c r="F2" s="11" t="s">
        <v>58</v>
      </c>
      <c r="G2" s="12" t="s">
        <v>72</v>
      </c>
      <c r="H2" s="13" t="s">
        <v>70</v>
      </c>
      <c r="I2" s="14" t="s">
        <v>71</v>
      </c>
      <c r="J2" s="11" t="s">
        <v>58</v>
      </c>
      <c r="K2" s="12" t="s">
        <v>72</v>
      </c>
      <c r="L2" s="13" t="s">
        <v>70</v>
      </c>
      <c r="M2" s="14" t="s">
        <v>71</v>
      </c>
      <c r="N2" s="11" t="s">
        <v>58</v>
      </c>
      <c r="O2" s="12" t="s">
        <v>72</v>
      </c>
      <c r="P2" s="13" t="s">
        <v>70</v>
      </c>
      <c r="Q2" s="14" t="s">
        <v>71</v>
      </c>
      <c r="R2" s="11" t="s">
        <v>58</v>
      </c>
      <c r="S2" s="12" t="s">
        <v>72</v>
      </c>
      <c r="T2" s="13" t="s">
        <v>70</v>
      </c>
      <c r="U2" s="14" t="s">
        <v>71</v>
      </c>
      <c r="V2" s="11" t="s">
        <v>58</v>
      </c>
      <c r="W2" s="12" t="s">
        <v>72</v>
      </c>
      <c r="X2" s="13" t="s">
        <v>70</v>
      </c>
      <c r="Y2" s="14" t="s">
        <v>71</v>
      </c>
      <c r="Z2" s="11" t="s">
        <v>58</v>
      </c>
      <c r="AA2" s="12" t="s">
        <v>72</v>
      </c>
      <c r="AB2" s="13" t="s">
        <v>70</v>
      </c>
      <c r="AC2" s="14" t="s">
        <v>71</v>
      </c>
      <c r="AD2" s="11" t="s">
        <v>58</v>
      </c>
      <c r="AE2" s="12" t="s">
        <v>72</v>
      </c>
      <c r="AF2" s="13" t="s">
        <v>70</v>
      </c>
      <c r="AG2" s="14" t="s">
        <v>71</v>
      </c>
      <c r="AH2" s="11" t="s">
        <v>58</v>
      </c>
      <c r="AI2" s="12" t="s">
        <v>72</v>
      </c>
      <c r="AJ2" s="13" t="s">
        <v>70</v>
      </c>
      <c r="AK2" s="14" t="s">
        <v>71</v>
      </c>
      <c r="AL2" s="11" t="s">
        <v>58</v>
      </c>
      <c r="AM2" s="12" t="s">
        <v>72</v>
      </c>
      <c r="AN2" s="13" t="s">
        <v>70</v>
      </c>
      <c r="AO2" s="14" t="s">
        <v>71</v>
      </c>
      <c r="AP2" s="11" t="s">
        <v>58</v>
      </c>
      <c r="AQ2" s="12" t="s">
        <v>72</v>
      </c>
      <c r="AR2" s="13" t="s">
        <v>70</v>
      </c>
      <c r="AS2" s="14" t="s">
        <v>71</v>
      </c>
      <c r="AT2" s="11" t="s">
        <v>58</v>
      </c>
      <c r="AU2" s="12" t="s">
        <v>72</v>
      </c>
      <c r="AV2" s="13" t="s">
        <v>70</v>
      </c>
      <c r="AW2" s="14" t="s">
        <v>71</v>
      </c>
      <c r="AX2" s="11" t="s">
        <v>58</v>
      </c>
      <c r="AY2" s="12" t="s">
        <v>72</v>
      </c>
      <c r="AZ2" s="13" t="s">
        <v>70</v>
      </c>
      <c r="BA2" s="14" t="s">
        <v>71</v>
      </c>
      <c r="BB2" s="11" t="s">
        <v>58</v>
      </c>
      <c r="BC2" s="12" t="s">
        <v>72</v>
      </c>
      <c r="BD2" s="13" t="s">
        <v>70</v>
      </c>
      <c r="BE2" s="14" t="s">
        <v>71</v>
      </c>
      <c r="BF2" s="11" t="s">
        <v>58</v>
      </c>
      <c r="BG2" s="12" t="s">
        <v>72</v>
      </c>
      <c r="BH2" s="13" t="s">
        <v>70</v>
      </c>
      <c r="BI2" s="14" t="s">
        <v>71</v>
      </c>
      <c r="BJ2" s="11" t="s">
        <v>58</v>
      </c>
      <c r="BK2" s="12" t="s">
        <v>72</v>
      </c>
      <c r="BL2" s="13" t="s">
        <v>70</v>
      </c>
      <c r="BM2" s="14" t="s">
        <v>71</v>
      </c>
      <c r="BN2" s="11" t="s">
        <v>58</v>
      </c>
      <c r="BO2" s="12" t="s">
        <v>72</v>
      </c>
      <c r="BP2" s="13" t="s">
        <v>70</v>
      </c>
      <c r="BQ2" s="14" t="s">
        <v>71</v>
      </c>
      <c r="BR2" s="11" t="s">
        <v>58</v>
      </c>
      <c r="BS2" s="12" t="s">
        <v>72</v>
      </c>
      <c r="BT2" s="13" t="s">
        <v>70</v>
      </c>
      <c r="BU2" s="14" t="s">
        <v>71</v>
      </c>
      <c r="BV2" s="11" t="s">
        <v>58</v>
      </c>
      <c r="BW2" s="12" t="s">
        <v>72</v>
      </c>
      <c r="BX2" s="13" t="s">
        <v>70</v>
      </c>
      <c r="BY2" s="14" t="s">
        <v>71</v>
      </c>
      <c r="BZ2" s="11" t="s">
        <v>58</v>
      </c>
      <c r="CA2" s="12" t="s">
        <v>72</v>
      </c>
      <c r="CB2" s="13" t="s">
        <v>70</v>
      </c>
      <c r="CC2" s="14" t="s">
        <v>71</v>
      </c>
      <c r="CD2" s="11" t="s">
        <v>58</v>
      </c>
      <c r="CE2" s="12" t="s">
        <v>72</v>
      </c>
      <c r="CF2" s="13" t="s">
        <v>70</v>
      </c>
      <c r="CG2" s="14" t="s">
        <v>71</v>
      </c>
      <c r="CH2" s="11" t="s">
        <v>58</v>
      </c>
      <c r="CI2" s="12" t="s">
        <v>72</v>
      </c>
      <c r="CJ2" s="13" t="s">
        <v>70</v>
      </c>
      <c r="CK2" s="14" t="s">
        <v>71</v>
      </c>
      <c r="CL2" s="11" t="s">
        <v>58</v>
      </c>
      <c r="CM2" s="12" t="s">
        <v>72</v>
      </c>
      <c r="CN2" s="13" t="s">
        <v>70</v>
      </c>
      <c r="CO2" s="14" t="s">
        <v>71</v>
      </c>
      <c r="CP2" s="11" t="s">
        <v>58</v>
      </c>
      <c r="CQ2" s="12" t="s">
        <v>72</v>
      </c>
      <c r="CR2" s="13" t="s">
        <v>70</v>
      </c>
      <c r="CS2" s="14" t="s">
        <v>71</v>
      </c>
      <c r="CT2" s="11" t="s">
        <v>58</v>
      </c>
      <c r="CU2" s="12" t="s">
        <v>72</v>
      </c>
      <c r="CV2" s="13" t="s">
        <v>70</v>
      </c>
      <c r="CW2" s="14" t="s">
        <v>71</v>
      </c>
      <c r="CX2" s="11" t="s">
        <v>58</v>
      </c>
      <c r="CY2" s="12" t="s">
        <v>72</v>
      </c>
      <c r="CZ2" s="13" t="s">
        <v>70</v>
      </c>
      <c r="DA2" s="14" t="s">
        <v>71</v>
      </c>
      <c r="DB2" s="11" t="s">
        <v>58</v>
      </c>
      <c r="DC2" s="12" t="s">
        <v>72</v>
      </c>
      <c r="DD2" s="13" t="s">
        <v>70</v>
      </c>
      <c r="DE2" s="14" t="s">
        <v>71</v>
      </c>
      <c r="DF2" s="11" t="s">
        <v>58</v>
      </c>
      <c r="DG2" s="12" t="s">
        <v>72</v>
      </c>
      <c r="DH2" s="13" t="s">
        <v>70</v>
      </c>
      <c r="DI2" s="14" t="s">
        <v>71</v>
      </c>
      <c r="DJ2" s="11" t="s">
        <v>58</v>
      </c>
      <c r="DK2" s="12" t="s">
        <v>72</v>
      </c>
      <c r="DL2" s="13" t="s">
        <v>70</v>
      </c>
      <c r="DM2" s="14" t="s">
        <v>71</v>
      </c>
      <c r="DN2" s="11" t="s">
        <v>58</v>
      </c>
      <c r="DO2" s="12" t="s">
        <v>72</v>
      </c>
      <c r="DP2" s="13" t="s">
        <v>70</v>
      </c>
      <c r="DQ2" s="14" t="s">
        <v>71</v>
      </c>
      <c r="DR2" s="11" t="s">
        <v>58</v>
      </c>
      <c r="DS2" s="12" t="s">
        <v>72</v>
      </c>
      <c r="DT2" s="13" t="s">
        <v>70</v>
      </c>
      <c r="DU2" s="14" t="s">
        <v>71</v>
      </c>
      <c r="DV2" s="11" t="s">
        <v>58</v>
      </c>
      <c r="DW2" s="12" t="s">
        <v>72</v>
      </c>
      <c r="DX2" s="13" t="s">
        <v>70</v>
      </c>
      <c r="DY2" s="14" t="s">
        <v>71</v>
      </c>
      <c r="DZ2" s="11" t="s">
        <v>58</v>
      </c>
      <c r="EA2" s="12" t="s">
        <v>72</v>
      </c>
      <c r="EB2" s="13" t="s">
        <v>70</v>
      </c>
      <c r="EC2" s="14" t="s">
        <v>71</v>
      </c>
      <c r="ED2" s="11" t="s">
        <v>58</v>
      </c>
      <c r="EE2" s="12" t="s">
        <v>72</v>
      </c>
      <c r="EF2" s="13" t="s">
        <v>70</v>
      </c>
      <c r="EG2" s="14" t="s">
        <v>71</v>
      </c>
      <c r="EH2" s="11" t="s">
        <v>58</v>
      </c>
      <c r="EI2" s="12" t="s">
        <v>72</v>
      </c>
      <c r="EJ2" s="13" t="s">
        <v>70</v>
      </c>
      <c r="EK2" s="14" t="s">
        <v>71</v>
      </c>
    </row>
    <row r="3" spans="1:141" x14ac:dyDescent="0.35">
      <c r="A3" s="2" t="s">
        <v>0</v>
      </c>
      <c r="B3" s="1">
        <v>2.3636915516074901</v>
      </c>
      <c r="C3" s="1">
        <v>2.3929262161254878</v>
      </c>
      <c r="D3" s="1">
        <v>1.2</v>
      </c>
      <c r="E3">
        <v>2</v>
      </c>
      <c r="F3" s="1">
        <v>1.6246471032707099</v>
      </c>
      <c r="G3" s="1">
        <v>1.5644546747207639</v>
      </c>
      <c r="H3" s="1">
        <v>0.9</v>
      </c>
      <c r="I3">
        <v>2</v>
      </c>
      <c r="J3" s="1">
        <v>2.1190844516265601</v>
      </c>
      <c r="K3" s="1">
        <v>1.8797316551208501</v>
      </c>
      <c r="L3" s="1">
        <v>2.1</v>
      </c>
      <c r="M3">
        <v>1</v>
      </c>
      <c r="N3" s="1">
        <v>1.79942301813581</v>
      </c>
      <c r="O3" s="1">
        <v>1.073670029640198</v>
      </c>
      <c r="P3">
        <v>0.7</v>
      </c>
      <c r="Q3">
        <v>1</v>
      </c>
      <c r="R3">
        <v>1.2962552420814599</v>
      </c>
      <c r="S3">
        <v>0.68791991472244263</v>
      </c>
      <c r="T3">
        <v>0.7</v>
      </c>
      <c r="U3">
        <v>2</v>
      </c>
      <c r="V3">
        <v>2.7478846849555398</v>
      </c>
      <c r="W3">
        <v>1.9146132469177251</v>
      </c>
      <c r="X3">
        <v>4.4000000000000004</v>
      </c>
      <c r="Y3">
        <v>4</v>
      </c>
      <c r="Z3">
        <v>2.9154649286638099</v>
      </c>
      <c r="AA3">
        <v>1.8995140790939331</v>
      </c>
      <c r="AB3">
        <v>2.8</v>
      </c>
      <c r="AC3">
        <v>3</v>
      </c>
      <c r="AD3">
        <v>1.55595553521875</v>
      </c>
      <c r="AE3">
        <v>1.9421031475067141</v>
      </c>
      <c r="AF3">
        <v>0.7</v>
      </c>
      <c r="AG3">
        <v>0</v>
      </c>
      <c r="AH3">
        <v>1.4696538361889999</v>
      </c>
      <c r="AI3">
        <v>1.1463663578033449</v>
      </c>
      <c r="AJ3">
        <v>0.9</v>
      </c>
      <c r="AK3">
        <v>2</v>
      </c>
      <c r="AL3">
        <v>1.59361058588145</v>
      </c>
      <c r="AM3">
        <v>1.368282198905945</v>
      </c>
      <c r="AN3">
        <v>1.1000000000000001</v>
      </c>
      <c r="AO3">
        <v>0</v>
      </c>
      <c r="AP3">
        <v>1.49468765516827</v>
      </c>
      <c r="AQ3">
        <v>1.3238228559494021</v>
      </c>
      <c r="AR3">
        <v>1.5</v>
      </c>
      <c r="AS3">
        <v>1</v>
      </c>
      <c r="AT3">
        <v>2.01658754860693</v>
      </c>
      <c r="AU3">
        <v>2.0881586074829102</v>
      </c>
      <c r="AV3">
        <v>1.2</v>
      </c>
      <c r="AW3">
        <v>3</v>
      </c>
      <c r="AX3">
        <v>1.77616257528685</v>
      </c>
      <c r="AY3">
        <v>1.8834999799728389</v>
      </c>
      <c r="AZ3">
        <v>3.5</v>
      </c>
      <c r="BA3">
        <v>5</v>
      </c>
      <c r="BB3">
        <v>2.1077053564769201</v>
      </c>
      <c r="BC3">
        <v>2.135240793228149</v>
      </c>
      <c r="BD3">
        <v>2.1</v>
      </c>
      <c r="BE3">
        <v>2</v>
      </c>
      <c r="BF3">
        <v>1.5305941923050801</v>
      </c>
      <c r="BG3">
        <v>1.628772020339966</v>
      </c>
      <c r="BH3">
        <v>1.8</v>
      </c>
      <c r="BI3">
        <v>1</v>
      </c>
      <c r="BJ3">
        <v>1.86296983658699</v>
      </c>
      <c r="BK3">
        <v>2.0962879657745361</v>
      </c>
      <c r="BL3">
        <v>1.2</v>
      </c>
      <c r="BM3">
        <v>0</v>
      </c>
      <c r="BN3">
        <v>1.5693718103191101</v>
      </c>
      <c r="BO3">
        <v>1.554719805717468</v>
      </c>
      <c r="BP3">
        <v>2.5</v>
      </c>
      <c r="BQ3">
        <v>5</v>
      </c>
      <c r="BR3">
        <v>2.7427047618285298</v>
      </c>
      <c r="BS3">
        <v>1.2153360843658449</v>
      </c>
      <c r="BT3">
        <v>1.8</v>
      </c>
      <c r="BU3">
        <v>1</v>
      </c>
      <c r="BV3">
        <v>1.6667585396996001</v>
      </c>
      <c r="BW3">
        <v>1.6189684867858889</v>
      </c>
      <c r="BX3">
        <v>1.9</v>
      </c>
      <c r="BY3">
        <v>3</v>
      </c>
      <c r="BZ3">
        <v>1.65955396008032</v>
      </c>
      <c r="CA3">
        <v>1.6996386051177981</v>
      </c>
      <c r="CB3">
        <v>0.9</v>
      </c>
      <c r="CC3">
        <v>1</v>
      </c>
      <c r="CD3">
        <v>2.29768325185761</v>
      </c>
      <c r="CE3">
        <v>1.9883649349212651</v>
      </c>
      <c r="CF3">
        <v>1.4</v>
      </c>
      <c r="CG3">
        <v>2</v>
      </c>
      <c r="CH3">
        <v>2.0745118861663698</v>
      </c>
      <c r="CI3">
        <v>2.1270477771759029</v>
      </c>
      <c r="CJ3">
        <v>1.3</v>
      </c>
      <c r="CK3">
        <v>2</v>
      </c>
      <c r="CL3">
        <v>1.8511171991600599</v>
      </c>
      <c r="CM3">
        <v>1.4787852764129641</v>
      </c>
      <c r="CN3">
        <v>1</v>
      </c>
      <c r="CO3">
        <v>1</v>
      </c>
      <c r="CP3">
        <v>1.6551883186138101</v>
      </c>
      <c r="CQ3">
        <v>0.9388081431388855</v>
      </c>
      <c r="CR3">
        <v>1</v>
      </c>
      <c r="CS3">
        <v>5</v>
      </c>
      <c r="CT3">
        <v>2.15199677731658</v>
      </c>
      <c r="CU3">
        <v>1.31885290145874</v>
      </c>
      <c r="CV3">
        <v>1.4</v>
      </c>
      <c r="CW3">
        <v>2</v>
      </c>
      <c r="CX3">
        <v>2.2679819923837798</v>
      </c>
      <c r="CY3">
        <v>2.051314115524292</v>
      </c>
      <c r="CZ3">
        <v>1.2</v>
      </c>
      <c r="DA3">
        <v>0</v>
      </c>
      <c r="DB3">
        <v>1.57928385042441</v>
      </c>
      <c r="DC3">
        <v>1.24741530418396</v>
      </c>
      <c r="DD3">
        <v>1</v>
      </c>
      <c r="DE3">
        <v>0</v>
      </c>
      <c r="DF3">
        <v>1.6506424594540801</v>
      </c>
      <c r="DG3">
        <v>1.3694115877151489</v>
      </c>
      <c r="DH3">
        <v>1.6</v>
      </c>
      <c r="DI3">
        <v>1</v>
      </c>
      <c r="DJ3">
        <v>1.9085666668843699</v>
      </c>
      <c r="DK3">
        <v>2.213140726089478</v>
      </c>
      <c r="DL3">
        <v>0.7</v>
      </c>
      <c r="DM3">
        <v>1</v>
      </c>
      <c r="DN3">
        <v>1.9544157241543501</v>
      </c>
      <c r="DO3">
        <v>2.449286937713623</v>
      </c>
      <c r="DP3">
        <v>2.2000000000000002</v>
      </c>
      <c r="DQ3">
        <v>2</v>
      </c>
      <c r="DR3">
        <v>1.4589786487485199</v>
      </c>
      <c r="DS3">
        <v>1.393734455108643</v>
      </c>
      <c r="DT3">
        <v>1.8</v>
      </c>
      <c r="DU3">
        <v>1</v>
      </c>
      <c r="DV3">
        <v>2.1282839793424202</v>
      </c>
      <c r="DW3">
        <v>1.877512574195862</v>
      </c>
      <c r="DX3">
        <v>1</v>
      </c>
      <c r="DY3">
        <v>1</v>
      </c>
      <c r="DZ3">
        <v>2.1479401376995302</v>
      </c>
      <c r="EA3">
        <v>1.941145658493042</v>
      </c>
      <c r="EB3">
        <v>2.4</v>
      </c>
      <c r="EC3">
        <v>4</v>
      </c>
      <c r="ED3">
        <v>2.00393086459647</v>
      </c>
      <c r="EE3">
        <v>1.79546594619751</v>
      </c>
      <c r="EF3">
        <v>1.2</v>
      </c>
      <c r="EG3">
        <v>2</v>
      </c>
      <c r="EH3">
        <v>1.98679962292083</v>
      </c>
      <c r="EI3">
        <v>2.6410412788391109</v>
      </c>
      <c r="EJ3">
        <v>1.4</v>
      </c>
      <c r="EK3">
        <v>1</v>
      </c>
    </row>
    <row r="4" spans="1:141" x14ac:dyDescent="0.35">
      <c r="A4" s="2" t="s">
        <v>1</v>
      </c>
      <c r="B4" s="1">
        <v>1.5406797419007301</v>
      </c>
      <c r="C4" s="1">
        <v>1.348790764808655</v>
      </c>
      <c r="D4" s="1">
        <v>2</v>
      </c>
      <c r="E4">
        <v>2</v>
      </c>
      <c r="F4" s="1">
        <v>0.94913107620765103</v>
      </c>
      <c r="G4" s="1">
        <v>0.80629712343215942</v>
      </c>
      <c r="H4" s="1">
        <v>1.2</v>
      </c>
      <c r="I4">
        <v>0</v>
      </c>
      <c r="J4" s="1">
        <v>1.8666860148834299</v>
      </c>
      <c r="K4" s="1">
        <v>1.2507035732269289</v>
      </c>
      <c r="L4" s="1">
        <v>1.4</v>
      </c>
      <c r="M4">
        <v>2</v>
      </c>
      <c r="N4" s="1">
        <v>1.6159781356378</v>
      </c>
      <c r="O4" s="1">
        <v>1.5181658267974849</v>
      </c>
      <c r="P4">
        <v>2.1</v>
      </c>
      <c r="Q4">
        <v>3</v>
      </c>
      <c r="R4">
        <v>2.0503143914488899</v>
      </c>
      <c r="S4">
        <v>1.3640284538269041</v>
      </c>
      <c r="T4">
        <v>1.7</v>
      </c>
      <c r="U4">
        <v>3</v>
      </c>
      <c r="V4">
        <v>1.86316720271773</v>
      </c>
      <c r="W4">
        <v>2.1125979423522949</v>
      </c>
      <c r="X4">
        <v>0.8</v>
      </c>
      <c r="Y4">
        <v>2</v>
      </c>
      <c r="Z4">
        <v>1.82826673064835</v>
      </c>
      <c r="AA4">
        <v>1.5067237615585329</v>
      </c>
      <c r="AB4">
        <v>0.5</v>
      </c>
      <c r="AC4">
        <v>0</v>
      </c>
      <c r="AD4">
        <v>1.3276687044115301</v>
      </c>
      <c r="AE4">
        <v>1.2443475723266599</v>
      </c>
      <c r="AF4">
        <v>1.6</v>
      </c>
      <c r="AG4">
        <v>3</v>
      </c>
      <c r="AH4">
        <v>1.7233906247325199</v>
      </c>
      <c r="AI4">
        <v>1.6887505054473879</v>
      </c>
      <c r="AJ4">
        <v>1.8</v>
      </c>
      <c r="AK4">
        <v>1</v>
      </c>
      <c r="AL4">
        <v>1.56085632572456</v>
      </c>
      <c r="AM4">
        <v>1.2552366256713869</v>
      </c>
      <c r="AN4">
        <v>1.8</v>
      </c>
      <c r="AO4">
        <v>1</v>
      </c>
      <c r="AP4">
        <v>0.99836149520888495</v>
      </c>
      <c r="AQ4">
        <v>0.77909010648727417</v>
      </c>
      <c r="AR4">
        <v>1.2</v>
      </c>
      <c r="AS4">
        <v>0</v>
      </c>
      <c r="AT4">
        <v>1.7382506141110301</v>
      </c>
      <c r="AU4">
        <v>1.719778418540955</v>
      </c>
      <c r="AV4">
        <v>3</v>
      </c>
      <c r="AW4">
        <v>2</v>
      </c>
      <c r="AX4">
        <v>1.2965226397786001</v>
      </c>
      <c r="AY4">
        <v>1.160969614982605</v>
      </c>
      <c r="AZ4">
        <v>1.2</v>
      </c>
      <c r="BA4">
        <v>0</v>
      </c>
      <c r="BB4">
        <v>1.8461170489729399</v>
      </c>
      <c r="BC4">
        <v>1.495518684387207</v>
      </c>
      <c r="BD4">
        <v>2.4</v>
      </c>
      <c r="BE4">
        <v>3</v>
      </c>
      <c r="BF4">
        <v>2.5289339029615299</v>
      </c>
      <c r="BG4">
        <v>1.7913070917129521</v>
      </c>
      <c r="BH4">
        <v>2.2999999999999998</v>
      </c>
      <c r="BI4">
        <v>1</v>
      </c>
      <c r="BJ4">
        <v>1.36990310961085</v>
      </c>
      <c r="BK4">
        <v>1.2843655347824099</v>
      </c>
      <c r="BL4">
        <v>0.4</v>
      </c>
      <c r="BM4">
        <v>1</v>
      </c>
      <c r="BN4">
        <v>1.4357441976319001</v>
      </c>
      <c r="BO4">
        <v>1.1088523864746089</v>
      </c>
      <c r="BP4">
        <v>1.6</v>
      </c>
      <c r="BQ4">
        <v>2</v>
      </c>
      <c r="BR4">
        <v>1.3823304129406999</v>
      </c>
      <c r="BS4">
        <v>1.102280378341675</v>
      </c>
      <c r="BT4">
        <v>0.3</v>
      </c>
      <c r="BU4">
        <v>0</v>
      </c>
      <c r="BV4">
        <v>1.83813719049372</v>
      </c>
      <c r="BW4">
        <v>1.6938879489898679</v>
      </c>
      <c r="BX4">
        <v>1.8</v>
      </c>
      <c r="BY4">
        <v>2</v>
      </c>
      <c r="BZ4">
        <v>2.3835713724046599</v>
      </c>
      <c r="CA4">
        <v>1.4668112993240361</v>
      </c>
      <c r="CB4">
        <v>1.4</v>
      </c>
      <c r="CC4">
        <v>2</v>
      </c>
      <c r="CD4">
        <v>1.26554791732931</v>
      </c>
      <c r="CE4">
        <v>1.3621500730514531</v>
      </c>
      <c r="CF4">
        <v>1.2</v>
      </c>
      <c r="CG4">
        <v>1</v>
      </c>
      <c r="CH4">
        <v>0.74330885441902395</v>
      </c>
      <c r="CI4">
        <v>1.1020528078079219</v>
      </c>
      <c r="CJ4">
        <v>1</v>
      </c>
      <c r="CK4">
        <v>2</v>
      </c>
      <c r="CL4">
        <v>1.9672939624330401</v>
      </c>
      <c r="CM4">
        <v>1.566805243492126</v>
      </c>
      <c r="CN4">
        <v>0.9</v>
      </c>
      <c r="CO4">
        <v>1</v>
      </c>
      <c r="CP4">
        <v>1.60569691553676</v>
      </c>
      <c r="CQ4">
        <v>1.481817364692688</v>
      </c>
      <c r="CR4">
        <v>0.4</v>
      </c>
      <c r="CS4">
        <v>0</v>
      </c>
      <c r="CT4">
        <v>2.3790782011502798</v>
      </c>
      <c r="CU4">
        <v>2.2243728637695308</v>
      </c>
      <c r="CV4">
        <v>2.4</v>
      </c>
      <c r="CW4">
        <v>1</v>
      </c>
      <c r="CX4">
        <v>1.65552975873329</v>
      </c>
      <c r="CY4">
        <v>1.2669520378112791</v>
      </c>
      <c r="CZ4">
        <v>2.2999999999999998</v>
      </c>
      <c r="DA4">
        <v>2</v>
      </c>
      <c r="DB4">
        <v>1.36130520331351</v>
      </c>
      <c r="DC4">
        <v>1.133498072624207</v>
      </c>
      <c r="DD4">
        <v>0.4</v>
      </c>
      <c r="DE4">
        <v>1</v>
      </c>
      <c r="DF4">
        <v>1.44578044402297</v>
      </c>
      <c r="DG4">
        <v>1.0663843154907231</v>
      </c>
      <c r="DH4">
        <v>1.3</v>
      </c>
      <c r="DI4">
        <v>1</v>
      </c>
      <c r="DJ4">
        <v>1.2748077932322199</v>
      </c>
      <c r="DK4">
        <v>1.8818643093109131</v>
      </c>
      <c r="DL4">
        <v>0.6</v>
      </c>
      <c r="DM4">
        <v>2</v>
      </c>
      <c r="DN4">
        <v>1.43953104432118</v>
      </c>
      <c r="DO4">
        <v>1.092712879180908</v>
      </c>
      <c r="DP4">
        <v>1.2</v>
      </c>
      <c r="DQ4">
        <v>3</v>
      </c>
      <c r="DR4">
        <v>1.7492292806620899</v>
      </c>
      <c r="DS4">
        <v>1.7694170475006099</v>
      </c>
      <c r="DT4">
        <v>3</v>
      </c>
      <c r="DU4">
        <v>2</v>
      </c>
      <c r="DV4">
        <v>1.98052619857587</v>
      </c>
      <c r="DW4">
        <v>1.516769647598267</v>
      </c>
      <c r="DX4">
        <v>3</v>
      </c>
      <c r="DY4">
        <v>3</v>
      </c>
      <c r="DZ4">
        <v>1.7650977042839899</v>
      </c>
      <c r="EA4">
        <v>1.3514530658721919</v>
      </c>
      <c r="EB4">
        <v>2.2000000000000002</v>
      </c>
      <c r="EC4">
        <v>4</v>
      </c>
      <c r="ED4">
        <v>1.1243983065485901</v>
      </c>
      <c r="EE4">
        <v>0.5906720757484436</v>
      </c>
      <c r="EF4">
        <v>1.8</v>
      </c>
      <c r="EG4">
        <v>1</v>
      </c>
      <c r="EH4">
        <v>1.69530016866308</v>
      </c>
      <c r="EI4">
        <v>1.7497026920318599</v>
      </c>
      <c r="EJ4">
        <v>1</v>
      </c>
      <c r="EK4">
        <v>1</v>
      </c>
    </row>
    <row r="5" spans="1:141" x14ac:dyDescent="0.35">
      <c r="A5" s="2" t="s">
        <v>2</v>
      </c>
      <c r="B5" s="1">
        <v>1.3469382534846599</v>
      </c>
      <c r="C5" s="1">
        <v>1.3064602613449099</v>
      </c>
      <c r="D5" s="1">
        <v>1.2</v>
      </c>
      <c r="E5">
        <v>1</v>
      </c>
      <c r="F5" s="1">
        <v>1.7355078635549901</v>
      </c>
      <c r="G5" s="1">
        <v>1.360747337341309</v>
      </c>
      <c r="H5" s="1">
        <v>2.2000000000000002</v>
      </c>
      <c r="I5">
        <v>1</v>
      </c>
      <c r="J5" s="1">
        <v>1.2443324564413401</v>
      </c>
      <c r="K5" s="1">
        <v>1.1341450214385991</v>
      </c>
      <c r="L5" s="1">
        <v>2.4</v>
      </c>
      <c r="M5">
        <v>3</v>
      </c>
      <c r="N5" s="1">
        <v>1.6277766990787801</v>
      </c>
      <c r="O5" s="1">
        <v>1.2589104175567629</v>
      </c>
      <c r="P5">
        <v>1.7</v>
      </c>
      <c r="Q5">
        <v>0</v>
      </c>
      <c r="R5">
        <v>0.98162510857062701</v>
      </c>
      <c r="S5">
        <v>0.74219685792922974</v>
      </c>
      <c r="T5">
        <v>1.1000000000000001</v>
      </c>
      <c r="U5">
        <v>0</v>
      </c>
      <c r="V5">
        <v>2.4865392234935402</v>
      </c>
      <c r="W5">
        <v>1.5606386661529541</v>
      </c>
      <c r="X5">
        <v>1.3</v>
      </c>
      <c r="Y5">
        <v>3</v>
      </c>
      <c r="Z5">
        <v>1.8353931625175901</v>
      </c>
      <c r="AA5">
        <v>1.011543750762939</v>
      </c>
      <c r="AB5">
        <v>2.1</v>
      </c>
      <c r="AC5">
        <v>0</v>
      </c>
      <c r="AD5">
        <v>0.93321998114035498</v>
      </c>
      <c r="AE5">
        <v>0.77833092212677002</v>
      </c>
      <c r="AF5">
        <v>1.8</v>
      </c>
      <c r="AG5">
        <v>2</v>
      </c>
      <c r="AH5">
        <v>1.38562762559769</v>
      </c>
      <c r="AI5">
        <v>1.1624013185501101</v>
      </c>
      <c r="AJ5">
        <v>0.3</v>
      </c>
      <c r="AK5">
        <v>1</v>
      </c>
      <c r="AL5">
        <v>1.41167559109958</v>
      </c>
      <c r="AM5">
        <v>0.74216264486312866</v>
      </c>
      <c r="AN5">
        <v>2</v>
      </c>
      <c r="AO5">
        <v>2</v>
      </c>
      <c r="AP5">
        <v>1.4215435913184999</v>
      </c>
      <c r="AQ5">
        <v>1.1334570646286011</v>
      </c>
      <c r="AR5">
        <v>2.6</v>
      </c>
      <c r="AS5">
        <v>2</v>
      </c>
      <c r="AT5">
        <v>1.8073229264602</v>
      </c>
      <c r="AU5">
        <v>1.578647255897522</v>
      </c>
      <c r="AV5">
        <v>1.6</v>
      </c>
      <c r="AW5">
        <v>1</v>
      </c>
      <c r="AX5">
        <v>1.57877924640464</v>
      </c>
      <c r="AY5">
        <v>1.1879914999008181</v>
      </c>
      <c r="AZ5">
        <v>3.3</v>
      </c>
      <c r="BA5">
        <v>4</v>
      </c>
      <c r="BB5">
        <v>1.9596461177554301</v>
      </c>
      <c r="BC5">
        <v>0.9848819375038147</v>
      </c>
      <c r="BD5">
        <v>3.5</v>
      </c>
      <c r="BE5">
        <v>1</v>
      </c>
      <c r="BF5">
        <v>1.83193333920632</v>
      </c>
      <c r="BG5">
        <v>1.4507541656494141</v>
      </c>
      <c r="BH5">
        <v>3.2</v>
      </c>
      <c r="BI5">
        <v>2</v>
      </c>
      <c r="BJ5">
        <v>1.93431453309367</v>
      </c>
      <c r="BK5">
        <v>1.5136972665786741</v>
      </c>
      <c r="BL5">
        <v>1.9</v>
      </c>
      <c r="BM5">
        <v>1</v>
      </c>
      <c r="BN5">
        <v>1.40779852264507</v>
      </c>
      <c r="BO5">
        <v>0.96253538131713867</v>
      </c>
      <c r="BP5">
        <v>1.6</v>
      </c>
      <c r="BQ5">
        <v>3</v>
      </c>
      <c r="BR5">
        <v>1.7091108340898999</v>
      </c>
      <c r="BS5">
        <v>1.6594066619873049</v>
      </c>
      <c r="BT5">
        <v>1.4</v>
      </c>
      <c r="BU5">
        <v>0</v>
      </c>
      <c r="BV5">
        <v>1.3054118597002899</v>
      </c>
      <c r="BW5">
        <v>1.122737050056458</v>
      </c>
      <c r="BX5">
        <v>2</v>
      </c>
      <c r="BY5">
        <v>2</v>
      </c>
      <c r="BZ5">
        <v>1.58888811362995</v>
      </c>
      <c r="CA5">
        <v>1.799859881401062</v>
      </c>
      <c r="CB5">
        <v>1.8</v>
      </c>
      <c r="CC5">
        <v>1</v>
      </c>
      <c r="CD5">
        <v>1.2747879231566901</v>
      </c>
      <c r="CE5">
        <v>0.88975679874420166</v>
      </c>
      <c r="CF5">
        <v>1.2</v>
      </c>
      <c r="CG5">
        <v>2</v>
      </c>
      <c r="CH5">
        <v>1.3591572273122301</v>
      </c>
      <c r="CI5">
        <v>1.1858257055282591</v>
      </c>
      <c r="CJ5">
        <v>2</v>
      </c>
      <c r="CK5">
        <v>4</v>
      </c>
      <c r="CL5">
        <v>1.7199054558745599</v>
      </c>
      <c r="CM5">
        <v>1.586115717887878</v>
      </c>
      <c r="CN5">
        <v>1.7</v>
      </c>
      <c r="CO5">
        <v>5</v>
      </c>
      <c r="CP5">
        <v>1.2534371011338299</v>
      </c>
      <c r="CQ5">
        <v>1.6863557100296021</v>
      </c>
      <c r="CR5">
        <v>1.6</v>
      </c>
      <c r="CS5">
        <v>0</v>
      </c>
      <c r="CT5">
        <v>1.9473249459578199</v>
      </c>
      <c r="CU5">
        <v>1.69713819026947</v>
      </c>
      <c r="CV5">
        <v>1.2</v>
      </c>
      <c r="CW5">
        <v>3</v>
      </c>
      <c r="CX5">
        <v>2.0159432197340901</v>
      </c>
      <c r="CY5">
        <v>0.99130308628082275</v>
      </c>
      <c r="CZ5">
        <v>0.9</v>
      </c>
      <c r="DA5">
        <v>0</v>
      </c>
      <c r="DB5">
        <v>1.41539895564273</v>
      </c>
      <c r="DC5">
        <v>1.1231627464294429</v>
      </c>
      <c r="DD5">
        <v>1.5</v>
      </c>
      <c r="DE5">
        <v>1</v>
      </c>
      <c r="DF5">
        <v>1.5346903577065001</v>
      </c>
      <c r="DG5">
        <v>1.282966256141663</v>
      </c>
      <c r="DH5">
        <v>2.2000000000000002</v>
      </c>
      <c r="DI5">
        <v>2</v>
      </c>
      <c r="DJ5">
        <v>1.81516901175459</v>
      </c>
      <c r="DK5">
        <v>1.26953649520874</v>
      </c>
      <c r="DL5">
        <v>1.6</v>
      </c>
      <c r="DM5">
        <v>1</v>
      </c>
      <c r="DN5">
        <v>2.33919568083255</v>
      </c>
      <c r="DO5">
        <v>2.65944504737854</v>
      </c>
      <c r="DP5">
        <v>1.8</v>
      </c>
      <c r="DQ5">
        <v>1</v>
      </c>
      <c r="DR5">
        <v>1.51485201119404</v>
      </c>
      <c r="DS5">
        <v>1.1781038045883181</v>
      </c>
      <c r="DT5">
        <v>2.1</v>
      </c>
      <c r="DU5">
        <v>2</v>
      </c>
      <c r="DV5">
        <v>1.6668804036513001</v>
      </c>
      <c r="DW5">
        <v>1.46902072429657</v>
      </c>
      <c r="DX5">
        <v>1.4</v>
      </c>
      <c r="DY5">
        <v>1</v>
      </c>
      <c r="DZ5">
        <v>1.3384844812357199</v>
      </c>
      <c r="EA5">
        <v>1.073251366615295</v>
      </c>
      <c r="EB5">
        <v>0.7</v>
      </c>
      <c r="EC5">
        <v>0</v>
      </c>
      <c r="ED5">
        <v>1.7976179335655</v>
      </c>
      <c r="EE5">
        <v>1.578492999076843</v>
      </c>
      <c r="EF5">
        <v>0.5</v>
      </c>
      <c r="EG5">
        <v>1</v>
      </c>
      <c r="EH5">
        <v>0.73084813308822505</v>
      </c>
      <c r="EI5">
        <v>0.7648504376411438</v>
      </c>
      <c r="EJ5">
        <v>0.9</v>
      </c>
      <c r="EK5">
        <v>2</v>
      </c>
    </row>
    <row r="6" spans="1:141" x14ac:dyDescent="0.35">
      <c r="A6" s="2" t="s">
        <v>3</v>
      </c>
      <c r="B6" s="1">
        <v>1.56166291833548</v>
      </c>
      <c r="C6" s="1">
        <v>1.270194530487061</v>
      </c>
      <c r="D6" s="1">
        <v>1.6</v>
      </c>
      <c r="E6">
        <v>2</v>
      </c>
      <c r="F6" s="1">
        <v>0.89693863100346505</v>
      </c>
      <c r="G6" s="1">
        <v>0.72787696123123169</v>
      </c>
      <c r="H6" s="1">
        <v>0.5</v>
      </c>
      <c r="I6">
        <v>0</v>
      </c>
      <c r="J6" s="1">
        <v>2.27202123049224</v>
      </c>
      <c r="K6" s="1">
        <v>2.1938643455505371</v>
      </c>
      <c r="L6" s="1">
        <v>2.8</v>
      </c>
      <c r="M6">
        <v>3</v>
      </c>
      <c r="N6" s="1">
        <v>1.01017144853659</v>
      </c>
      <c r="O6" s="1">
        <v>0.66743969917297363</v>
      </c>
      <c r="P6">
        <v>1</v>
      </c>
      <c r="Q6">
        <v>1</v>
      </c>
      <c r="R6">
        <v>1.4022899948636001</v>
      </c>
      <c r="S6">
        <v>1.153160452842712</v>
      </c>
      <c r="T6">
        <v>0.8</v>
      </c>
      <c r="U6">
        <v>1</v>
      </c>
      <c r="V6">
        <v>1.76743790892785</v>
      </c>
      <c r="W6">
        <v>1.5154522657394409</v>
      </c>
      <c r="X6">
        <v>0.4</v>
      </c>
      <c r="Y6">
        <v>1</v>
      </c>
      <c r="Z6">
        <v>1.8420243491142501</v>
      </c>
      <c r="AA6">
        <v>1.539165854454041</v>
      </c>
      <c r="AB6">
        <v>4.2</v>
      </c>
      <c r="AC6">
        <v>5</v>
      </c>
      <c r="AD6">
        <v>1.28634533551066</v>
      </c>
      <c r="AE6">
        <v>1.221028685569763</v>
      </c>
      <c r="AF6">
        <v>0.9</v>
      </c>
      <c r="AG6">
        <v>1</v>
      </c>
      <c r="AH6">
        <v>2.1373892673449402</v>
      </c>
      <c r="AI6">
        <v>2.3335199356079102</v>
      </c>
      <c r="AJ6">
        <v>4</v>
      </c>
      <c r="AK6">
        <v>4</v>
      </c>
      <c r="AL6">
        <v>1.1927917451502501</v>
      </c>
      <c r="AM6">
        <v>1.7355693578720091</v>
      </c>
      <c r="AN6">
        <v>0.6</v>
      </c>
      <c r="AO6">
        <v>1</v>
      </c>
      <c r="AP6">
        <v>1.54831254515517</v>
      </c>
      <c r="AQ6">
        <v>1.948560357093811</v>
      </c>
      <c r="AR6">
        <v>1.5</v>
      </c>
      <c r="AS6">
        <v>3</v>
      </c>
      <c r="AT6">
        <v>1.13698176651048</v>
      </c>
      <c r="AU6">
        <v>1.169450044631958</v>
      </c>
      <c r="AV6">
        <v>1.1000000000000001</v>
      </c>
      <c r="AW6">
        <v>0</v>
      </c>
      <c r="AX6">
        <v>2.1414259803923801</v>
      </c>
      <c r="AY6">
        <v>1.244113445281982</v>
      </c>
      <c r="AZ6">
        <v>2.4</v>
      </c>
      <c r="BA6">
        <v>4</v>
      </c>
      <c r="BB6">
        <v>1.26608715968348</v>
      </c>
      <c r="BC6">
        <v>1.066195487976074</v>
      </c>
      <c r="BD6">
        <v>0.9</v>
      </c>
      <c r="BE6">
        <v>1</v>
      </c>
      <c r="BF6">
        <v>1.5857826309062399</v>
      </c>
      <c r="BG6">
        <v>1.6434023380279541</v>
      </c>
      <c r="BH6">
        <v>1.2</v>
      </c>
      <c r="BI6">
        <v>4</v>
      </c>
      <c r="BJ6">
        <v>1.1648097880063999</v>
      </c>
      <c r="BK6">
        <v>1.3247169256210329</v>
      </c>
      <c r="BL6">
        <v>1.6</v>
      </c>
      <c r="BM6">
        <v>1</v>
      </c>
      <c r="BN6">
        <v>1.57152626963038</v>
      </c>
      <c r="BO6">
        <v>1.570867776870728</v>
      </c>
      <c r="BP6">
        <v>0.7</v>
      </c>
      <c r="BQ6">
        <v>0</v>
      </c>
      <c r="BR6">
        <v>1.2932900661501201</v>
      </c>
      <c r="BS6">
        <v>1.1595005989074709</v>
      </c>
      <c r="BT6">
        <v>1.1000000000000001</v>
      </c>
      <c r="BU6">
        <v>0</v>
      </c>
      <c r="BV6">
        <v>0.85270949673236196</v>
      </c>
      <c r="BW6">
        <v>0.94255262613296509</v>
      </c>
      <c r="BX6">
        <v>0.3</v>
      </c>
      <c r="BY6">
        <v>1</v>
      </c>
      <c r="BZ6">
        <v>1.77932589121485</v>
      </c>
      <c r="CA6">
        <v>1.533316493034363</v>
      </c>
      <c r="CB6">
        <v>4.4000000000000004</v>
      </c>
      <c r="CC6">
        <v>5</v>
      </c>
      <c r="CD6">
        <v>1.28988792263637</v>
      </c>
      <c r="CE6">
        <v>0.99423658847808838</v>
      </c>
      <c r="CF6">
        <v>2.5</v>
      </c>
      <c r="CG6">
        <v>2</v>
      </c>
      <c r="CH6">
        <v>1.1453009379283201</v>
      </c>
      <c r="CI6">
        <v>1.485055804252625</v>
      </c>
      <c r="CJ6">
        <v>0.7</v>
      </c>
      <c r="CK6">
        <v>0</v>
      </c>
      <c r="CL6">
        <v>1.2230111350422701</v>
      </c>
      <c r="CM6">
        <v>1.201058149337769</v>
      </c>
      <c r="CN6">
        <v>1.3</v>
      </c>
      <c r="CO6">
        <v>2</v>
      </c>
      <c r="CP6">
        <v>1.79058409444133</v>
      </c>
      <c r="CQ6">
        <v>1.614291191101074</v>
      </c>
      <c r="CR6">
        <v>2.1</v>
      </c>
      <c r="CS6">
        <v>0</v>
      </c>
      <c r="CT6">
        <v>1.3841631364459701</v>
      </c>
      <c r="CU6">
        <v>1.321176171302795</v>
      </c>
      <c r="CV6">
        <v>1.6</v>
      </c>
      <c r="CW6">
        <v>1</v>
      </c>
      <c r="CX6">
        <v>1.6770506542347701</v>
      </c>
      <c r="CY6">
        <v>1.3359237909317021</v>
      </c>
      <c r="CZ6">
        <v>1.5</v>
      </c>
      <c r="DA6">
        <v>4</v>
      </c>
      <c r="DB6">
        <v>1.45181201765723</v>
      </c>
      <c r="DC6">
        <v>1.5667986869812009</v>
      </c>
      <c r="DD6">
        <v>1.4</v>
      </c>
      <c r="DE6">
        <v>1</v>
      </c>
      <c r="DF6">
        <v>1.61666669419984</v>
      </c>
      <c r="DG6">
        <v>1.6016737222671511</v>
      </c>
      <c r="DH6">
        <v>0.8</v>
      </c>
      <c r="DI6">
        <v>0</v>
      </c>
      <c r="DJ6">
        <v>1.2125558345643099</v>
      </c>
      <c r="DK6">
        <v>0.95380574464797974</v>
      </c>
      <c r="DL6">
        <v>0.8</v>
      </c>
      <c r="DM6">
        <v>2</v>
      </c>
      <c r="DN6">
        <v>1.2419004079460001</v>
      </c>
      <c r="DO6">
        <v>1.153110146522522</v>
      </c>
      <c r="DP6">
        <v>1.5</v>
      </c>
      <c r="DQ6">
        <v>1</v>
      </c>
      <c r="DR6">
        <v>1.4873456183053799</v>
      </c>
      <c r="DS6">
        <v>1.746267437934875</v>
      </c>
      <c r="DT6">
        <v>1.1000000000000001</v>
      </c>
      <c r="DU6">
        <v>0</v>
      </c>
      <c r="DV6">
        <v>0.66779661424728798</v>
      </c>
      <c r="DW6">
        <v>0.99331188201904297</v>
      </c>
      <c r="DX6">
        <v>0.2</v>
      </c>
      <c r="DY6">
        <v>1</v>
      </c>
      <c r="DZ6">
        <v>1.6514020854670799</v>
      </c>
      <c r="EA6">
        <v>1.27821946144104</v>
      </c>
      <c r="EB6">
        <v>2.1</v>
      </c>
      <c r="EC6">
        <v>4</v>
      </c>
      <c r="ED6">
        <v>1.23073558589583</v>
      </c>
      <c r="EE6">
        <v>1.571117162704468</v>
      </c>
      <c r="EF6">
        <v>1.3</v>
      </c>
      <c r="EG6">
        <v>2</v>
      </c>
      <c r="EH6">
        <v>1.6425343589135699</v>
      </c>
      <c r="EI6">
        <v>1.358351349830627</v>
      </c>
      <c r="EJ6">
        <v>2.8</v>
      </c>
      <c r="EK6">
        <v>4</v>
      </c>
    </row>
    <row r="7" spans="1:141" x14ac:dyDescent="0.35">
      <c r="A7" s="2" t="s">
        <v>4</v>
      </c>
      <c r="B7" s="1">
        <v>1.2284443141463099</v>
      </c>
      <c r="C7" s="1">
        <v>1.3786683082580571</v>
      </c>
      <c r="D7" s="1">
        <v>1.4</v>
      </c>
      <c r="E7">
        <v>0</v>
      </c>
      <c r="F7" s="1">
        <v>1.77466521753471</v>
      </c>
      <c r="G7" s="1">
        <v>2.1739742755889888</v>
      </c>
      <c r="H7" s="1">
        <v>2.1</v>
      </c>
      <c r="I7">
        <v>2</v>
      </c>
      <c r="J7" s="1">
        <v>0.72151636722898704</v>
      </c>
      <c r="K7" s="1">
        <v>0.95240509510040283</v>
      </c>
      <c r="L7" s="1">
        <v>1.7</v>
      </c>
      <c r="M7">
        <v>1</v>
      </c>
      <c r="N7" s="1">
        <v>2.3093278801169199</v>
      </c>
      <c r="O7" s="1">
        <v>1.8747144937515261</v>
      </c>
      <c r="P7">
        <v>1.6</v>
      </c>
      <c r="Q7">
        <v>2</v>
      </c>
      <c r="R7">
        <v>1.6979450043284501</v>
      </c>
      <c r="S7">
        <v>1.4708948135375981</v>
      </c>
      <c r="T7">
        <v>1</v>
      </c>
      <c r="U7">
        <v>1</v>
      </c>
      <c r="V7">
        <v>1.2585109130905701</v>
      </c>
      <c r="W7">
        <v>1.3284568786621089</v>
      </c>
      <c r="X7">
        <v>1.1000000000000001</v>
      </c>
      <c r="Y7">
        <v>0</v>
      </c>
      <c r="Z7">
        <v>1.9346245600474199</v>
      </c>
      <c r="AA7">
        <v>1.711880564689636</v>
      </c>
      <c r="AB7">
        <v>1.8</v>
      </c>
      <c r="AC7">
        <v>0</v>
      </c>
      <c r="AD7">
        <v>1.3418029556969</v>
      </c>
      <c r="AE7">
        <v>1.2294918298721309</v>
      </c>
      <c r="AF7">
        <v>1.1000000000000001</v>
      </c>
      <c r="AG7">
        <v>1</v>
      </c>
      <c r="AH7">
        <v>1.99020283775817</v>
      </c>
      <c r="AI7">
        <v>2.0287826061248779</v>
      </c>
      <c r="AJ7">
        <v>1.3</v>
      </c>
      <c r="AK7">
        <v>0</v>
      </c>
      <c r="AL7">
        <v>0.96909132041408697</v>
      </c>
      <c r="AM7">
        <v>0.9369317889213562</v>
      </c>
      <c r="AN7">
        <v>1</v>
      </c>
      <c r="AO7">
        <v>1</v>
      </c>
      <c r="AP7">
        <v>1.39365074368062</v>
      </c>
      <c r="AQ7">
        <v>1.201663136482239</v>
      </c>
      <c r="AR7">
        <v>2.2999999999999998</v>
      </c>
      <c r="AS7">
        <v>0</v>
      </c>
      <c r="AT7">
        <v>1.3100978084521799</v>
      </c>
      <c r="AU7">
        <v>1.3298487663269041</v>
      </c>
      <c r="AV7">
        <v>0.9</v>
      </c>
      <c r="AW7">
        <v>1</v>
      </c>
      <c r="AX7">
        <v>2.4547900805691398</v>
      </c>
      <c r="AY7">
        <v>2.0291697978973389</v>
      </c>
      <c r="AZ7">
        <v>1.7</v>
      </c>
      <c r="BA7">
        <v>1</v>
      </c>
      <c r="BB7">
        <v>1.2887438307718699</v>
      </c>
      <c r="BC7">
        <v>1.179579019546509</v>
      </c>
      <c r="BD7">
        <v>1.4</v>
      </c>
      <c r="BE7">
        <v>5</v>
      </c>
      <c r="BF7">
        <v>1.81195811701793</v>
      </c>
      <c r="BG7">
        <v>1.3290801048278811</v>
      </c>
      <c r="BH7">
        <v>1.5</v>
      </c>
      <c r="BI7">
        <v>0</v>
      </c>
      <c r="BJ7">
        <v>1.68728821265989</v>
      </c>
      <c r="BK7">
        <v>1.767544627189636</v>
      </c>
      <c r="BL7">
        <v>1</v>
      </c>
      <c r="BM7">
        <v>1</v>
      </c>
      <c r="BN7">
        <v>1.49550976532947</v>
      </c>
      <c r="BO7">
        <v>1.4917494058609011</v>
      </c>
      <c r="BP7">
        <v>0.9</v>
      </c>
      <c r="BQ7">
        <v>0</v>
      </c>
      <c r="BR7">
        <v>1.79199219642763</v>
      </c>
      <c r="BS7">
        <v>2.191407442092896</v>
      </c>
      <c r="BT7">
        <v>1.3</v>
      </c>
      <c r="BU7">
        <v>2</v>
      </c>
      <c r="BV7">
        <v>1.3679353691838601</v>
      </c>
      <c r="BW7">
        <v>1.228216171264648</v>
      </c>
      <c r="BX7">
        <v>1.1000000000000001</v>
      </c>
      <c r="BY7">
        <v>0</v>
      </c>
      <c r="BZ7">
        <v>0.92130424931469301</v>
      </c>
      <c r="CA7">
        <v>0.94272845983505249</v>
      </c>
      <c r="CB7">
        <v>1.5</v>
      </c>
      <c r="CC7">
        <v>2</v>
      </c>
      <c r="CD7">
        <v>1.8085424701362001</v>
      </c>
      <c r="CE7">
        <v>1.086585164070129</v>
      </c>
      <c r="CF7">
        <v>1</v>
      </c>
      <c r="CG7">
        <v>1</v>
      </c>
      <c r="CH7">
        <v>1.38982317921115</v>
      </c>
      <c r="CI7">
        <v>1.2968790531158449</v>
      </c>
      <c r="CJ7">
        <v>1.9</v>
      </c>
      <c r="CK7">
        <v>1</v>
      </c>
      <c r="CL7">
        <v>1.5686005447334299</v>
      </c>
      <c r="CM7">
        <v>1.731486439704895</v>
      </c>
      <c r="CN7">
        <v>0.7</v>
      </c>
      <c r="CO7">
        <v>2</v>
      </c>
      <c r="CP7">
        <v>1.32973999869093</v>
      </c>
      <c r="CQ7">
        <v>1.4491754770278931</v>
      </c>
      <c r="CR7">
        <v>0.9</v>
      </c>
      <c r="CS7">
        <v>1</v>
      </c>
      <c r="CT7">
        <v>1.6069925849253499</v>
      </c>
      <c r="CU7">
        <v>1.405316233634949</v>
      </c>
      <c r="CV7">
        <v>1.4</v>
      </c>
      <c r="CW7">
        <v>0</v>
      </c>
      <c r="CX7">
        <v>1.92246070997661</v>
      </c>
      <c r="CY7">
        <v>1.1777669191360469</v>
      </c>
      <c r="CZ7">
        <v>3.9</v>
      </c>
      <c r="DA7">
        <v>0</v>
      </c>
      <c r="DB7">
        <v>1.67286389161259</v>
      </c>
      <c r="DC7">
        <v>1.772046685218811</v>
      </c>
      <c r="DD7">
        <v>2.4</v>
      </c>
      <c r="DE7">
        <v>0</v>
      </c>
      <c r="DF7">
        <v>1.6455969975125999</v>
      </c>
      <c r="DG7">
        <v>1.7778778076171879</v>
      </c>
      <c r="DH7">
        <v>1.5</v>
      </c>
      <c r="DI7">
        <v>2</v>
      </c>
      <c r="DJ7">
        <v>1.0914329576949</v>
      </c>
      <c r="DK7">
        <v>0.3864617645740509</v>
      </c>
      <c r="DL7">
        <v>2</v>
      </c>
      <c r="DM7">
        <v>2</v>
      </c>
      <c r="DN7">
        <v>1.7467166729108701</v>
      </c>
      <c r="DO7">
        <v>2.0624582767486568</v>
      </c>
      <c r="DP7">
        <v>0.9</v>
      </c>
      <c r="DQ7">
        <v>2</v>
      </c>
      <c r="DR7">
        <v>1.3213941676402901</v>
      </c>
      <c r="DS7">
        <v>1.564889550209045</v>
      </c>
      <c r="DT7">
        <v>1</v>
      </c>
      <c r="DU7">
        <v>1</v>
      </c>
      <c r="DV7">
        <v>2.3136893196202002</v>
      </c>
      <c r="DW7">
        <v>1.326916575431824</v>
      </c>
      <c r="DX7">
        <v>3.8</v>
      </c>
      <c r="DY7">
        <v>0</v>
      </c>
      <c r="DZ7">
        <v>1.40339274526402</v>
      </c>
      <c r="EA7">
        <v>1.307400107383728</v>
      </c>
      <c r="EB7">
        <v>1.4</v>
      </c>
      <c r="EC7">
        <v>1</v>
      </c>
      <c r="ED7">
        <v>1.9096164193492</v>
      </c>
      <c r="EE7">
        <v>1.33961009979248</v>
      </c>
      <c r="EF7">
        <v>1.3</v>
      </c>
      <c r="EG7">
        <v>4</v>
      </c>
      <c r="EH7">
        <v>1.71334819412937</v>
      </c>
      <c r="EI7">
        <v>1.4878247976303101</v>
      </c>
      <c r="EJ7">
        <v>0.7</v>
      </c>
      <c r="EK7">
        <v>1</v>
      </c>
    </row>
    <row r="8" spans="1:141" x14ac:dyDescent="0.35">
      <c r="A8" s="2" t="s">
        <v>5</v>
      </c>
      <c r="B8" s="1">
        <v>1.56486801234783</v>
      </c>
      <c r="C8" s="1">
        <v>1.358801960945129</v>
      </c>
      <c r="D8" s="1">
        <v>1</v>
      </c>
      <c r="E8">
        <v>0</v>
      </c>
      <c r="F8" s="1">
        <v>1.7501054469128099</v>
      </c>
      <c r="G8" s="1">
        <v>1.311506986618042</v>
      </c>
      <c r="H8" s="1">
        <v>1.6</v>
      </c>
      <c r="I8">
        <v>6</v>
      </c>
      <c r="J8" s="1">
        <v>1.89458037716807</v>
      </c>
      <c r="K8" s="1">
        <v>1.8937902450561519</v>
      </c>
      <c r="L8" s="1">
        <v>2.4</v>
      </c>
      <c r="M8">
        <v>1</v>
      </c>
      <c r="N8" s="1">
        <v>1.4710501628832899</v>
      </c>
      <c r="O8" s="1">
        <v>1.472344756126404</v>
      </c>
      <c r="P8">
        <v>0.8</v>
      </c>
      <c r="Q8">
        <v>1</v>
      </c>
      <c r="R8">
        <v>1.67924094650661</v>
      </c>
      <c r="S8">
        <v>1.7437634468078611</v>
      </c>
      <c r="T8">
        <v>2.2000000000000002</v>
      </c>
      <c r="U8">
        <v>3</v>
      </c>
      <c r="V8">
        <v>2.0034502639501501</v>
      </c>
      <c r="W8">
        <v>1.4372497797012329</v>
      </c>
      <c r="X8">
        <v>4.2</v>
      </c>
      <c r="Y8">
        <v>4</v>
      </c>
      <c r="Z8">
        <v>1.9065464113211801</v>
      </c>
      <c r="AA8">
        <v>2.129759550094604</v>
      </c>
      <c r="AB8">
        <v>2.2999999999999998</v>
      </c>
      <c r="AC8">
        <v>1</v>
      </c>
      <c r="AD8">
        <v>1.0881492477482899</v>
      </c>
      <c r="AE8">
        <v>0.87258529663085938</v>
      </c>
      <c r="AF8">
        <v>1</v>
      </c>
      <c r="AG8">
        <v>1</v>
      </c>
      <c r="AH8">
        <v>1.92384196339323</v>
      </c>
      <c r="AI8">
        <v>1.88089382648468</v>
      </c>
      <c r="AJ8">
        <v>1.6</v>
      </c>
      <c r="AK8">
        <v>2</v>
      </c>
      <c r="AL8">
        <v>1.56057021160353</v>
      </c>
      <c r="AM8">
        <v>1.605970144271851</v>
      </c>
      <c r="AN8">
        <v>1.1000000000000001</v>
      </c>
      <c r="AO8">
        <v>1</v>
      </c>
      <c r="AP8">
        <v>1.0344912855175701</v>
      </c>
      <c r="AQ8">
        <v>1.1261695623397829</v>
      </c>
      <c r="AR8">
        <v>1.5</v>
      </c>
      <c r="AS8">
        <v>1</v>
      </c>
      <c r="AT8">
        <v>2.0345666300488499</v>
      </c>
      <c r="AU8">
        <v>1.4159901142120359</v>
      </c>
      <c r="AV8">
        <v>2.7</v>
      </c>
      <c r="AW8">
        <v>2</v>
      </c>
      <c r="AX8">
        <v>1.96130993397528</v>
      </c>
      <c r="AY8">
        <v>1.6230317354202271</v>
      </c>
      <c r="AZ8">
        <v>1.6</v>
      </c>
      <c r="BA8">
        <v>3</v>
      </c>
      <c r="BB8">
        <v>2.1586450433720099</v>
      </c>
      <c r="BC8">
        <v>2.0954303741455078</v>
      </c>
      <c r="BD8">
        <v>5.2</v>
      </c>
      <c r="BE8">
        <v>5</v>
      </c>
      <c r="BF8">
        <v>1.70123211364936</v>
      </c>
      <c r="BG8">
        <v>2.3697092533111568</v>
      </c>
      <c r="BH8">
        <v>2.8</v>
      </c>
      <c r="BI8">
        <v>4</v>
      </c>
      <c r="BJ8">
        <v>2.0121477918926498</v>
      </c>
      <c r="BK8">
        <v>1.5488543510437009</v>
      </c>
      <c r="BL8">
        <v>2.2000000000000002</v>
      </c>
      <c r="BM8">
        <v>2</v>
      </c>
      <c r="BN8">
        <v>1.3793651105736899</v>
      </c>
      <c r="BO8">
        <v>1.0950386524200439</v>
      </c>
      <c r="BP8">
        <v>1.2</v>
      </c>
      <c r="BQ8">
        <v>0</v>
      </c>
      <c r="BR8">
        <v>1.8477671786133201</v>
      </c>
      <c r="BS8">
        <v>1.90753710269928</v>
      </c>
      <c r="BT8">
        <v>1.1000000000000001</v>
      </c>
      <c r="BU8">
        <v>1</v>
      </c>
      <c r="BV8">
        <v>2.0307313531181501</v>
      </c>
      <c r="BW8">
        <v>1.8790880441665649</v>
      </c>
      <c r="BX8">
        <v>2</v>
      </c>
      <c r="BY8">
        <v>0</v>
      </c>
      <c r="BZ8">
        <v>1.4837343387642501</v>
      </c>
      <c r="CA8">
        <v>1.32543957233429</v>
      </c>
      <c r="CB8">
        <v>1.2</v>
      </c>
      <c r="CC8">
        <v>1</v>
      </c>
      <c r="CD8">
        <v>1.8783839529856801</v>
      </c>
      <c r="CE8">
        <v>1.8156701326370239</v>
      </c>
      <c r="CF8">
        <v>2.5</v>
      </c>
      <c r="CG8">
        <v>2</v>
      </c>
      <c r="CH8">
        <v>2.2347096451629702</v>
      </c>
      <c r="CI8">
        <v>1.770001173019409</v>
      </c>
      <c r="CJ8">
        <v>3.1</v>
      </c>
      <c r="CK8">
        <v>3</v>
      </c>
      <c r="CL8">
        <v>1.22552119378794</v>
      </c>
      <c r="CM8">
        <v>0.76323246955871582</v>
      </c>
      <c r="CN8">
        <v>1.8</v>
      </c>
      <c r="CO8">
        <v>1</v>
      </c>
      <c r="CP8">
        <v>2.1442227645942902</v>
      </c>
      <c r="CQ8">
        <v>2.354912281036377</v>
      </c>
      <c r="CR8">
        <v>1.6</v>
      </c>
      <c r="CS8">
        <v>2</v>
      </c>
      <c r="CT8">
        <v>1.56899542951691</v>
      </c>
      <c r="CU8">
        <v>1.432894825935364</v>
      </c>
      <c r="CV8">
        <v>0.5</v>
      </c>
      <c r="CW8">
        <v>0</v>
      </c>
      <c r="CX8">
        <v>1.5359933698608199</v>
      </c>
      <c r="CY8">
        <v>2.0032930374145508</v>
      </c>
      <c r="CZ8">
        <v>2.2999999999999998</v>
      </c>
      <c r="DA8">
        <v>1</v>
      </c>
      <c r="DB8">
        <v>2.7563738558817201</v>
      </c>
      <c r="DC8">
        <v>2.1312003135681148</v>
      </c>
      <c r="DD8">
        <v>2.4</v>
      </c>
      <c r="DE8">
        <v>4</v>
      </c>
      <c r="DF8">
        <v>2.5979381299093798</v>
      </c>
      <c r="DG8">
        <v>2.0490481853485112</v>
      </c>
      <c r="DH8">
        <v>1.7</v>
      </c>
      <c r="DI8">
        <v>1</v>
      </c>
      <c r="DJ8">
        <v>0.81015841923218201</v>
      </c>
      <c r="DK8">
        <v>1.636508464813232</v>
      </c>
      <c r="DL8">
        <v>0.4</v>
      </c>
      <c r="DM8">
        <v>0</v>
      </c>
      <c r="DN8">
        <v>2.1723032859188698</v>
      </c>
      <c r="DO8">
        <v>1.673733115196228</v>
      </c>
      <c r="DP8">
        <v>1</v>
      </c>
      <c r="DQ8">
        <v>1</v>
      </c>
      <c r="DR8">
        <v>1.57580686967864</v>
      </c>
      <c r="DS8">
        <v>1.40624463558197</v>
      </c>
      <c r="DT8">
        <v>1.2</v>
      </c>
      <c r="DU8">
        <v>0</v>
      </c>
      <c r="DV8">
        <v>2.5930408647965701</v>
      </c>
      <c r="DW8">
        <v>2.4244966506958008</v>
      </c>
      <c r="DX8">
        <v>2.2000000000000002</v>
      </c>
      <c r="DY8">
        <v>2</v>
      </c>
      <c r="DZ8">
        <v>1.4470727375779699</v>
      </c>
      <c r="EA8">
        <v>1.486256957054138</v>
      </c>
      <c r="EB8">
        <v>0.9</v>
      </c>
      <c r="EC8">
        <v>2</v>
      </c>
      <c r="ED8">
        <v>1.76131130969154</v>
      </c>
      <c r="EE8">
        <v>2.1936428546905522</v>
      </c>
      <c r="EF8">
        <v>0.8</v>
      </c>
      <c r="EG8">
        <v>1</v>
      </c>
      <c r="EH8">
        <v>1.38945777444979</v>
      </c>
      <c r="EI8">
        <v>1.462334990501404</v>
      </c>
      <c r="EJ8">
        <v>3.1</v>
      </c>
      <c r="EK8">
        <v>3</v>
      </c>
    </row>
    <row r="9" spans="1:141" x14ac:dyDescent="0.35">
      <c r="A9" s="2" t="s">
        <v>6</v>
      </c>
      <c r="B9" s="1">
        <v>1.2870297547760201</v>
      </c>
      <c r="C9" s="1">
        <v>1.077095031738281</v>
      </c>
      <c r="D9" s="1">
        <v>1.2</v>
      </c>
      <c r="E9">
        <v>1</v>
      </c>
      <c r="F9" s="1">
        <v>1.75127964727286</v>
      </c>
      <c r="G9" s="1">
        <v>1.574870228767395</v>
      </c>
      <c r="H9" s="1">
        <v>1.3</v>
      </c>
      <c r="I9">
        <v>0</v>
      </c>
      <c r="J9" s="1">
        <v>1.1541608700230099</v>
      </c>
      <c r="K9" s="1">
        <v>0.79498946666717529</v>
      </c>
      <c r="L9" s="1">
        <v>0.5</v>
      </c>
      <c r="M9">
        <v>1</v>
      </c>
      <c r="N9" s="1">
        <v>2.1218486469363</v>
      </c>
      <c r="O9" s="1">
        <v>1.565240740776062</v>
      </c>
      <c r="P9">
        <v>2.5</v>
      </c>
      <c r="Q9">
        <v>2</v>
      </c>
      <c r="R9">
        <v>1.6275179898436301</v>
      </c>
      <c r="S9">
        <v>1.2065144777297969</v>
      </c>
      <c r="T9">
        <v>1</v>
      </c>
      <c r="U9">
        <v>0</v>
      </c>
      <c r="V9">
        <v>1.1265872577204199</v>
      </c>
      <c r="W9">
        <v>1.089632511138916</v>
      </c>
      <c r="X9">
        <v>0.9</v>
      </c>
      <c r="Y9">
        <v>1</v>
      </c>
      <c r="Z9">
        <v>1.13483037365261</v>
      </c>
      <c r="AA9">
        <v>1.296294689178467</v>
      </c>
      <c r="AB9">
        <v>0.6</v>
      </c>
      <c r="AC9">
        <v>0</v>
      </c>
      <c r="AD9">
        <v>1.21948396142599</v>
      </c>
      <c r="AE9">
        <v>1.2471809387207029</v>
      </c>
      <c r="AF9">
        <v>1</v>
      </c>
      <c r="AG9">
        <v>0</v>
      </c>
      <c r="AH9">
        <v>1.7742142258495699</v>
      </c>
      <c r="AI9">
        <v>1.209376215934753</v>
      </c>
      <c r="AJ9">
        <v>0.8</v>
      </c>
      <c r="AK9">
        <v>1</v>
      </c>
      <c r="AL9">
        <v>1.4293869556690799</v>
      </c>
      <c r="AM9">
        <v>1.6092090606689451</v>
      </c>
      <c r="AN9">
        <v>2.4</v>
      </c>
      <c r="AO9">
        <v>2</v>
      </c>
      <c r="AP9">
        <v>1.50915152391667</v>
      </c>
      <c r="AQ9">
        <v>1.027592539787292</v>
      </c>
      <c r="AR9">
        <v>1.5</v>
      </c>
      <c r="AS9">
        <v>0</v>
      </c>
      <c r="AT9">
        <v>1.2545123442396899</v>
      </c>
      <c r="AU9">
        <v>1.139960408210754</v>
      </c>
      <c r="AV9">
        <v>1.3</v>
      </c>
      <c r="AW9">
        <v>2</v>
      </c>
      <c r="AX9">
        <v>1.5712850971888199</v>
      </c>
      <c r="AY9">
        <v>1.3058451414108281</v>
      </c>
      <c r="AZ9">
        <v>1.7</v>
      </c>
      <c r="BA9">
        <v>1</v>
      </c>
      <c r="BB9">
        <v>1.6585862936063001</v>
      </c>
      <c r="BC9">
        <v>1.468616127967834</v>
      </c>
      <c r="BD9">
        <v>1.6</v>
      </c>
      <c r="BE9">
        <v>1</v>
      </c>
      <c r="BF9">
        <v>1.2780955159813401</v>
      </c>
      <c r="BG9">
        <v>0.76304751634597778</v>
      </c>
      <c r="BH9">
        <v>1.3</v>
      </c>
      <c r="BI9">
        <v>2</v>
      </c>
      <c r="BJ9">
        <v>1.2814665564363601</v>
      </c>
      <c r="BK9">
        <v>0.79898685216903687</v>
      </c>
      <c r="BL9">
        <v>2.2000000000000002</v>
      </c>
      <c r="BM9">
        <v>3</v>
      </c>
      <c r="BN9">
        <v>0.84491386040799399</v>
      </c>
      <c r="BO9">
        <v>0.99175256490707397</v>
      </c>
      <c r="BP9">
        <v>1.6</v>
      </c>
      <c r="BQ9">
        <v>1</v>
      </c>
      <c r="BR9">
        <v>1.2014704129225</v>
      </c>
      <c r="BS9">
        <v>1.1310633420944209</v>
      </c>
      <c r="BT9">
        <v>0.4</v>
      </c>
      <c r="BU9">
        <v>0</v>
      </c>
      <c r="BV9">
        <v>2.25124996982019</v>
      </c>
      <c r="BW9">
        <v>1.338193535804749</v>
      </c>
      <c r="BX9">
        <v>2</v>
      </c>
      <c r="BY9">
        <v>2</v>
      </c>
      <c r="BZ9">
        <v>1.4737480149323801</v>
      </c>
      <c r="CA9">
        <v>0.93363398313522339</v>
      </c>
      <c r="CB9">
        <v>1.1000000000000001</v>
      </c>
      <c r="CC9">
        <v>1</v>
      </c>
      <c r="CD9">
        <v>1.6617187304693399</v>
      </c>
      <c r="CE9">
        <v>1.025170683860779</v>
      </c>
      <c r="CF9">
        <v>1.8</v>
      </c>
      <c r="CG9">
        <v>2</v>
      </c>
      <c r="CH9">
        <v>1.37150884742177</v>
      </c>
      <c r="CI9">
        <v>1.1130861043930049</v>
      </c>
      <c r="CJ9">
        <v>1.3</v>
      </c>
      <c r="CK9">
        <v>2</v>
      </c>
      <c r="CL9">
        <v>1.6434082938735</v>
      </c>
      <c r="CM9">
        <v>1.353171825408936</v>
      </c>
      <c r="CN9">
        <v>1.1000000000000001</v>
      </c>
      <c r="CO9">
        <v>1</v>
      </c>
      <c r="CP9">
        <v>1.27458531587723</v>
      </c>
      <c r="CQ9">
        <v>1.1431398391723631</v>
      </c>
      <c r="CR9">
        <v>2.6</v>
      </c>
      <c r="CS9">
        <v>2</v>
      </c>
      <c r="CT9">
        <v>1.43853926938321</v>
      </c>
      <c r="CU9">
        <v>1.441969037055969</v>
      </c>
      <c r="CV9">
        <v>1.6</v>
      </c>
      <c r="CW9">
        <v>1</v>
      </c>
      <c r="CX9">
        <v>1.1818870106638499</v>
      </c>
      <c r="CY9">
        <v>1.429099559783936</v>
      </c>
      <c r="CZ9">
        <v>1.3</v>
      </c>
      <c r="DA9">
        <v>2</v>
      </c>
      <c r="DB9">
        <v>1.6018868123596699</v>
      </c>
      <c r="DC9">
        <v>1.633111834526062</v>
      </c>
      <c r="DD9">
        <v>4.3</v>
      </c>
      <c r="DE9">
        <v>4</v>
      </c>
      <c r="DF9">
        <v>2.1178488383058802</v>
      </c>
      <c r="DG9">
        <v>1.7034957408905029</v>
      </c>
      <c r="DH9">
        <v>3.2</v>
      </c>
      <c r="DI9">
        <v>1</v>
      </c>
      <c r="DJ9">
        <v>1.2305467124981</v>
      </c>
      <c r="DK9">
        <v>1.007204055786133</v>
      </c>
      <c r="DL9">
        <v>2</v>
      </c>
      <c r="DM9">
        <v>0</v>
      </c>
      <c r="DN9">
        <v>1.76305894731004</v>
      </c>
      <c r="DO9">
        <v>1.2265892028808589</v>
      </c>
      <c r="DP9">
        <v>0.7</v>
      </c>
      <c r="DQ9">
        <v>1</v>
      </c>
      <c r="DR9">
        <v>1.6363046459135899</v>
      </c>
      <c r="DS9">
        <v>1.2873600721359251</v>
      </c>
      <c r="DT9">
        <v>0.6</v>
      </c>
      <c r="DU9">
        <v>2</v>
      </c>
      <c r="DV9">
        <v>1.00093626437571</v>
      </c>
      <c r="DW9">
        <v>0.48649817705154419</v>
      </c>
      <c r="DX9">
        <v>1.8</v>
      </c>
      <c r="DY9">
        <v>2</v>
      </c>
      <c r="DZ9">
        <v>1.5341575702607499</v>
      </c>
      <c r="EA9">
        <v>1.632905960083008</v>
      </c>
      <c r="EB9">
        <v>0.4</v>
      </c>
      <c r="EC9">
        <v>0</v>
      </c>
      <c r="ED9">
        <v>0.66169148751507101</v>
      </c>
      <c r="EE9">
        <v>0.75497746467590332</v>
      </c>
      <c r="EF9">
        <v>1.7</v>
      </c>
      <c r="EG9">
        <v>2</v>
      </c>
      <c r="EH9">
        <v>1.5571590703448399</v>
      </c>
      <c r="EI9">
        <v>1.5334141254425051</v>
      </c>
      <c r="EJ9">
        <v>2.2999999999999998</v>
      </c>
      <c r="EK9">
        <v>1</v>
      </c>
    </row>
    <row r="10" spans="1:141" x14ac:dyDescent="0.35">
      <c r="A10" s="2" t="s">
        <v>7</v>
      </c>
      <c r="B10" s="1">
        <v>1.3201455576063901</v>
      </c>
      <c r="C10" s="1">
        <v>1.1402162313461299</v>
      </c>
      <c r="D10" s="1">
        <v>0.5</v>
      </c>
      <c r="E10">
        <v>0</v>
      </c>
      <c r="F10" s="1">
        <v>1.12100313030152</v>
      </c>
      <c r="G10" s="1">
        <v>0.93155348300933838</v>
      </c>
      <c r="H10" s="1">
        <v>1</v>
      </c>
      <c r="I10">
        <v>0</v>
      </c>
      <c r="J10" s="1">
        <v>1.2377348595237601</v>
      </c>
      <c r="K10" s="1">
        <v>1.5713125467300419</v>
      </c>
      <c r="L10" s="1">
        <v>1.8</v>
      </c>
      <c r="M10">
        <v>2</v>
      </c>
      <c r="N10" s="1">
        <v>1.0121213689311099</v>
      </c>
      <c r="O10" s="1">
        <v>1.0284321308135991</v>
      </c>
      <c r="P10">
        <v>0.9</v>
      </c>
      <c r="Q10">
        <v>2</v>
      </c>
      <c r="R10">
        <v>1.34064925226415</v>
      </c>
      <c r="S10">
        <v>1.6676557064056401</v>
      </c>
      <c r="T10">
        <v>1.1000000000000001</v>
      </c>
      <c r="U10">
        <v>1</v>
      </c>
      <c r="V10">
        <v>1.2484072669292301</v>
      </c>
      <c r="W10">
        <v>1.433870792388916</v>
      </c>
      <c r="X10">
        <v>0.9</v>
      </c>
      <c r="Y10">
        <v>2</v>
      </c>
      <c r="Z10">
        <v>1.2676887803058099</v>
      </c>
      <c r="AA10">
        <v>1.425654292106628</v>
      </c>
      <c r="AB10">
        <v>0.7</v>
      </c>
      <c r="AC10">
        <v>0</v>
      </c>
      <c r="AD10">
        <v>1.33812205012025</v>
      </c>
      <c r="AE10">
        <v>1.0507216453552251</v>
      </c>
      <c r="AF10">
        <v>1.7</v>
      </c>
      <c r="AG10">
        <v>2</v>
      </c>
      <c r="AH10">
        <v>1.2175603638533601</v>
      </c>
      <c r="AI10">
        <v>1.137391090393066</v>
      </c>
      <c r="AJ10">
        <v>0.8</v>
      </c>
      <c r="AK10">
        <v>1</v>
      </c>
      <c r="AL10">
        <v>1.42240898899975</v>
      </c>
      <c r="AM10">
        <v>1.048341631889343</v>
      </c>
      <c r="AN10">
        <v>1.6</v>
      </c>
      <c r="AO10">
        <v>0</v>
      </c>
      <c r="AP10">
        <v>1.10651235799114</v>
      </c>
      <c r="AQ10">
        <v>1.0411001443862919</v>
      </c>
      <c r="AR10">
        <v>1.1000000000000001</v>
      </c>
      <c r="AS10">
        <v>0</v>
      </c>
      <c r="AT10">
        <v>1.32587667211522</v>
      </c>
      <c r="AU10">
        <v>1.2257182598114009</v>
      </c>
      <c r="AV10">
        <v>1.2</v>
      </c>
      <c r="AW10">
        <v>0</v>
      </c>
      <c r="AX10">
        <v>1.02831593539001</v>
      </c>
      <c r="AY10">
        <v>1.242974638938904</v>
      </c>
      <c r="AZ10">
        <v>0.6</v>
      </c>
      <c r="BA10">
        <v>0</v>
      </c>
      <c r="BB10">
        <v>1.4725306955139099</v>
      </c>
      <c r="BC10">
        <v>1.2785049676895139</v>
      </c>
      <c r="BD10">
        <v>1</v>
      </c>
      <c r="BE10">
        <v>4</v>
      </c>
      <c r="BF10">
        <v>0.91556378584859299</v>
      </c>
      <c r="BG10">
        <v>1.0176988840103149</v>
      </c>
      <c r="BH10">
        <v>1</v>
      </c>
      <c r="BI10">
        <v>2</v>
      </c>
      <c r="BJ10">
        <v>0.53384257016594105</v>
      </c>
      <c r="BK10">
        <v>0.82854437828063965</v>
      </c>
      <c r="BL10">
        <v>0.1</v>
      </c>
      <c r="BM10">
        <v>0</v>
      </c>
      <c r="BN10">
        <v>1.1889973543758701</v>
      </c>
      <c r="BO10">
        <v>1.16849672794342</v>
      </c>
      <c r="BP10">
        <v>1</v>
      </c>
      <c r="BQ10">
        <v>0</v>
      </c>
      <c r="BR10">
        <v>0.80754006667564404</v>
      </c>
      <c r="BS10">
        <v>0.54335010051727295</v>
      </c>
      <c r="BT10">
        <v>0.7</v>
      </c>
      <c r="BU10">
        <v>1</v>
      </c>
      <c r="BV10">
        <v>1.2562921179353399</v>
      </c>
      <c r="BW10">
        <v>1.155275821685791</v>
      </c>
      <c r="BX10">
        <v>0.9</v>
      </c>
      <c r="BY10">
        <v>0</v>
      </c>
      <c r="BZ10">
        <v>0.969327950132164</v>
      </c>
      <c r="CA10">
        <v>1.1050339937210081</v>
      </c>
      <c r="CB10">
        <v>0.7</v>
      </c>
      <c r="CC10">
        <v>0</v>
      </c>
      <c r="CD10">
        <v>1.2923777759881401</v>
      </c>
      <c r="CE10">
        <v>1.521004915237427</v>
      </c>
      <c r="CF10">
        <v>1.1000000000000001</v>
      </c>
      <c r="CG10">
        <v>0</v>
      </c>
      <c r="CH10">
        <v>1.43140889708202</v>
      </c>
      <c r="CI10">
        <v>1.3522722721099849</v>
      </c>
      <c r="CJ10">
        <v>1.8</v>
      </c>
      <c r="CK10">
        <v>3</v>
      </c>
      <c r="CL10">
        <v>1.0338676150100901</v>
      </c>
      <c r="CM10">
        <v>1.0933793783187871</v>
      </c>
      <c r="CN10">
        <v>0.8</v>
      </c>
      <c r="CO10">
        <v>1</v>
      </c>
      <c r="CP10">
        <v>1.7118750302161001</v>
      </c>
      <c r="CQ10">
        <v>1.3551551103591919</v>
      </c>
      <c r="CR10">
        <v>2.5</v>
      </c>
      <c r="CS10">
        <v>4</v>
      </c>
      <c r="CT10">
        <v>0.97768601059537896</v>
      </c>
      <c r="CU10">
        <v>1.2238864898681641</v>
      </c>
      <c r="CV10">
        <v>0.9</v>
      </c>
      <c r="CW10">
        <v>2</v>
      </c>
      <c r="CX10">
        <v>1.3130566178995</v>
      </c>
      <c r="CY10">
        <v>1.2885949611663821</v>
      </c>
      <c r="CZ10">
        <v>1.6</v>
      </c>
      <c r="DA10">
        <v>2</v>
      </c>
      <c r="DB10">
        <v>1.03835591832972</v>
      </c>
      <c r="DC10">
        <v>1.214758992195129</v>
      </c>
      <c r="DD10">
        <v>1.5</v>
      </c>
      <c r="DE10">
        <v>1</v>
      </c>
      <c r="DF10">
        <v>1.15320753035783</v>
      </c>
      <c r="DG10">
        <v>1.41802990436554</v>
      </c>
      <c r="DH10">
        <v>1.2</v>
      </c>
      <c r="DI10">
        <v>1</v>
      </c>
      <c r="DJ10">
        <v>1.41290562991888</v>
      </c>
      <c r="DK10">
        <v>1.3588910102844241</v>
      </c>
      <c r="DL10">
        <v>1</v>
      </c>
      <c r="DM10">
        <v>1</v>
      </c>
      <c r="DN10">
        <v>0.71702074230448198</v>
      </c>
      <c r="DO10">
        <v>0.79038751125335693</v>
      </c>
      <c r="DP10">
        <v>0.9</v>
      </c>
      <c r="DQ10">
        <v>0</v>
      </c>
      <c r="DR10">
        <v>0.68166357784488996</v>
      </c>
      <c r="DS10">
        <v>0.9505542516708374</v>
      </c>
      <c r="DT10">
        <v>1.1000000000000001</v>
      </c>
      <c r="DU10">
        <v>1</v>
      </c>
      <c r="DV10">
        <v>0.98386100550970901</v>
      </c>
      <c r="DW10">
        <v>1.2883725166320801</v>
      </c>
      <c r="DX10">
        <v>1.4</v>
      </c>
      <c r="DY10">
        <v>1</v>
      </c>
      <c r="DZ10">
        <v>1.0311479111381301</v>
      </c>
      <c r="EA10">
        <v>0.85014420747756958</v>
      </c>
      <c r="EB10">
        <v>0.9</v>
      </c>
      <c r="EC10">
        <v>0</v>
      </c>
      <c r="ED10">
        <v>0.93115933461968603</v>
      </c>
      <c r="EE10">
        <v>0.95100557804107666</v>
      </c>
      <c r="EF10">
        <v>0.4</v>
      </c>
      <c r="EG10">
        <v>0</v>
      </c>
      <c r="EH10">
        <v>1.70864804579855</v>
      </c>
      <c r="EI10">
        <v>2.7889683246612549</v>
      </c>
      <c r="EJ10">
        <v>0.6</v>
      </c>
      <c r="EK10">
        <v>2</v>
      </c>
    </row>
    <row r="11" spans="1:141" x14ac:dyDescent="0.35">
      <c r="A11" s="2" t="s">
        <v>8</v>
      </c>
      <c r="B11" s="1">
        <v>1.2073064250972401</v>
      </c>
      <c r="C11" s="1">
        <v>1.2293746471405029</v>
      </c>
      <c r="D11" s="1">
        <v>0.4</v>
      </c>
      <c r="E11">
        <v>0</v>
      </c>
      <c r="F11" s="1">
        <v>2.0098470244551501</v>
      </c>
      <c r="G11" s="1">
        <v>1.158592700958252</v>
      </c>
      <c r="H11" s="1">
        <v>1.8</v>
      </c>
      <c r="I11">
        <v>2</v>
      </c>
      <c r="J11" s="1">
        <v>1.57103793987375</v>
      </c>
      <c r="K11" s="1">
        <v>1.097521305084229</v>
      </c>
      <c r="L11" s="1">
        <v>0.9</v>
      </c>
      <c r="M11">
        <v>1</v>
      </c>
      <c r="N11" s="1">
        <v>1.6588384817844599</v>
      </c>
      <c r="O11" s="1">
        <v>1.59110963344574</v>
      </c>
      <c r="P11">
        <v>1.5</v>
      </c>
      <c r="Q11">
        <v>1</v>
      </c>
      <c r="R11">
        <v>1.4883449305941401</v>
      </c>
      <c r="S11">
        <v>1.063407778739929</v>
      </c>
      <c r="T11">
        <v>2.2000000000000002</v>
      </c>
      <c r="U11">
        <v>3</v>
      </c>
      <c r="V11">
        <v>1.1551135915286499</v>
      </c>
      <c r="W11">
        <v>1.0728186368942261</v>
      </c>
      <c r="X11">
        <v>1.3</v>
      </c>
      <c r="Y11">
        <v>1</v>
      </c>
      <c r="Z11">
        <v>0.94810191835759805</v>
      </c>
      <c r="AA11">
        <v>0.8388856053352356</v>
      </c>
      <c r="AB11">
        <v>2.6</v>
      </c>
      <c r="AC11">
        <v>2</v>
      </c>
      <c r="AD11">
        <v>1.51733133651341</v>
      </c>
      <c r="AE11">
        <v>1.2972844839096069</v>
      </c>
      <c r="AF11">
        <v>1.8</v>
      </c>
      <c r="AG11">
        <v>1</v>
      </c>
      <c r="AH11">
        <v>1.0671204333955699</v>
      </c>
      <c r="AI11">
        <v>1.500888347625732</v>
      </c>
      <c r="AJ11">
        <v>1.2</v>
      </c>
      <c r="AK11">
        <v>1</v>
      </c>
      <c r="AL11">
        <v>1.5566611097241601</v>
      </c>
      <c r="AM11">
        <v>1.2608709335327151</v>
      </c>
      <c r="AN11">
        <v>1.3</v>
      </c>
      <c r="AO11">
        <v>2</v>
      </c>
      <c r="AP11">
        <v>1.1478637660825499</v>
      </c>
      <c r="AQ11">
        <v>1.243739128112793</v>
      </c>
      <c r="AR11">
        <v>1.8</v>
      </c>
      <c r="AS11">
        <v>2</v>
      </c>
      <c r="AT11">
        <v>1.7288419917100499</v>
      </c>
      <c r="AU11">
        <v>1.584093332290649</v>
      </c>
      <c r="AV11">
        <v>1</v>
      </c>
      <c r="AW11">
        <v>1</v>
      </c>
      <c r="AX11">
        <v>1.31612691701976</v>
      </c>
      <c r="AY11">
        <v>0.96531343460083008</v>
      </c>
      <c r="AZ11">
        <v>1.5</v>
      </c>
      <c r="BA11">
        <v>1</v>
      </c>
      <c r="BB11">
        <v>1.5499324272916899</v>
      </c>
      <c r="BC11">
        <v>1.255969882011414</v>
      </c>
      <c r="BD11">
        <v>1.1000000000000001</v>
      </c>
      <c r="BE11">
        <v>3</v>
      </c>
      <c r="BF11">
        <v>0.80031514533981696</v>
      </c>
      <c r="BG11">
        <v>0.74698585271835327</v>
      </c>
      <c r="BH11">
        <v>0.2</v>
      </c>
      <c r="BI11">
        <v>1</v>
      </c>
      <c r="BJ11">
        <v>0.84182664035432897</v>
      </c>
      <c r="BK11">
        <v>0.91984099149703979</v>
      </c>
      <c r="BL11">
        <v>1.2</v>
      </c>
      <c r="BM11">
        <v>2</v>
      </c>
      <c r="BN11">
        <v>2.1324179081674601</v>
      </c>
      <c r="BO11">
        <v>1.3750342130661011</v>
      </c>
      <c r="BP11">
        <v>0.9</v>
      </c>
      <c r="BQ11">
        <v>0</v>
      </c>
      <c r="BR11">
        <v>1.09323857463051</v>
      </c>
      <c r="BS11">
        <v>0.8203389048576355</v>
      </c>
      <c r="BT11">
        <v>1.8</v>
      </c>
      <c r="BU11">
        <v>2</v>
      </c>
      <c r="BV11">
        <v>1.4531771774042399</v>
      </c>
      <c r="BW11">
        <v>1.5816279649734499</v>
      </c>
      <c r="BX11">
        <v>1.1000000000000001</v>
      </c>
      <c r="BY11">
        <v>2</v>
      </c>
      <c r="BZ11">
        <v>2.00605834542479</v>
      </c>
      <c r="CA11">
        <v>2.903443336486816</v>
      </c>
      <c r="CB11">
        <v>2.2000000000000002</v>
      </c>
      <c r="CC11">
        <v>2</v>
      </c>
      <c r="CD11">
        <v>1.29911385526232</v>
      </c>
      <c r="CE11">
        <v>1.512860178947449</v>
      </c>
      <c r="CF11">
        <v>1.7</v>
      </c>
      <c r="CG11">
        <v>2</v>
      </c>
      <c r="CH11">
        <v>1.5740050312907401</v>
      </c>
      <c r="CI11">
        <v>1.554218173027039</v>
      </c>
      <c r="CJ11">
        <v>2</v>
      </c>
      <c r="CK11">
        <v>2</v>
      </c>
      <c r="CL11">
        <v>1.54160957420666</v>
      </c>
      <c r="CM11">
        <v>1.376510858535767</v>
      </c>
      <c r="CN11">
        <v>0.7</v>
      </c>
      <c r="CO11">
        <v>0</v>
      </c>
      <c r="CP11">
        <v>1.165592396111</v>
      </c>
      <c r="CQ11">
        <v>0.98939806222915649</v>
      </c>
      <c r="CR11">
        <v>1.6</v>
      </c>
      <c r="CS11">
        <v>2</v>
      </c>
      <c r="CT11">
        <v>1.4749645450229301</v>
      </c>
      <c r="CU11">
        <v>1.3743200302124019</v>
      </c>
      <c r="CV11">
        <v>2.1</v>
      </c>
      <c r="CW11">
        <v>2</v>
      </c>
      <c r="CX11">
        <v>1.46570724291082</v>
      </c>
      <c r="CY11">
        <v>1.2669357061386111</v>
      </c>
      <c r="CZ11">
        <v>0.2</v>
      </c>
      <c r="DA11">
        <v>0</v>
      </c>
      <c r="DB11">
        <v>1.3539368718850699</v>
      </c>
      <c r="DC11">
        <v>1.4971659183502199</v>
      </c>
      <c r="DD11">
        <v>1.7</v>
      </c>
      <c r="DE11">
        <v>2</v>
      </c>
      <c r="DF11">
        <v>1.21382443988698</v>
      </c>
      <c r="DG11">
        <v>0.96014976501464844</v>
      </c>
      <c r="DH11">
        <v>0.9</v>
      </c>
      <c r="DI11">
        <v>1</v>
      </c>
      <c r="DJ11">
        <v>1.68056246034253</v>
      </c>
      <c r="DK11">
        <v>1.216704726219177</v>
      </c>
      <c r="DL11">
        <v>1</v>
      </c>
      <c r="DM11">
        <v>2</v>
      </c>
      <c r="DN11">
        <v>0.62676415172669497</v>
      </c>
      <c r="DO11">
        <v>0.89109325408935547</v>
      </c>
      <c r="DP11">
        <v>1</v>
      </c>
      <c r="DQ11">
        <v>1</v>
      </c>
      <c r="DR11">
        <v>1.07492843706844</v>
      </c>
      <c r="DS11">
        <v>1.280702471733093</v>
      </c>
      <c r="DT11">
        <v>0.7</v>
      </c>
      <c r="DU11">
        <v>3</v>
      </c>
      <c r="DV11">
        <v>1.1380508868386301</v>
      </c>
      <c r="DW11">
        <v>1.2393277883529661</v>
      </c>
      <c r="DX11">
        <v>1</v>
      </c>
      <c r="DY11">
        <v>0</v>
      </c>
      <c r="DZ11">
        <v>1.3959563359456999</v>
      </c>
      <c r="EA11">
        <v>1.1254187822341919</v>
      </c>
      <c r="EB11">
        <v>0.3</v>
      </c>
      <c r="EC11">
        <v>1</v>
      </c>
      <c r="ED11">
        <v>1.66999601234823</v>
      </c>
      <c r="EE11">
        <v>1.78328001499176</v>
      </c>
      <c r="EF11">
        <v>2.4</v>
      </c>
      <c r="EG11">
        <v>2</v>
      </c>
      <c r="EH11">
        <v>1.1882930037696</v>
      </c>
      <c r="EI11">
        <v>0.87685859203338623</v>
      </c>
      <c r="EJ11">
        <v>0.9</v>
      </c>
      <c r="EK11">
        <v>0</v>
      </c>
    </row>
    <row r="12" spans="1:141" x14ac:dyDescent="0.35">
      <c r="A12" s="2" t="s">
        <v>9</v>
      </c>
      <c r="B12" s="1">
        <v>0.82542861753595098</v>
      </c>
      <c r="C12" s="1">
        <v>1.082216739654541</v>
      </c>
      <c r="D12" s="1">
        <v>0.5</v>
      </c>
      <c r="E12">
        <v>0</v>
      </c>
      <c r="F12" s="1">
        <v>0.72803958734907503</v>
      </c>
      <c r="G12" s="1">
        <v>0.62773770093917847</v>
      </c>
      <c r="H12" s="1">
        <v>0.3</v>
      </c>
      <c r="I12">
        <v>1</v>
      </c>
      <c r="J12" s="1">
        <v>1.09769432063169</v>
      </c>
      <c r="K12" s="1">
        <v>1.12408459186554</v>
      </c>
      <c r="L12" s="1">
        <v>0.4</v>
      </c>
      <c r="M12">
        <v>1</v>
      </c>
      <c r="N12" s="1">
        <v>0.93208570430951598</v>
      </c>
      <c r="O12" s="1">
        <v>0.855904221534729</v>
      </c>
      <c r="P12">
        <v>0.3</v>
      </c>
      <c r="Q12">
        <v>0</v>
      </c>
      <c r="R12">
        <v>1.28237606544535</v>
      </c>
      <c r="S12">
        <v>0.92809027433395386</v>
      </c>
      <c r="T12">
        <v>1.6</v>
      </c>
      <c r="U12">
        <v>1</v>
      </c>
      <c r="V12">
        <v>1.1651461290371401</v>
      </c>
      <c r="W12">
        <v>1.391598582267761</v>
      </c>
      <c r="X12">
        <v>1.2</v>
      </c>
      <c r="Y12">
        <v>2</v>
      </c>
      <c r="Z12">
        <v>0.99757873788829798</v>
      </c>
      <c r="AA12">
        <v>0.72495138645172119</v>
      </c>
      <c r="AB12">
        <v>0.6</v>
      </c>
      <c r="AC12">
        <v>1</v>
      </c>
      <c r="AD12">
        <v>1.0463338909200199</v>
      </c>
      <c r="AE12">
        <v>0.98344600200653076</v>
      </c>
      <c r="AF12">
        <v>1.3</v>
      </c>
      <c r="AG12">
        <v>0</v>
      </c>
      <c r="AH12">
        <v>0.93613214439536097</v>
      </c>
      <c r="AI12">
        <v>0.62628960609436035</v>
      </c>
      <c r="AJ12">
        <v>1.3</v>
      </c>
      <c r="AK12">
        <v>3</v>
      </c>
      <c r="AL12">
        <v>1.5433448345446701</v>
      </c>
      <c r="AM12">
        <v>1.163049459457397</v>
      </c>
      <c r="AN12">
        <v>1</v>
      </c>
      <c r="AO12">
        <v>1</v>
      </c>
      <c r="AP12">
        <v>1.01064292668657</v>
      </c>
      <c r="AQ12">
        <v>1.106145977973938</v>
      </c>
      <c r="AR12">
        <v>1.6</v>
      </c>
      <c r="AS12">
        <v>2</v>
      </c>
      <c r="AT12">
        <v>1.18378918608567</v>
      </c>
      <c r="AU12">
        <v>0.99437671899795532</v>
      </c>
      <c r="AV12">
        <v>1.6</v>
      </c>
      <c r="AW12">
        <v>1</v>
      </c>
      <c r="AX12">
        <v>0.88700213155843199</v>
      </c>
      <c r="AY12">
        <v>0.71055573225021362</v>
      </c>
      <c r="AZ12">
        <v>0.6</v>
      </c>
      <c r="BA12">
        <v>0</v>
      </c>
      <c r="BB12">
        <v>1.12550441639425</v>
      </c>
      <c r="BC12">
        <v>0.87524878978729248</v>
      </c>
      <c r="BD12">
        <v>0.5</v>
      </c>
      <c r="BE12">
        <v>0</v>
      </c>
      <c r="BF12">
        <v>1.1158826831773601</v>
      </c>
      <c r="BG12">
        <v>1.1399375200271611</v>
      </c>
      <c r="BH12">
        <v>1.3</v>
      </c>
      <c r="BI12">
        <v>1</v>
      </c>
      <c r="BJ12">
        <v>1.03967687694533</v>
      </c>
      <c r="BK12">
        <v>1.0409412384033201</v>
      </c>
      <c r="BL12">
        <v>1.1000000000000001</v>
      </c>
      <c r="BM12">
        <v>2</v>
      </c>
      <c r="BN12">
        <v>1.1428877087179901</v>
      </c>
      <c r="BO12">
        <v>0.76333940029144287</v>
      </c>
      <c r="BP12">
        <v>0.7</v>
      </c>
      <c r="BQ12">
        <v>0</v>
      </c>
      <c r="BR12">
        <v>0.48128698566369599</v>
      </c>
      <c r="BS12">
        <v>0.58034908771514893</v>
      </c>
      <c r="BT12">
        <v>0.2</v>
      </c>
      <c r="BU12">
        <v>0</v>
      </c>
      <c r="BV12">
        <v>1.0719432743473301</v>
      </c>
      <c r="BW12">
        <v>0.92204636335372925</v>
      </c>
      <c r="BX12">
        <v>1.6</v>
      </c>
      <c r="BY12">
        <v>2</v>
      </c>
      <c r="BZ12">
        <v>0.85965566656096404</v>
      </c>
      <c r="CA12">
        <v>0.75140392780303955</v>
      </c>
      <c r="CB12">
        <v>1.5</v>
      </c>
      <c r="CC12">
        <v>2</v>
      </c>
      <c r="CD12">
        <v>1.19018023583282</v>
      </c>
      <c r="CE12">
        <v>1.10801112651825</v>
      </c>
      <c r="CF12">
        <v>0.3</v>
      </c>
      <c r="CG12">
        <v>0</v>
      </c>
      <c r="CH12">
        <v>0.92963374908603302</v>
      </c>
      <c r="CI12">
        <v>0.78705018758773804</v>
      </c>
      <c r="CJ12">
        <v>0.5</v>
      </c>
      <c r="CK12">
        <v>0</v>
      </c>
      <c r="CL12">
        <v>0.646431684185097</v>
      </c>
      <c r="CM12">
        <v>0.6973077654838562</v>
      </c>
      <c r="CN12">
        <v>0.5</v>
      </c>
      <c r="CO12">
        <v>1</v>
      </c>
      <c r="CP12">
        <v>1.63746599796717</v>
      </c>
      <c r="CQ12">
        <v>2.0857832431793208</v>
      </c>
      <c r="CR12">
        <v>1.8</v>
      </c>
      <c r="CS12">
        <v>1</v>
      </c>
      <c r="CT12">
        <v>0.912480326601254</v>
      </c>
      <c r="CU12">
        <v>0.96793669462203979</v>
      </c>
      <c r="CV12">
        <v>0.4</v>
      </c>
      <c r="CW12">
        <v>1</v>
      </c>
      <c r="CX12">
        <v>1.2904899530860801</v>
      </c>
      <c r="CY12">
        <v>1.1665997505187991</v>
      </c>
      <c r="CZ12">
        <v>1.1000000000000001</v>
      </c>
      <c r="DA12">
        <v>1</v>
      </c>
      <c r="DB12">
        <v>0.92708057489675799</v>
      </c>
      <c r="DC12">
        <v>1.4547945261001589</v>
      </c>
      <c r="DD12">
        <v>1.4</v>
      </c>
      <c r="DE12">
        <v>2</v>
      </c>
      <c r="DF12">
        <v>0.88143505082172202</v>
      </c>
      <c r="DG12">
        <v>0.82387906312942505</v>
      </c>
      <c r="DH12">
        <v>1.5</v>
      </c>
      <c r="DI12">
        <v>0</v>
      </c>
      <c r="DJ12">
        <v>1.1326130217869601</v>
      </c>
      <c r="DK12">
        <v>1.038490772247314</v>
      </c>
      <c r="DL12">
        <v>0.4</v>
      </c>
      <c r="DM12">
        <v>2</v>
      </c>
      <c r="DN12">
        <v>0.87389982236460295</v>
      </c>
      <c r="DO12">
        <v>1.065601229667664</v>
      </c>
      <c r="DP12">
        <v>1.2</v>
      </c>
      <c r="DQ12">
        <v>2</v>
      </c>
      <c r="DR12">
        <v>1.3275634041714901</v>
      </c>
      <c r="DS12">
        <v>0.89859467744827271</v>
      </c>
      <c r="DT12">
        <v>0.8</v>
      </c>
      <c r="DU12">
        <v>1</v>
      </c>
      <c r="DV12">
        <v>0.83948882006996295</v>
      </c>
      <c r="DW12">
        <v>0.67210417985916138</v>
      </c>
      <c r="DX12">
        <v>1.1000000000000001</v>
      </c>
      <c r="DY12">
        <v>2</v>
      </c>
      <c r="DZ12">
        <v>0.61455535199397404</v>
      </c>
      <c r="EA12">
        <v>0.64252197742462158</v>
      </c>
      <c r="EB12">
        <v>0.2</v>
      </c>
      <c r="EC12">
        <v>0</v>
      </c>
      <c r="ED12">
        <v>0.89504871855117096</v>
      </c>
      <c r="EE12">
        <v>0.78906559944152832</v>
      </c>
      <c r="EF12">
        <v>0.1</v>
      </c>
      <c r="EG12">
        <v>0</v>
      </c>
      <c r="EH12">
        <v>0.819432916375613</v>
      </c>
      <c r="EI12">
        <v>0.81265389919281006</v>
      </c>
      <c r="EJ12">
        <v>0.8</v>
      </c>
      <c r="EK12">
        <v>2</v>
      </c>
    </row>
    <row r="13" spans="1:141" x14ac:dyDescent="0.35">
      <c r="A13" s="2" t="s">
        <v>10</v>
      </c>
      <c r="B13" s="1">
        <v>1.1641506875673799</v>
      </c>
      <c r="C13" s="1">
        <v>1.472630620002747</v>
      </c>
      <c r="D13" s="1">
        <v>1</v>
      </c>
      <c r="E13">
        <v>1</v>
      </c>
      <c r="F13" s="1">
        <v>0.77549517755244701</v>
      </c>
      <c r="G13" s="1">
        <v>1.6348040103912349</v>
      </c>
      <c r="H13" s="1">
        <v>0.6</v>
      </c>
      <c r="I13">
        <v>1</v>
      </c>
      <c r="J13" s="1">
        <v>1.05107805294519</v>
      </c>
      <c r="K13" s="1">
        <v>1.1534373760223391</v>
      </c>
      <c r="L13" s="1">
        <v>0.4</v>
      </c>
      <c r="M13">
        <v>1</v>
      </c>
      <c r="N13" s="1">
        <v>0.79514235504602004</v>
      </c>
      <c r="O13" s="1">
        <v>1.175451278686523</v>
      </c>
      <c r="P13">
        <v>1.2</v>
      </c>
      <c r="Q13">
        <v>2</v>
      </c>
      <c r="R13">
        <v>0.94389756047821105</v>
      </c>
      <c r="S13">
        <v>1.732568025588989</v>
      </c>
      <c r="T13">
        <v>0.7</v>
      </c>
      <c r="U13">
        <v>1</v>
      </c>
      <c r="V13">
        <v>0.43416887821384598</v>
      </c>
      <c r="W13">
        <v>0.77336382865905762</v>
      </c>
      <c r="X13">
        <v>0.3</v>
      </c>
      <c r="Y13">
        <v>2</v>
      </c>
      <c r="Z13">
        <v>1.0066375098534399</v>
      </c>
      <c r="AA13">
        <v>1.851236939430237</v>
      </c>
      <c r="AB13">
        <v>0.8</v>
      </c>
      <c r="AC13">
        <v>1</v>
      </c>
      <c r="AD13">
        <v>1.15683115140732</v>
      </c>
      <c r="AE13">
        <v>1.8764408826828001</v>
      </c>
      <c r="AF13">
        <v>3.1</v>
      </c>
      <c r="AG13">
        <v>3</v>
      </c>
      <c r="AH13">
        <v>1.02172994443538</v>
      </c>
      <c r="AI13">
        <v>1.4903653860092161</v>
      </c>
      <c r="AJ13">
        <v>0.8</v>
      </c>
      <c r="AK13">
        <v>1</v>
      </c>
      <c r="AL13">
        <v>1.0882814183090199</v>
      </c>
      <c r="AM13">
        <v>1.3342857360839839</v>
      </c>
      <c r="AN13">
        <v>1.5</v>
      </c>
      <c r="AO13">
        <v>1</v>
      </c>
      <c r="AP13">
        <v>0.83631917173432702</v>
      </c>
      <c r="AQ13">
        <v>1.153674840927124</v>
      </c>
      <c r="AR13">
        <v>0.6</v>
      </c>
      <c r="AS13">
        <v>0</v>
      </c>
      <c r="AT13">
        <v>0.96699977933221304</v>
      </c>
      <c r="AU13">
        <v>1.4253420829772949</v>
      </c>
      <c r="AV13">
        <v>1.1000000000000001</v>
      </c>
      <c r="AW13">
        <v>1</v>
      </c>
      <c r="AX13">
        <v>0.84448459048103097</v>
      </c>
      <c r="AY13">
        <v>1.347842693328857</v>
      </c>
      <c r="AZ13">
        <v>1.1000000000000001</v>
      </c>
      <c r="BA13">
        <v>1</v>
      </c>
      <c r="BB13">
        <v>1.14910216353339</v>
      </c>
      <c r="BC13">
        <v>1.3593719005584719</v>
      </c>
      <c r="BD13">
        <v>1.7</v>
      </c>
      <c r="BE13">
        <v>3</v>
      </c>
      <c r="BF13">
        <v>1.07366131488314</v>
      </c>
      <c r="BG13">
        <v>1.567245721817017</v>
      </c>
      <c r="BH13">
        <v>1.3</v>
      </c>
      <c r="BI13">
        <v>2</v>
      </c>
      <c r="BJ13">
        <v>0.80742324154936196</v>
      </c>
      <c r="BK13">
        <v>0.71466726064682007</v>
      </c>
      <c r="BL13">
        <v>0.2</v>
      </c>
      <c r="BM13">
        <v>0</v>
      </c>
      <c r="BN13">
        <v>1.1975946391985901</v>
      </c>
      <c r="BO13">
        <v>1.6528429985046389</v>
      </c>
      <c r="BP13">
        <v>0.8</v>
      </c>
      <c r="BQ13">
        <v>0</v>
      </c>
      <c r="BR13">
        <v>0.58314587247253202</v>
      </c>
      <c r="BS13">
        <v>0.96206492185592651</v>
      </c>
      <c r="BT13">
        <v>0.3</v>
      </c>
      <c r="BU13">
        <v>1</v>
      </c>
      <c r="BV13">
        <v>0.83862238957869395</v>
      </c>
      <c r="BW13">
        <v>0.70628196001052856</v>
      </c>
      <c r="BX13">
        <v>1.3</v>
      </c>
      <c r="BY13">
        <v>0</v>
      </c>
      <c r="BZ13">
        <v>0.82314829113101895</v>
      </c>
      <c r="CA13">
        <v>1.185465335845947</v>
      </c>
      <c r="CB13">
        <v>0.4</v>
      </c>
      <c r="CC13">
        <v>1</v>
      </c>
      <c r="CD13">
        <v>1.01531727315826</v>
      </c>
      <c r="CE13">
        <v>1.3478596210479741</v>
      </c>
      <c r="CF13">
        <v>1.7</v>
      </c>
      <c r="CG13">
        <v>0</v>
      </c>
      <c r="CH13">
        <v>0.99022979221672003</v>
      </c>
      <c r="CI13">
        <v>1.4827084541320801</v>
      </c>
      <c r="CJ13">
        <v>0.6</v>
      </c>
      <c r="CK13">
        <v>0</v>
      </c>
      <c r="CL13">
        <v>0.91170074991572203</v>
      </c>
      <c r="CM13">
        <v>1.35966956615448</v>
      </c>
      <c r="CN13">
        <v>1.6</v>
      </c>
      <c r="CO13">
        <v>2</v>
      </c>
      <c r="CP13">
        <v>0.73921024393312795</v>
      </c>
      <c r="CQ13">
        <v>1.3864670991897581</v>
      </c>
      <c r="CR13">
        <v>0.3</v>
      </c>
      <c r="CS13">
        <v>0</v>
      </c>
      <c r="CT13">
        <v>0.55439024059126096</v>
      </c>
      <c r="CU13">
        <v>0.71801406145095825</v>
      </c>
      <c r="CV13">
        <v>0.2</v>
      </c>
      <c r="CW13">
        <v>0</v>
      </c>
      <c r="CX13">
        <v>1.0783223735852201</v>
      </c>
      <c r="CY13">
        <v>1.04174792766571</v>
      </c>
      <c r="CZ13">
        <v>0.5</v>
      </c>
      <c r="DA13">
        <v>0</v>
      </c>
      <c r="DB13">
        <v>0.89991554822883202</v>
      </c>
      <c r="DC13">
        <v>1.3350372314453121</v>
      </c>
      <c r="DD13">
        <v>0.4</v>
      </c>
      <c r="DE13">
        <v>0</v>
      </c>
      <c r="DF13">
        <v>0.75730267000721496</v>
      </c>
      <c r="DG13">
        <v>1.171932578086853</v>
      </c>
      <c r="DH13">
        <v>0.1</v>
      </c>
      <c r="DI13">
        <v>0</v>
      </c>
      <c r="DJ13">
        <v>1.06789595038756</v>
      </c>
      <c r="DK13">
        <v>1.391845107078552</v>
      </c>
      <c r="DL13">
        <v>1</v>
      </c>
      <c r="DM13">
        <v>0</v>
      </c>
      <c r="DN13">
        <v>0.65676434300156195</v>
      </c>
      <c r="DO13">
        <v>1.7104722261428831</v>
      </c>
      <c r="DP13">
        <v>0.1</v>
      </c>
      <c r="DQ13">
        <v>0</v>
      </c>
      <c r="DR13">
        <v>1.0309987371343801</v>
      </c>
      <c r="DS13">
        <v>1.3256993293762209</v>
      </c>
      <c r="DT13">
        <v>0.5</v>
      </c>
      <c r="DU13">
        <v>0</v>
      </c>
      <c r="DV13">
        <v>0.84083429781747998</v>
      </c>
      <c r="DW13">
        <v>0.8326689600944519</v>
      </c>
      <c r="DX13">
        <v>1.5</v>
      </c>
      <c r="DY13">
        <v>2</v>
      </c>
      <c r="DZ13">
        <v>0.74461896456017596</v>
      </c>
      <c r="EA13">
        <v>0.91060256958007813</v>
      </c>
      <c r="EB13">
        <v>0.3</v>
      </c>
      <c r="EC13">
        <v>0</v>
      </c>
      <c r="ED13">
        <v>0.93789226971461903</v>
      </c>
      <c r="EE13">
        <v>0.9634239673614502</v>
      </c>
      <c r="EF13">
        <v>1.1000000000000001</v>
      </c>
      <c r="EG13">
        <v>0</v>
      </c>
      <c r="EH13">
        <v>1.47715769723201</v>
      </c>
      <c r="EI13">
        <v>1.340015053749084</v>
      </c>
      <c r="EJ13">
        <v>1.4</v>
      </c>
      <c r="EK13">
        <v>2</v>
      </c>
    </row>
    <row r="14" spans="1:141" x14ac:dyDescent="0.35">
      <c r="A14" s="2" t="s">
        <v>11</v>
      </c>
      <c r="B14" s="1">
        <v>2.5110730217839001</v>
      </c>
      <c r="C14" s="1">
        <v>1.8566199541091919</v>
      </c>
      <c r="D14" s="1">
        <v>2.6</v>
      </c>
      <c r="E14">
        <v>2</v>
      </c>
      <c r="F14" s="1">
        <v>2.4880937738541502</v>
      </c>
      <c r="G14" s="1">
        <v>2.238118171691895</v>
      </c>
      <c r="H14" s="1">
        <v>2.5</v>
      </c>
      <c r="I14">
        <v>2</v>
      </c>
      <c r="J14" s="1">
        <v>1.9297017062055499</v>
      </c>
      <c r="K14" s="1">
        <v>2.486784934997559</v>
      </c>
      <c r="L14" s="1">
        <v>1.8</v>
      </c>
      <c r="M14">
        <v>3</v>
      </c>
      <c r="N14" s="1">
        <v>2.3575138340659598</v>
      </c>
      <c r="O14" s="1">
        <v>2.7393310070037842</v>
      </c>
      <c r="P14">
        <v>0.9</v>
      </c>
      <c r="Q14">
        <v>0</v>
      </c>
      <c r="R14">
        <v>2.32268993220183</v>
      </c>
      <c r="S14">
        <v>2.6046042442321782</v>
      </c>
      <c r="T14">
        <v>2</v>
      </c>
      <c r="U14">
        <v>3</v>
      </c>
      <c r="V14">
        <v>2.1640689036843401</v>
      </c>
      <c r="W14">
        <v>2.1100368499755859</v>
      </c>
      <c r="X14">
        <v>2.5</v>
      </c>
      <c r="Y14">
        <v>2</v>
      </c>
      <c r="Z14">
        <v>1.83469136074766</v>
      </c>
      <c r="AA14">
        <v>1.810400724411011</v>
      </c>
      <c r="AB14">
        <v>1.4</v>
      </c>
      <c r="AC14">
        <v>1</v>
      </c>
      <c r="AD14">
        <v>2.2312308352421</v>
      </c>
      <c r="AE14">
        <v>1.908769965171814</v>
      </c>
      <c r="AF14">
        <v>1.9</v>
      </c>
      <c r="AG14">
        <v>2</v>
      </c>
      <c r="AH14">
        <v>1.00179028938578</v>
      </c>
      <c r="AI14">
        <v>1.4528733491897581</v>
      </c>
      <c r="AJ14">
        <v>0.8</v>
      </c>
      <c r="AK14">
        <v>2</v>
      </c>
      <c r="AL14">
        <v>2.4773389648839199</v>
      </c>
      <c r="AM14">
        <v>1.828703761100769</v>
      </c>
      <c r="AN14">
        <v>1.6</v>
      </c>
      <c r="AO14">
        <v>2</v>
      </c>
      <c r="AP14">
        <v>2.4252309174228501</v>
      </c>
      <c r="AQ14">
        <v>2.013385534286499</v>
      </c>
      <c r="AR14">
        <v>2</v>
      </c>
      <c r="AS14">
        <v>2</v>
      </c>
      <c r="AT14">
        <v>2.6692429423005102</v>
      </c>
      <c r="AU14">
        <v>2.4111061096191411</v>
      </c>
      <c r="AV14">
        <v>3.1</v>
      </c>
      <c r="AW14">
        <v>3</v>
      </c>
      <c r="AX14">
        <v>1.9350160928108699</v>
      </c>
      <c r="AY14">
        <v>1.7033141851425171</v>
      </c>
      <c r="AZ14">
        <v>3.4</v>
      </c>
      <c r="BA14">
        <v>2</v>
      </c>
      <c r="BB14">
        <v>1.8630279676797601</v>
      </c>
      <c r="BC14">
        <v>1.5662586688995359</v>
      </c>
      <c r="BD14">
        <v>1.9</v>
      </c>
      <c r="BE14">
        <v>3</v>
      </c>
      <c r="BF14">
        <v>1.70563502209838</v>
      </c>
      <c r="BG14">
        <v>2.2800054550170898</v>
      </c>
      <c r="BH14">
        <v>0.6</v>
      </c>
      <c r="BI14">
        <v>2</v>
      </c>
      <c r="BJ14">
        <v>2.2848311794808298</v>
      </c>
      <c r="BK14">
        <v>2.1361680030822749</v>
      </c>
      <c r="BL14">
        <v>2.1</v>
      </c>
      <c r="BM14">
        <v>2</v>
      </c>
      <c r="BN14">
        <v>2.1036352532883602</v>
      </c>
      <c r="BO14">
        <v>1.66782546043396</v>
      </c>
      <c r="BP14">
        <v>5.6</v>
      </c>
      <c r="BQ14">
        <v>6</v>
      </c>
      <c r="BR14">
        <v>3.2124447875698898</v>
      </c>
      <c r="BS14">
        <v>2.4078981876373291</v>
      </c>
      <c r="BT14">
        <v>2</v>
      </c>
      <c r="BU14">
        <v>3</v>
      </c>
      <c r="BV14">
        <v>2.0764423769657898</v>
      </c>
      <c r="BW14">
        <v>1.5869846343994141</v>
      </c>
      <c r="BX14">
        <v>3.1</v>
      </c>
      <c r="BY14">
        <v>5</v>
      </c>
      <c r="BZ14">
        <v>2.46403610865387</v>
      </c>
      <c r="CA14">
        <v>2.0374610424041748</v>
      </c>
      <c r="CB14">
        <v>2.7</v>
      </c>
      <c r="CC14">
        <v>2</v>
      </c>
      <c r="CD14">
        <v>1.8462791401565899</v>
      </c>
      <c r="CE14">
        <v>1.8228651285171511</v>
      </c>
      <c r="CF14">
        <v>2</v>
      </c>
      <c r="CG14">
        <v>1</v>
      </c>
      <c r="CH14">
        <v>1.9485423869168701</v>
      </c>
      <c r="CI14">
        <v>2.0773360729217529</v>
      </c>
      <c r="CJ14">
        <v>3.4</v>
      </c>
      <c r="CK14">
        <v>2</v>
      </c>
      <c r="CL14">
        <v>3.2063891415158601</v>
      </c>
      <c r="CM14">
        <v>3.0163180828094478</v>
      </c>
      <c r="CN14">
        <v>2</v>
      </c>
      <c r="CO14">
        <v>4</v>
      </c>
      <c r="CP14">
        <v>1.8190069169095699</v>
      </c>
      <c r="CQ14">
        <v>1.9230597019195561</v>
      </c>
      <c r="CR14">
        <v>2.5</v>
      </c>
      <c r="CS14">
        <v>2</v>
      </c>
      <c r="CT14">
        <v>2.7632995831145299</v>
      </c>
      <c r="CU14">
        <v>2.206148624420166</v>
      </c>
      <c r="CV14">
        <v>1.7</v>
      </c>
      <c r="CW14">
        <v>2</v>
      </c>
      <c r="CX14">
        <v>1.51540143535976</v>
      </c>
      <c r="CY14">
        <v>1.037015318870544</v>
      </c>
      <c r="CZ14">
        <v>0.7</v>
      </c>
      <c r="DA14">
        <v>2</v>
      </c>
      <c r="DB14">
        <v>2.3789004119302799</v>
      </c>
      <c r="DC14">
        <v>3.0200626850128169</v>
      </c>
      <c r="DD14">
        <v>1.7</v>
      </c>
      <c r="DE14">
        <v>2</v>
      </c>
      <c r="DF14">
        <v>3.4083563130235199</v>
      </c>
      <c r="DG14">
        <v>2.153834342956543</v>
      </c>
      <c r="DH14">
        <v>3.9</v>
      </c>
      <c r="DI14">
        <v>3</v>
      </c>
      <c r="DJ14">
        <v>1.8993115493952899</v>
      </c>
      <c r="DK14">
        <v>2.156186580657959</v>
      </c>
      <c r="DL14">
        <v>2.5</v>
      </c>
      <c r="DM14">
        <v>2</v>
      </c>
      <c r="DN14">
        <v>2.17792535971742</v>
      </c>
      <c r="DO14">
        <v>2.1093041896820068</v>
      </c>
      <c r="DP14">
        <v>1.5</v>
      </c>
      <c r="DQ14">
        <v>1</v>
      </c>
      <c r="DR14">
        <v>1.78935796027945</v>
      </c>
      <c r="DS14">
        <v>1.8072401285171511</v>
      </c>
      <c r="DT14">
        <v>1.5</v>
      </c>
      <c r="DU14">
        <v>2</v>
      </c>
      <c r="DV14">
        <v>2.6514092711476098</v>
      </c>
      <c r="DW14">
        <v>2.3446145057678218</v>
      </c>
      <c r="DX14">
        <v>1.8</v>
      </c>
      <c r="DY14">
        <v>2</v>
      </c>
      <c r="DZ14">
        <v>2.5158154809068001</v>
      </c>
      <c r="EA14">
        <v>2.1959588527679439</v>
      </c>
      <c r="EB14">
        <v>2.5</v>
      </c>
      <c r="EC14">
        <v>1</v>
      </c>
      <c r="ED14">
        <v>2.6861318549239002</v>
      </c>
      <c r="EE14">
        <v>2.304385662078857</v>
      </c>
      <c r="EF14">
        <v>2.2000000000000002</v>
      </c>
      <c r="EG14">
        <v>5</v>
      </c>
      <c r="EH14">
        <v>1.7473810284611899</v>
      </c>
      <c r="EI14">
        <v>1.2161968946456909</v>
      </c>
      <c r="EJ14">
        <v>1</v>
      </c>
      <c r="EK14">
        <v>1</v>
      </c>
    </row>
    <row r="15" spans="1:141" x14ac:dyDescent="0.35">
      <c r="A15" s="2" t="s">
        <v>12</v>
      </c>
      <c r="B15" s="1">
        <v>1.6588124838887</v>
      </c>
      <c r="C15" s="1">
        <v>2.3581159114837651</v>
      </c>
      <c r="D15" s="1">
        <v>0.8</v>
      </c>
      <c r="E15">
        <v>2</v>
      </c>
      <c r="F15" s="1">
        <v>3.0438686522970899</v>
      </c>
      <c r="G15" s="1">
        <v>2.7032706737518311</v>
      </c>
      <c r="H15" s="1">
        <v>3.3</v>
      </c>
      <c r="I15">
        <v>4</v>
      </c>
      <c r="J15" s="1">
        <v>1.97119488015711</v>
      </c>
      <c r="K15" s="1">
        <v>2.394019603729248</v>
      </c>
      <c r="L15" s="1">
        <v>3</v>
      </c>
      <c r="M15">
        <v>3</v>
      </c>
      <c r="N15" s="1">
        <v>2.3619811282886798</v>
      </c>
      <c r="O15" s="1">
        <v>2.2763996124267578</v>
      </c>
      <c r="P15">
        <v>2.1</v>
      </c>
      <c r="Q15">
        <v>2</v>
      </c>
      <c r="R15">
        <v>1.2143486197270099</v>
      </c>
      <c r="S15">
        <v>2.187080860137939</v>
      </c>
      <c r="T15">
        <v>2.1</v>
      </c>
      <c r="U15">
        <v>2</v>
      </c>
      <c r="V15">
        <v>1.7685976900770699</v>
      </c>
      <c r="W15">
        <v>2.4470772743225102</v>
      </c>
      <c r="X15">
        <v>0.9</v>
      </c>
      <c r="Y15">
        <v>1</v>
      </c>
      <c r="Z15">
        <v>2.16902119364237</v>
      </c>
      <c r="AA15">
        <v>1.940568089485168</v>
      </c>
      <c r="AB15">
        <v>1.6</v>
      </c>
      <c r="AC15">
        <v>3</v>
      </c>
      <c r="AD15">
        <v>2.05437992913784</v>
      </c>
      <c r="AE15">
        <v>1.9174150228500371</v>
      </c>
      <c r="AF15">
        <v>1.6</v>
      </c>
      <c r="AG15">
        <v>2</v>
      </c>
      <c r="AH15">
        <v>3.2355988244665901</v>
      </c>
      <c r="AI15">
        <v>1.9702684879302981</v>
      </c>
      <c r="AJ15">
        <v>2.9</v>
      </c>
      <c r="AK15">
        <v>1</v>
      </c>
      <c r="AL15">
        <v>1.7268079101824201</v>
      </c>
      <c r="AM15">
        <v>2.0730020999908452</v>
      </c>
      <c r="AN15">
        <v>1.6</v>
      </c>
      <c r="AO15">
        <v>1</v>
      </c>
      <c r="AP15">
        <v>1.84178200518973</v>
      </c>
      <c r="AQ15">
        <v>1.9066363573074341</v>
      </c>
      <c r="AR15">
        <v>2.1</v>
      </c>
      <c r="AS15">
        <v>1</v>
      </c>
      <c r="AT15">
        <v>2.5499813616740501</v>
      </c>
      <c r="AU15">
        <v>2.2591004371643071</v>
      </c>
      <c r="AV15">
        <v>2.1</v>
      </c>
      <c r="AW15">
        <v>0</v>
      </c>
      <c r="AX15">
        <v>1.27733559050622</v>
      </c>
      <c r="AY15">
        <v>1.802762985229492</v>
      </c>
      <c r="AZ15">
        <v>0.8</v>
      </c>
      <c r="BA15">
        <v>0</v>
      </c>
      <c r="BB15">
        <v>2.2380198223468102</v>
      </c>
      <c r="BC15">
        <v>1.982011079788208</v>
      </c>
      <c r="BD15">
        <v>2.4</v>
      </c>
      <c r="BE15">
        <v>3</v>
      </c>
      <c r="BF15">
        <v>1.74169736521123</v>
      </c>
      <c r="BG15">
        <v>2.1870725154876709</v>
      </c>
      <c r="BH15">
        <v>1.4</v>
      </c>
      <c r="BI15">
        <v>2</v>
      </c>
      <c r="BJ15">
        <v>2.3391428607800901</v>
      </c>
      <c r="BK15">
        <v>2.7959105968475342</v>
      </c>
      <c r="BL15">
        <v>0.9</v>
      </c>
      <c r="BM15">
        <v>1</v>
      </c>
      <c r="BN15">
        <v>1.80304218577068</v>
      </c>
      <c r="BO15">
        <v>1.5506840944290159</v>
      </c>
      <c r="BP15">
        <v>1</v>
      </c>
      <c r="BQ15">
        <v>1</v>
      </c>
      <c r="BR15">
        <v>2.0675340505777302</v>
      </c>
      <c r="BS15">
        <v>2.0243363380432129</v>
      </c>
      <c r="BT15">
        <v>2.1</v>
      </c>
      <c r="BU15">
        <v>1</v>
      </c>
      <c r="BV15">
        <v>2.3882977203682798</v>
      </c>
      <c r="BW15">
        <v>1.992811799049377</v>
      </c>
      <c r="BX15">
        <v>1.3</v>
      </c>
      <c r="BY15">
        <v>2</v>
      </c>
      <c r="BZ15">
        <v>2.5170187424726098</v>
      </c>
      <c r="CA15">
        <v>1.847583532333374</v>
      </c>
      <c r="CB15">
        <v>1.9</v>
      </c>
      <c r="CC15">
        <v>4</v>
      </c>
      <c r="CD15">
        <v>1.84977768681077</v>
      </c>
      <c r="CE15">
        <v>1.4994686841964719</v>
      </c>
      <c r="CF15">
        <v>2.2000000000000002</v>
      </c>
      <c r="CG15">
        <v>2</v>
      </c>
      <c r="CH15">
        <v>2.3837956396719302</v>
      </c>
      <c r="CI15">
        <v>3.9519650936126709</v>
      </c>
      <c r="CJ15">
        <v>3</v>
      </c>
      <c r="CK15">
        <v>6</v>
      </c>
      <c r="CL15">
        <v>2.1181376606774802</v>
      </c>
      <c r="CM15">
        <v>1.7942206859588621</v>
      </c>
      <c r="CN15">
        <v>2.2000000000000002</v>
      </c>
      <c r="CO15">
        <v>3</v>
      </c>
      <c r="CP15">
        <v>0.951013093998758</v>
      </c>
      <c r="CQ15">
        <v>1.4619584083557129</v>
      </c>
      <c r="CR15">
        <v>0.8</v>
      </c>
      <c r="CS15">
        <v>1</v>
      </c>
      <c r="CT15">
        <v>2.2583223904594201</v>
      </c>
      <c r="CU15">
        <v>2.0513396263122559</v>
      </c>
      <c r="CV15">
        <v>1.9</v>
      </c>
      <c r="CW15">
        <v>4</v>
      </c>
      <c r="CX15">
        <v>1.6310298155173899</v>
      </c>
      <c r="CY15">
        <v>1.3210405111312871</v>
      </c>
      <c r="CZ15">
        <v>0.6</v>
      </c>
      <c r="DA15">
        <v>0</v>
      </c>
      <c r="DB15">
        <v>1.9970094460600301</v>
      </c>
      <c r="DC15">
        <v>1.783692479133606</v>
      </c>
      <c r="DD15">
        <v>2.1</v>
      </c>
      <c r="DE15">
        <v>1</v>
      </c>
      <c r="DF15">
        <v>1.7526978011957199</v>
      </c>
      <c r="DG15">
        <v>1.7837092876434331</v>
      </c>
      <c r="DH15">
        <v>0.9</v>
      </c>
      <c r="DI15">
        <v>0</v>
      </c>
      <c r="DJ15">
        <v>2.3517714424267702</v>
      </c>
      <c r="DK15">
        <v>1.6991474628448491</v>
      </c>
      <c r="DL15">
        <v>1.7</v>
      </c>
      <c r="DM15">
        <v>2</v>
      </c>
      <c r="DN15">
        <v>3.0496173591382498</v>
      </c>
      <c r="DO15">
        <v>1.6638526916503911</v>
      </c>
      <c r="DP15">
        <v>2.2000000000000002</v>
      </c>
      <c r="DQ15">
        <v>2</v>
      </c>
      <c r="DR15">
        <v>1.8318919733574199</v>
      </c>
      <c r="DS15">
        <v>1.3933379650115969</v>
      </c>
      <c r="DT15">
        <v>0.5</v>
      </c>
      <c r="DU15">
        <v>0</v>
      </c>
      <c r="DV15">
        <v>2.2239733656382201</v>
      </c>
      <c r="DW15">
        <v>1.4377856254577639</v>
      </c>
      <c r="DX15">
        <v>3.7</v>
      </c>
      <c r="DY15">
        <v>5</v>
      </c>
      <c r="DZ15">
        <v>1.61918243447234</v>
      </c>
      <c r="EA15">
        <v>1.6818723678588869</v>
      </c>
      <c r="EB15">
        <v>2</v>
      </c>
      <c r="EC15">
        <v>2</v>
      </c>
      <c r="ED15">
        <v>2.3023045670105899</v>
      </c>
      <c r="EE15">
        <v>3.065041065216064</v>
      </c>
      <c r="EF15">
        <v>1.3</v>
      </c>
      <c r="EG15">
        <v>2</v>
      </c>
      <c r="EH15">
        <v>2.6232377315161002</v>
      </c>
      <c r="EI15">
        <v>2.808948278427124</v>
      </c>
      <c r="EJ15">
        <v>0.7</v>
      </c>
      <c r="EK15">
        <v>1</v>
      </c>
    </row>
    <row r="16" spans="1:141" x14ac:dyDescent="0.35">
      <c r="A16" s="2" t="s">
        <v>13</v>
      </c>
      <c r="B16" s="1">
        <v>1.50146347468302</v>
      </c>
      <c r="C16" s="1">
        <v>1.5964978933334351</v>
      </c>
      <c r="D16" s="1">
        <v>2.4</v>
      </c>
      <c r="E16">
        <v>1</v>
      </c>
      <c r="F16" s="1">
        <v>1.2749383995077599</v>
      </c>
      <c r="G16" s="1">
        <v>1.201033234596252</v>
      </c>
      <c r="H16" s="1">
        <v>1.4</v>
      </c>
      <c r="I16">
        <v>1</v>
      </c>
      <c r="J16" s="1">
        <v>1.12904922335311</v>
      </c>
      <c r="K16" s="1">
        <v>1.399904251098633</v>
      </c>
      <c r="L16" s="1">
        <v>1.4</v>
      </c>
      <c r="M16">
        <v>0</v>
      </c>
      <c r="N16" s="1">
        <v>1.7540774210855801</v>
      </c>
      <c r="O16" s="1">
        <v>1.5410773754119871</v>
      </c>
      <c r="P16">
        <v>2.6</v>
      </c>
      <c r="Q16">
        <v>3</v>
      </c>
      <c r="R16">
        <v>1.2056567199442001</v>
      </c>
      <c r="S16">
        <v>1.1873335838317871</v>
      </c>
      <c r="T16">
        <v>1.6</v>
      </c>
      <c r="U16">
        <v>0</v>
      </c>
      <c r="V16">
        <v>1.76517587144763</v>
      </c>
      <c r="W16">
        <v>1.1708143949508669</v>
      </c>
      <c r="X16">
        <v>1</v>
      </c>
      <c r="Y16">
        <v>0</v>
      </c>
      <c r="Z16">
        <v>1.2481214997725301</v>
      </c>
      <c r="AA16">
        <v>1.314858555793762</v>
      </c>
      <c r="AB16">
        <v>0.6</v>
      </c>
      <c r="AC16">
        <v>0</v>
      </c>
      <c r="AD16">
        <v>1.63503630227818</v>
      </c>
      <c r="AE16">
        <v>1.2916111946105959</v>
      </c>
      <c r="AF16">
        <v>1.3</v>
      </c>
      <c r="AG16">
        <v>2</v>
      </c>
      <c r="AH16">
        <v>1.3645219893255001</v>
      </c>
      <c r="AI16">
        <v>1.1624013185501101</v>
      </c>
      <c r="AJ16">
        <v>2.2999999999999998</v>
      </c>
      <c r="AK16">
        <v>1</v>
      </c>
      <c r="AL16">
        <v>1.4662403212931201</v>
      </c>
      <c r="AM16">
        <v>2.3608143329620361</v>
      </c>
      <c r="AN16">
        <v>2</v>
      </c>
      <c r="AO16">
        <v>1</v>
      </c>
      <c r="AP16">
        <v>2.1110393434266901</v>
      </c>
      <c r="AQ16">
        <v>1.5381671190261841</v>
      </c>
      <c r="AR16">
        <v>0.8</v>
      </c>
      <c r="AS16">
        <v>3</v>
      </c>
      <c r="AT16">
        <v>1.65013698094191</v>
      </c>
      <c r="AU16">
        <v>2.0201196670532231</v>
      </c>
      <c r="AV16">
        <v>0.8</v>
      </c>
      <c r="AW16">
        <v>1</v>
      </c>
      <c r="AX16">
        <v>1.4312109391577199</v>
      </c>
      <c r="AY16">
        <v>1.524198532104492</v>
      </c>
      <c r="AZ16">
        <v>1.1000000000000001</v>
      </c>
      <c r="BA16">
        <v>4</v>
      </c>
      <c r="BB16">
        <v>0.65832064194198903</v>
      </c>
      <c r="BC16">
        <v>1.135291218757629</v>
      </c>
      <c r="BD16">
        <v>0.2</v>
      </c>
      <c r="BE16">
        <v>0</v>
      </c>
      <c r="BF16">
        <v>1.5492264569473699</v>
      </c>
      <c r="BG16">
        <v>1.8622323274612429</v>
      </c>
      <c r="BH16">
        <v>1.6</v>
      </c>
      <c r="BI16">
        <v>2</v>
      </c>
      <c r="BJ16">
        <v>0.99583720894071204</v>
      </c>
      <c r="BK16">
        <v>0.59908777475357056</v>
      </c>
      <c r="BL16">
        <v>2.1</v>
      </c>
      <c r="BM16">
        <v>2</v>
      </c>
      <c r="BN16">
        <v>1.5263421330793701</v>
      </c>
      <c r="BO16">
        <v>1.694149494171143</v>
      </c>
      <c r="BP16">
        <v>2.2000000000000002</v>
      </c>
      <c r="BQ16">
        <v>0</v>
      </c>
      <c r="BR16">
        <v>1.4221052499457201</v>
      </c>
      <c r="BS16">
        <v>1.7038567066192629</v>
      </c>
      <c r="BT16">
        <v>0.4</v>
      </c>
      <c r="BU16">
        <v>0</v>
      </c>
      <c r="BV16">
        <v>1.56328052177287</v>
      </c>
      <c r="BW16">
        <v>1.484158396720886</v>
      </c>
      <c r="BX16">
        <v>0.8</v>
      </c>
      <c r="BY16">
        <v>0</v>
      </c>
      <c r="BZ16">
        <v>0.88421115463474798</v>
      </c>
      <c r="CA16">
        <v>0.76646119356155396</v>
      </c>
      <c r="CB16">
        <v>1</v>
      </c>
      <c r="CC16">
        <v>2</v>
      </c>
      <c r="CD16">
        <v>2.23978145898417</v>
      </c>
      <c r="CE16">
        <v>2.3948297500610352</v>
      </c>
      <c r="CF16">
        <v>3.4</v>
      </c>
      <c r="CG16">
        <v>3</v>
      </c>
      <c r="CH16">
        <v>1.62796884233147</v>
      </c>
      <c r="CI16">
        <v>1.4946926832199099</v>
      </c>
      <c r="CJ16">
        <v>1.5</v>
      </c>
      <c r="CK16">
        <v>1</v>
      </c>
      <c r="CL16">
        <v>1.1758661404049</v>
      </c>
      <c r="CM16">
        <v>1.1804943084716799</v>
      </c>
      <c r="CN16">
        <v>0.3</v>
      </c>
      <c r="CO16">
        <v>1</v>
      </c>
      <c r="CP16">
        <v>1.5395030656967501</v>
      </c>
      <c r="CQ16">
        <v>1.569720983505249</v>
      </c>
      <c r="CR16">
        <v>1.1000000000000001</v>
      </c>
      <c r="CS16">
        <v>0</v>
      </c>
      <c r="CT16">
        <v>1.38239162929566</v>
      </c>
      <c r="CU16">
        <v>1.5811642408370969</v>
      </c>
      <c r="CV16">
        <v>1.5</v>
      </c>
      <c r="CW16">
        <v>0</v>
      </c>
      <c r="CX16">
        <v>1.12084810020966</v>
      </c>
      <c r="CY16">
        <v>1.373952984809875</v>
      </c>
      <c r="CZ16">
        <v>0.4</v>
      </c>
      <c r="DA16">
        <v>2</v>
      </c>
      <c r="DB16">
        <v>2.1070599109647299</v>
      </c>
      <c r="DC16">
        <v>2.2264986038208008</v>
      </c>
      <c r="DD16">
        <v>0.7</v>
      </c>
      <c r="DE16">
        <v>3</v>
      </c>
      <c r="DF16">
        <v>0.840609627695726</v>
      </c>
      <c r="DG16">
        <v>0.85398375988006592</v>
      </c>
      <c r="DH16">
        <v>1.5</v>
      </c>
      <c r="DI16">
        <v>1</v>
      </c>
      <c r="DJ16">
        <v>1.6532534602762099</v>
      </c>
      <c r="DK16">
        <v>1.423442482948303</v>
      </c>
      <c r="DL16">
        <v>0.9</v>
      </c>
      <c r="DM16">
        <v>3</v>
      </c>
      <c r="DN16">
        <v>1.2132715615532701</v>
      </c>
      <c r="DO16">
        <v>1.3841860294342041</v>
      </c>
      <c r="DP16">
        <v>1.6</v>
      </c>
      <c r="DQ16">
        <v>0</v>
      </c>
      <c r="DR16">
        <v>1.2715845320963901</v>
      </c>
      <c r="DS16">
        <v>1.1730455160140989</v>
      </c>
      <c r="DT16">
        <v>0.9</v>
      </c>
      <c r="DU16">
        <v>0</v>
      </c>
      <c r="DV16">
        <v>1.22427795580928</v>
      </c>
      <c r="DW16">
        <v>1.302610516548157</v>
      </c>
      <c r="DX16">
        <v>0.7</v>
      </c>
      <c r="DY16">
        <v>1</v>
      </c>
      <c r="DZ16">
        <v>1.81588619365569</v>
      </c>
      <c r="EA16">
        <v>2.077325582504272</v>
      </c>
      <c r="EB16">
        <v>1.3</v>
      </c>
      <c r="EC16">
        <v>0</v>
      </c>
      <c r="ED16">
        <v>1.1953497792148</v>
      </c>
      <c r="EE16">
        <v>1.363089442253113</v>
      </c>
      <c r="EF16">
        <v>2.2999999999999998</v>
      </c>
      <c r="EG16">
        <v>1</v>
      </c>
      <c r="EH16">
        <v>1.28047325732491</v>
      </c>
      <c r="EI16">
        <v>1.141839861869812</v>
      </c>
      <c r="EJ16">
        <v>1.5</v>
      </c>
      <c r="EK16">
        <v>3</v>
      </c>
    </row>
    <row r="17" spans="1:141" x14ac:dyDescent="0.35">
      <c r="A17" s="2" t="s">
        <v>14</v>
      </c>
      <c r="B17" s="1">
        <v>2.7846461381541299</v>
      </c>
      <c r="C17" s="1">
        <v>1.641333222389221</v>
      </c>
      <c r="D17" s="1">
        <v>0.3</v>
      </c>
      <c r="E17">
        <v>1</v>
      </c>
      <c r="F17" s="1">
        <v>1.4861388074636199</v>
      </c>
      <c r="G17" s="1">
        <v>1.3569750785827639</v>
      </c>
      <c r="H17" s="1">
        <v>1.6</v>
      </c>
      <c r="I17">
        <v>1</v>
      </c>
      <c r="J17" s="1">
        <v>2.1945847233769</v>
      </c>
      <c r="K17" s="1">
        <v>2.4413716793060298</v>
      </c>
      <c r="L17" s="1">
        <v>1.8</v>
      </c>
      <c r="M17">
        <v>2</v>
      </c>
      <c r="N17" s="1">
        <v>1.7680563772976801</v>
      </c>
      <c r="O17" s="1">
        <v>1.297576308250427</v>
      </c>
      <c r="P17">
        <v>1.5</v>
      </c>
      <c r="Q17">
        <v>2</v>
      </c>
      <c r="R17">
        <v>1.4619154443531099</v>
      </c>
      <c r="S17">
        <v>1.5653325319290159</v>
      </c>
      <c r="T17">
        <v>1.5</v>
      </c>
      <c r="U17">
        <v>1</v>
      </c>
      <c r="V17">
        <v>1.5809189519073299</v>
      </c>
      <c r="W17">
        <v>0.94948190450668335</v>
      </c>
      <c r="X17">
        <v>1.6</v>
      </c>
      <c r="Y17">
        <v>1</v>
      </c>
      <c r="Z17">
        <v>1.39351333639568</v>
      </c>
      <c r="AA17">
        <v>1.5746409893035891</v>
      </c>
      <c r="AB17">
        <v>2.1</v>
      </c>
      <c r="AC17">
        <v>0</v>
      </c>
      <c r="AD17">
        <v>2.0239997664279299</v>
      </c>
      <c r="AE17">
        <v>1.8800415992736821</v>
      </c>
      <c r="AF17">
        <v>2</v>
      </c>
      <c r="AG17">
        <v>0</v>
      </c>
      <c r="AH17">
        <v>1.4276200566811701</v>
      </c>
      <c r="AI17">
        <v>1.0220011472702031</v>
      </c>
      <c r="AJ17">
        <v>1.8</v>
      </c>
      <c r="AK17">
        <v>1</v>
      </c>
      <c r="AL17">
        <v>1.0451021210434099</v>
      </c>
      <c r="AM17">
        <v>0.89206111431121826</v>
      </c>
      <c r="AN17">
        <v>0.5</v>
      </c>
      <c r="AO17">
        <v>1</v>
      </c>
      <c r="AP17">
        <v>1.5084203661297499</v>
      </c>
      <c r="AQ17">
        <v>1.0327328443527219</v>
      </c>
      <c r="AR17">
        <v>1.6</v>
      </c>
      <c r="AS17">
        <v>3</v>
      </c>
      <c r="AT17">
        <v>2.1662161785595901</v>
      </c>
      <c r="AU17">
        <v>1.994516968727112</v>
      </c>
      <c r="AV17">
        <v>1.6</v>
      </c>
      <c r="AW17">
        <v>0</v>
      </c>
      <c r="AX17">
        <v>1.49895308565277</v>
      </c>
      <c r="AY17">
        <v>1.072803735733032</v>
      </c>
      <c r="AZ17">
        <v>0</v>
      </c>
      <c r="BA17">
        <v>1</v>
      </c>
      <c r="BB17">
        <v>1.4037095212950199</v>
      </c>
      <c r="BC17">
        <v>1.095718145370483</v>
      </c>
      <c r="BD17">
        <v>2.1</v>
      </c>
      <c r="BE17">
        <v>3</v>
      </c>
      <c r="BF17">
        <v>1.5919700097154199</v>
      </c>
      <c r="BG17">
        <v>1.4914577007293699</v>
      </c>
      <c r="BH17">
        <v>1.5</v>
      </c>
      <c r="BI17">
        <v>2</v>
      </c>
      <c r="BJ17">
        <v>2.62458532799476</v>
      </c>
      <c r="BK17">
        <v>1.604506731033325</v>
      </c>
      <c r="BL17">
        <v>3.8</v>
      </c>
      <c r="BM17">
        <v>4</v>
      </c>
      <c r="BN17">
        <v>2.0515606792678902</v>
      </c>
      <c r="BO17">
        <v>1.679097652435303</v>
      </c>
      <c r="BP17">
        <v>2.2999999999999998</v>
      </c>
      <c r="BQ17">
        <v>4</v>
      </c>
      <c r="BR17">
        <v>1.98142720070914</v>
      </c>
      <c r="BS17">
        <v>2.4737963676452641</v>
      </c>
      <c r="BT17">
        <v>2.7</v>
      </c>
      <c r="BU17">
        <v>3</v>
      </c>
      <c r="BV17">
        <v>1.5765770683781299</v>
      </c>
      <c r="BW17">
        <v>1.0891571044921879</v>
      </c>
      <c r="BX17">
        <v>1.9</v>
      </c>
      <c r="BY17">
        <v>2</v>
      </c>
      <c r="BZ17">
        <v>1.7186817474954199</v>
      </c>
      <c r="CA17">
        <v>1.225002765655518</v>
      </c>
      <c r="CB17">
        <v>2.5</v>
      </c>
      <c r="CC17">
        <v>2</v>
      </c>
      <c r="CD17">
        <v>2.2576311881714002</v>
      </c>
      <c r="CE17">
        <v>1.747550487518311</v>
      </c>
      <c r="CF17">
        <v>2.1</v>
      </c>
      <c r="CG17">
        <v>3</v>
      </c>
      <c r="CH17">
        <v>1.8976506432503</v>
      </c>
      <c r="CI17">
        <v>2.1432487964630131</v>
      </c>
      <c r="CJ17">
        <v>0.8</v>
      </c>
      <c r="CK17">
        <v>1</v>
      </c>
      <c r="CL17">
        <v>2.1807863874650502</v>
      </c>
      <c r="CM17">
        <v>1.138511657714844</v>
      </c>
      <c r="CN17">
        <v>2.9</v>
      </c>
      <c r="CO17">
        <v>3</v>
      </c>
      <c r="CP17">
        <v>1.8667198308944899</v>
      </c>
      <c r="CQ17">
        <v>2.242706298828125</v>
      </c>
      <c r="CR17">
        <v>0.8</v>
      </c>
      <c r="CS17">
        <v>1</v>
      </c>
      <c r="CT17">
        <v>1.2380914338690101</v>
      </c>
      <c r="CU17">
        <v>0.51678144931793213</v>
      </c>
      <c r="CV17">
        <v>0.5</v>
      </c>
      <c r="CW17">
        <v>0</v>
      </c>
      <c r="CX17">
        <v>1.92610196551108</v>
      </c>
      <c r="CY17">
        <v>2.040267705917358</v>
      </c>
      <c r="CZ17">
        <v>2.9</v>
      </c>
      <c r="DA17">
        <v>4</v>
      </c>
      <c r="DB17">
        <v>1.0993104560224201</v>
      </c>
      <c r="DC17">
        <v>0.79855519533157349</v>
      </c>
      <c r="DD17">
        <v>0.2</v>
      </c>
      <c r="DE17">
        <v>0</v>
      </c>
      <c r="DF17">
        <v>1.6964650157096</v>
      </c>
      <c r="DG17">
        <v>1.591834545135498</v>
      </c>
      <c r="DH17">
        <v>1.4</v>
      </c>
      <c r="DI17">
        <v>1</v>
      </c>
      <c r="DJ17">
        <v>1.9140131950700201</v>
      </c>
      <c r="DK17">
        <v>1.879514813423157</v>
      </c>
      <c r="DL17">
        <v>1.5</v>
      </c>
      <c r="DM17">
        <v>5</v>
      </c>
      <c r="DN17">
        <v>2.03278650540563</v>
      </c>
      <c r="DO17">
        <v>1.878929615020752</v>
      </c>
      <c r="DP17">
        <v>1.3</v>
      </c>
      <c r="DQ17">
        <v>2</v>
      </c>
      <c r="DR17">
        <v>2.05543529485062</v>
      </c>
      <c r="DS17">
        <v>2.2271726131439209</v>
      </c>
      <c r="DT17">
        <v>3.2</v>
      </c>
      <c r="DU17">
        <v>3</v>
      </c>
      <c r="DV17">
        <v>2.0131312586120398</v>
      </c>
      <c r="DW17">
        <v>2.1010346412658691</v>
      </c>
      <c r="DX17">
        <v>2.2000000000000002</v>
      </c>
      <c r="DY17">
        <v>4</v>
      </c>
      <c r="DZ17">
        <v>1.55174814058199</v>
      </c>
      <c r="EA17">
        <v>1.538000822067261</v>
      </c>
      <c r="EB17">
        <v>1</v>
      </c>
      <c r="EC17">
        <v>1</v>
      </c>
      <c r="ED17">
        <v>2.6196378313571702</v>
      </c>
      <c r="EE17">
        <v>1.993748784065247</v>
      </c>
      <c r="EF17">
        <v>2.4</v>
      </c>
      <c r="EG17">
        <v>3</v>
      </c>
      <c r="EH17">
        <v>1.58508870422737</v>
      </c>
      <c r="EI17">
        <v>0.82584965229034424</v>
      </c>
      <c r="EJ17">
        <v>1.7</v>
      </c>
      <c r="EK17">
        <v>1</v>
      </c>
    </row>
    <row r="18" spans="1:141" x14ac:dyDescent="0.35">
      <c r="A18" s="2" t="s">
        <v>15</v>
      </c>
      <c r="B18" s="1">
        <v>1.3389500591208401</v>
      </c>
      <c r="C18" s="1">
        <v>1.5116086006164551</v>
      </c>
      <c r="D18" s="1">
        <v>1.3</v>
      </c>
      <c r="E18">
        <v>1</v>
      </c>
      <c r="F18" s="1">
        <v>1.5387258307066101</v>
      </c>
      <c r="G18" s="1">
        <v>1.394527673721313</v>
      </c>
      <c r="H18" s="1">
        <v>2.2000000000000002</v>
      </c>
      <c r="I18">
        <v>1</v>
      </c>
      <c r="J18" s="1">
        <v>1.5929462167480899</v>
      </c>
      <c r="K18" s="1">
        <v>1.619987368583679</v>
      </c>
      <c r="L18" s="1">
        <v>1</v>
      </c>
      <c r="M18">
        <v>1</v>
      </c>
      <c r="N18" s="1">
        <v>0.77565478415050504</v>
      </c>
      <c r="O18" s="1">
        <v>0.77818173170089722</v>
      </c>
      <c r="P18">
        <v>0.4</v>
      </c>
      <c r="Q18">
        <v>1</v>
      </c>
      <c r="R18">
        <v>1.11841166433134</v>
      </c>
      <c r="S18">
        <v>0.69331187009811401</v>
      </c>
      <c r="T18">
        <v>1.4</v>
      </c>
      <c r="U18">
        <v>2</v>
      </c>
      <c r="V18">
        <v>1.3171258033339399</v>
      </c>
      <c r="W18">
        <v>1.433870792388916</v>
      </c>
      <c r="X18">
        <v>0.8</v>
      </c>
      <c r="Y18">
        <v>0</v>
      </c>
      <c r="Z18">
        <v>1.00730446148997</v>
      </c>
      <c r="AA18">
        <v>0.82587432861328125</v>
      </c>
      <c r="AB18">
        <v>0.9</v>
      </c>
      <c r="AC18">
        <v>1</v>
      </c>
      <c r="AD18">
        <v>1.35049519773964</v>
      </c>
      <c r="AE18">
        <v>1.268871665000916</v>
      </c>
      <c r="AF18">
        <v>1.7</v>
      </c>
      <c r="AG18">
        <v>1</v>
      </c>
      <c r="AH18">
        <v>1.4502802290549399</v>
      </c>
      <c r="AI18">
        <v>1.189869284629822</v>
      </c>
      <c r="AJ18">
        <v>1.7</v>
      </c>
      <c r="AK18">
        <v>3</v>
      </c>
      <c r="AL18">
        <v>1.5284453388021799</v>
      </c>
      <c r="AM18">
        <v>1.584806442260742</v>
      </c>
      <c r="AN18">
        <v>2.2000000000000002</v>
      </c>
      <c r="AO18">
        <v>3</v>
      </c>
      <c r="AP18">
        <v>1.37135344801583</v>
      </c>
      <c r="AQ18">
        <v>1.2761267423629761</v>
      </c>
      <c r="AR18">
        <v>0.6</v>
      </c>
      <c r="AS18">
        <v>1</v>
      </c>
      <c r="AT18">
        <v>0.57749730112629805</v>
      </c>
      <c r="AU18">
        <v>0.81220000982284546</v>
      </c>
      <c r="AV18">
        <v>0.3</v>
      </c>
      <c r="AW18">
        <v>0</v>
      </c>
      <c r="AX18">
        <v>1.8483719548942401</v>
      </c>
      <c r="AY18">
        <v>2.45344066619873</v>
      </c>
      <c r="AZ18">
        <v>1.6</v>
      </c>
      <c r="BA18">
        <v>1</v>
      </c>
      <c r="BB18">
        <v>0.87357628469302095</v>
      </c>
      <c r="BC18">
        <v>0.79787600040435791</v>
      </c>
      <c r="BD18">
        <v>1</v>
      </c>
      <c r="BE18">
        <v>0</v>
      </c>
      <c r="BF18">
        <v>1.11240599866043</v>
      </c>
      <c r="BG18">
        <v>0.95621627569198608</v>
      </c>
      <c r="BH18">
        <v>0.8</v>
      </c>
      <c r="BI18">
        <v>3</v>
      </c>
      <c r="BJ18">
        <v>1.3980613749794499</v>
      </c>
      <c r="BK18">
        <v>0.98936516046524048</v>
      </c>
      <c r="BL18">
        <v>1.7</v>
      </c>
      <c r="BM18">
        <v>2</v>
      </c>
      <c r="BN18">
        <v>1.12326699659328</v>
      </c>
      <c r="BO18">
        <v>1.074120879173279</v>
      </c>
      <c r="BP18">
        <v>0.9</v>
      </c>
      <c r="BQ18">
        <v>2</v>
      </c>
      <c r="BR18">
        <v>1.5484617021383</v>
      </c>
      <c r="BS18">
        <v>1.145511150360107</v>
      </c>
      <c r="BT18">
        <v>1.1000000000000001</v>
      </c>
      <c r="BU18">
        <v>1</v>
      </c>
      <c r="BV18">
        <v>0.98323933901598504</v>
      </c>
      <c r="BW18">
        <v>1.106220960617065</v>
      </c>
      <c r="BX18">
        <v>1.5</v>
      </c>
      <c r="BY18">
        <v>2</v>
      </c>
      <c r="BZ18">
        <v>1.2475105464391101</v>
      </c>
      <c r="CA18">
        <v>1.6052641868591311</v>
      </c>
      <c r="CB18">
        <v>2.1</v>
      </c>
      <c r="CC18">
        <v>3</v>
      </c>
      <c r="CD18">
        <v>0.99043359388177998</v>
      </c>
      <c r="CE18">
        <v>1.045042037963867</v>
      </c>
      <c r="CF18">
        <v>0.3</v>
      </c>
      <c r="CG18">
        <v>1</v>
      </c>
      <c r="CH18">
        <v>1.9647990132292701</v>
      </c>
      <c r="CI18">
        <v>1.473637580871582</v>
      </c>
      <c r="CJ18">
        <v>1.8</v>
      </c>
      <c r="CK18">
        <v>3</v>
      </c>
      <c r="CL18">
        <v>1.04859429800363</v>
      </c>
      <c r="CM18">
        <v>1.45586109161377</v>
      </c>
      <c r="CN18">
        <v>1</v>
      </c>
      <c r="CO18">
        <v>0</v>
      </c>
      <c r="CP18">
        <v>1.4280998541846901</v>
      </c>
      <c r="CQ18">
        <v>1.2879699468612671</v>
      </c>
      <c r="CR18">
        <v>3.3</v>
      </c>
      <c r="CS18">
        <v>7</v>
      </c>
      <c r="CT18">
        <v>1.03150270446702</v>
      </c>
      <c r="CU18">
        <v>0.86510592699050903</v>
      </c>
      <c r="CV18">
        <v>0.4</v>
      </c>
      <c r="CW18">
        <v>1</v>
      </c>
      <c r="CX18">
        <v>1.07397090454682</v>
      </c>
      <c r="CY18">
        <v>1.393847703933716</v>
      </c>
      <c r="CZ18">
        <v>1.7</v>
      </c>
      <c r="DA18">
        <v>3</v>
      </c>
      <c r="DB18">
        <v>0.73740630380817096</v>
      </c>
      <c r="DC18">
        <v>0.89309084415435791</v>
      </c>
      <c r="DD18">
        <v>0.4</v>
      </c>
      <c r="DE18">
        <v>0</v>
      </c>
      <c r="DF18">
        <v>1.11546955792451</v>
      </c>
      <c r="DG18">
        <v>0.89106881618499756</v>
      </c>
      <c r="DH18">
        <v>0.7</v>
      </c>
      <c r="DI18">
        <v>1</v>
      </c>
      <c r="DJ18">
        <v>1.4475463661165699</v>
      </c>
      <c r="DK18">
        <v>1.469708919525146</v>
      </c>
      <c r="DL18">
        <v>1.5</v>
      </c>
      <c r="DM18">
        <v>4</v>
      </c>
      <c r="DN18">
        <v>1.4204312196895099</v>
      </c>
      <c r="DO18">
        <v>1.1549638509750371</v>
      </c>
      <c r="DP18">
        <v>0.5</v>
      </c>
      <c r="DQ18">
        <v>1</v>
      </c>
      <c r="DR18">
        <v>1.0948871289681601</v>
      </c>
      <c r="DS18">
        <v>1.2548457384109499</v>
      </c>
      <c r="DT18">
        <v>1.5</v>
      </c>
      <c r="DU18">
        <v>1</v>
      </c>
      <c r="DV18">
        <v>1.25549831198951</v>
      </c>
      <c r="DW18">
        <v>1.247487425804138</v>
      </c>
      <c r="DX18">
        <v>0.5</v>
      </c>
      <c r="DY18">
        <v>0</v>
      </c>
      <c r="DZ18">
        <v>1.2126726463609501</v>
      </c>
      <c r="EA18">
        <v>0.96091306209564209</v>
      </c>
      <c r="EB18">
        <v>0.5</v>
      </c>
      <c r="EC18">
        <v>2</v>
      </c>
      <c r="ED18">
        <v>1.43429962794996</v>
      </c>
      <c r="EE18">
        <v>1.2640314102172849</v>
      </c>
      <c r="EF18">
        <v>0.9</v>
      </c>
      <c r="EG18">
        <v>0</v>
      </c>
      <c r="EH18">
        <v>1.0576358350220401</v>
      </c>
      <c r="EI18">
        <v>1.109449625015259</v>
      </c>
      <c r="EJ18">
        <v>0.7</v>
      </c>
      <c r="EK18">
        <v>1</v>
      </c>
    </row>
    <row r="19" spans="1:141" x14ac:dyDescent="0.35">
      <c r="A19" s="2" t="s">
        <v>16</v>
      </c>
      <c r="B19" s="1">
        <v>0.82616441000914798</v>
      </c>
      <c r="C19" s="1">
        <v>1.497326016426086</v>
      </c>
      <c r="D19" s="1">
        <v>1.8</v>
      </c>
      <c r="E19">
        <v>0</v>
      </c>
      <c r="F19" s="1">
        <v>1.0454454037183301</v>
      </c>
      <c r="G19" s="1">
        <v>1.083452463150024</v>
      </c>
      <c r="H19" s="1">
        <v>0.1</v>
      </c>
      <c r="I19">
        <v>0</v>
      </c>
      <c r="J19" s="1">
        <v>0.86408599301377098</v>
      </c>
      <c r="K19" s="1">
        <v>1.0389958620071409</v>
      </c>
      <c r="L19" s="1">
        <v>1.5</v>
      </c>
      <c r="M19">
        <v>1</v>
      </c>
      <c r="N19" s="1">
        <v>1.0926829726998399</v>
      </c>
      <c r="O19" s="1">
        <v>0.8983619213104248</v>
      </c>
      <c r="P19">
        <v>1.1000000000000001</v>
      </c>
      <c r="Q19">
        <v>0</v>
      </c>
      <c r="R19">
        <v>1.42188128107346</v>
      </c>
      <c r="S19">
        <v>1.609276294708252</v>
      </c>
      <c r="T19">
        <v>2.4</v>
      </c>
      <c r="U19">
        <v>1</v>
      </c>
      <c r="V19">
        <v>0.80664316498842603</v>
      </c>
      <c r="W19">
        <v>0.87682104110717773</v>
      </c>
      <c r="X19">
        <v>0.6</v>
      </c>
      <c r="Y19">
        <v>1</v>
      </c>
      <c r="Z19">
        <v>0.44424640839614399</v>
      </c>
      <c r="AA19">
        <v>0.9227750301361084</v>
      </c>
      <c r="AB19">
        <v>0.6</v>
      </c>
      <c r="AC19">
        <v>1</v>
      </c>
      <c r="AD19">
        <v>1.4245666724557899</v>
      </c>
      <c r="AE19">
        <v>1.2288858890533449</v>
      </c>
      <c r="AF19">
        <v>2.1</v>
      </c>
      <c r="AG19">
        <v>2</v>
      </c>
      <c r="AH19">
        <v>0.67200855515348601</v>
      </c>
      <c r="AI19">
        <v>0.52679872512817383</v>
      </c>
      <c r="AJ19">
        <v>0.2</v>
      </c>
      <c r="AK19">
        <v>0</v>
      </c>
      <c r="AL19">
        <v>0.96580644578074304</v>
      </c>
      <c r="AM19">
        <v>1.4070115089416499</v>
      </c>
      <c r="AN19">
        <v>0.7</v>
      </c>
      <c r="AO19">
        <v>1</v>
      </c>
      <c r="AP19">
        <v>0.95966176571045403</v>
      </c>
      <c r="AQ19">
        <v>0.96797871589660645</v>
      </c>
      <c r="AR19">
        <v>0.6</v>
      </c>
      <c r="AS19">
        <v>0</v>
      </c>
      <c r="AT19">
        <v>0.76190237768858204</v>
      </c>
      <c r="AU19">
        <v>0.9142189621925354</v>
      </c>
      <c r="AV19">
        <v>1.3</v>
      </c>
      <c r="AW19">
        <v>2</v>
      </c>
      <c r="AX19">
        <v>0.86035097310159203</v>
      </c>
      <c r="AY19">
        <v>1.1352914571762081</v>
      </c>
      <c r="AZ19">
        <v>1</v>
      </c>
      <c r="BA19">
        <v>1</v>
      </c>
      <c r="BB19">
        <v>0.98944489217076104</v>
      </c>
      <c r="BC19">
        <v>0.96663910150527954</v>
      </c>
      <c r="BD19">
        <v>1.6</v>
      </c>
      <c r="BE19">
        <v>1</v>
      </c>
      <c r="BF19">
        <v>0.84225445503319896</v>
      </c>
      <c r="BG19">
        <v>0.8176085352897644</v>
      </c>
      <c r="BH19">
        <v>0.3</v>
      </c>
      <c r="BI19">
        <v>0</v>
      </c>
      <c r="BJ19">
        <v>1.19117188664311</v>
      </c>
      <c r="BK19">
        <v>1.5052318572998049</v>
      </c>
      <c r="BL19">
        <v>0.8</v>
      </c>
      <c r="BM19">
        <v>0</v>
      </c>
      <c r="BN19">
        <v>0.79349526104567603</v>
      </c>
      <c r="BO19">
        <v>1.085856080055237</v>
      </c>
      <c r="BP19">
        <v>0.3</v>
      </c>
      <c r="BQ19">
        <v>0</v>
      </c>
      <c r="BR19">
        <v>1.1757740700578601</v>
      </c>
      <c r="BS19">
        <v>0.71469712257385254</v>
      </c>
      <c r="BT19">
        <v>1.4</v>
      </c>
      <c r="BU19">
        <v>0</v>
      </c>
      <c r="BV19">
        <v>0.81359847082098102</v>
      </c>
      <c r="BW19">
        <v>1.0913246870040889</v>
      </c>
      <c r="BX19">
        <v>0.9</v>
      </c>
      <c r="BY19">
        <v>1</v>
      </c>
      <c r="BZ19">
        <v>1.10335140447928</v>
      </c>
      <c r="CA19">
        <v>1.054115414619446</v>
      </c>
      <c r="CB19">
        <v>0.3</v>
      </c>
      <c r="CC19">
        <v>0</v>
      </c>
      <c r="CD19">
        <v>0.85573104604890105</v>
      </c>
      <c r="CE19">
        <v>0.85695737600326538</v>
      </c>
      <c r="CF19">
        <v>1.4</v>
      </c>
      <c r="CG19">
        <v>1</v>
      </c>
      <c r="CH19">
        <v>0.81873710057038995</v>
      </c>
      <c r="CI19">
        <v>1.644986629486084</v>
      </c>
      <c r="CJ19">
        <v>0.9</v>
      </c>
      <c r="CK19">
        <v>2</v>
      </c>
      <c r="CL19">
        <v>1.0549293351406801</v>
      </c>
      <c r="CM19">
        <v>1.3815333843231199</v>
      </c>
      <c r="CN19">
        <v>0.8</v>
      </c>
      <c r="CO19">
        <v>1</v>
      </c>
      <c r="CP19">
        <v>1.1135416094239601</v>
      </c>
      <c r="CQ19">
        <v>1.4244674444198611</v>
      </c>
      <c r="CR19">
        <v>0.9</v>
      </c>
      <c r="CS19">
        <v>2</v>
      </c>
      <c r="CT19">
        <v>1.03000265737372</v>
      </c>
      <c r="CU19">
        <v>1.039519190788269</v>
      </c>
      <c r="CV19">
        <v>0.8</v>
      </c>
      <c r="CW19">
        <v>1</v>
      </c>
      <c r="CX19">
        <v>1.09858215755342</v>
      </c>
      <c r="CY19">
        <v>1.225723505020142</v>
      </c>
      <c r="CZ19">
        <v>0.1</v>
      </c>
      <c r="DA19">
        <v>0</v>
      </c>
      <c r="DB19">
        <v>0.77488048568467405</v>
      </c>
      <c r="DC19">
        <v>1.405785441398621</v>
      </c>
      <c r="DD19">
        <v>0.7</v>
      </c>
      <c r="DE19">
        <v>0</v>
      </c>
      <c r="DF19">
        <v>0.59668132014142194</v>
      </c>
      <c r="DG19">
        <v>0.92322498559951782</v>
      </c>
      <c r="DH19">
        <v>0.4</v>
      </c>
      <c r="DI19">
        <v>1</v>
      </c>
      <c r="DJ19">
        <v>1.2253921086356701</v>
      </c>
      <c r="DK19">
        <v>1.04196560382843</v>
      </c>
      <c r="DL19">
        <v>1.3</v>
      </c>
      <c r="DM19">
        <v>1</v>
      </c>
      <c r="DN19">
        <v>1.03888388739131</v>
      </c>
      <c r="DO19">
        <v>0.95480966567993164</v>
      </c>
      <c r="DP19">
        <v>0.7</v>
      </c>
      <c r="DQ19">
        <v>1</v>
      </c>
      <c r="DR19">
        <v>0.93286231235266304</v>
      </c>
      <c r="DS19">
        <v>1.0535445213317871</v>
      </c>
      <c r="DT19">
        <v>1</v>
      </c>
      <c r="DU19">
        <v>1</v>
      </c>
      <c r="DV19">
        <v>1.0754747136318901</v>
      </c>
      <c r="DW19">
        <v>1.105613708496094</v>
      </c>
      <c r="DX19">
        <v>0.3</v>
      </c>
      <c r="DY19">
        <v>0</v>
      </c>
      <c r="DZ19">
        <v>0.92080356336272196</v>
      </c>
      <c r="EA19">
        <v>0.88777905702590942</v>
      </c>
      <c r="EB19">
        <v>0.6</v>
      </c>
      <c r="EC19">
        <v>1</v>
      </c>
      <c r="ED19">
        <v>1.01321409882922</v>
      </c>
      <c r="EE19">
        <v>1.210912227630615</v>
      </c>
      <c r="EF19">
        <v>0.6</v>
      </c>
      <c r="EG19">
        <v>1</v>
      </c>
      <c r="EH19">
        <v>1.1156446647786</v>
      </c>
      <c r="EI19">
        <v>0.90368616580963135</v>
      </c>
      <c r="EJ19">
        <v>0.5</v>
      </c>
      <c r="EK19">
        <v>0</v>
      </c>
    </row>
    <row r="20" spans="1:141" x14ac:dyDescent="0.35">
      <c r="A20" s="2" t="s">
        <v>17</v>
      </c>
      <c r="B20" s="1">
        <v>2.01874911108417</v>
      </c>
      <c r="C20" s="1">
        <v>1.6929600238800051</v>
      </c>
      <c r="D20" s="1">
        <v>1.2</v>
      </c>
      <c r="E20">
        <v>1</v>
      </c>
      <c r="F20" s="1">
        <v>1.74761818476151</v>
      </c>
      <c r="G20" s="1">
        <v>1.7317876815795901</v>
      </c>
      <c r="H20" s="1">
        <v>2.4</v>
      </c>
      <c r="I20">
        <v>4</v>
      </c>
      <c r="J20" s="1">
        <v>1.49493716141808</v>
      </c>
      <c r="K20" s="1">
        <v>1.4687767028808589</v>
      </c>
      <c r="L20" s="1">
        <v>1.2</v>
      </c>
      <c r="M20">
        <v>1</v>
      </c>
      <c r="N20" s="1">
        <v>1.02644874452343</v>
      </c>
      <c r="O20" s="1">
        <v>1.3514471054077151</v>
      </c>
      <c r="P20">
        <v>0.7</v>
      </c>
      <c r="Q20">
        <v>0</v>
      </c>
      <c r="R20">
        <v>1.9965045657687499</v>
      </c>
      <c r="S20">
        <v>2.1364281177520752</v>
      </c>
      <c r="T20">
        <v>3.5</v>
      </c>
      <c r="U20">
        <v>3</v>
      </c>
      <c r="V20">
        <v>1.5484377267032099</v>
      </c>
      <c r="W20">
        <v>1.4195655584335329</v>
      </c>
      <c r="X20">
        <v>4.4000000000000004</v>
      </c>
      <c r="Y20">
        <v>3</v>
      </c>
      <c r="Z20">
        <v>1.5567974436680601</v>
      </c>
      <c r="AA20">
        <v>1.645074248313904</v>
      </c>
      <c r="AB20">
        <v>1.3</v>
      </c>
      <c r="AC20">
        <v>2</v>
      </c>
      <c r="AD20">
        <v>2.1275527358311401</v>
      </c>
      <c r="AE20">
        <v>2.1344821453094478</v>
      </c>
      <c r="AF20">
        <v>1.9</v>
      </c>
      <c r="AG20">
        <v>4</v>
      </c>
      <c r="AH20">
        <v>1.4721992060753799</v>
      </c>
      <c r="AI20">
        <v>1.0354657173156741</v>
      </c>
      <c r="AJ20">
        <v>0.7</v>
      </c>
      <c r="AK20">
        <v>0</v>
      </c>
      <c r="AL20">
        <v>1.94606194129808</v>
      </c>
      <c r="AM20">
        <v>1.825876712799072</v>
      </c>
      <c r="AN20">
        <v>2.4</v>
      </c>
      <c r="AO20">
        <v>4</v>
      </c>
      <c r="AP20">
        <v>2.5728815480903302</v>
      </c>
      <c r="AQ20">
        <v>1.7248086929321289</v>
      </c>
      <c r="AR20">
        <v>1.5</v>
      </c>
      <c r="AS20">
        <v>1</v>
      </c>
      <c r="AT20">
        <v>1.2159935113625799</v>
      </c>
      <c r="AU20">
        <v>0.55674415826797485</v>
      </c>
      <c r="AV20">
        <v>2.5</v>
      </c>
      <c r="AW20">
        <v>4</v>
      </c>
      <c r="AX20">
        <v>1.8334019118492</v>
      </c>
      <c r="AY20">
        <v>1.8871196508407591</v>
      </c>
      <c r="AZ20">
        <v>0.8</v>
      </c>
      <c r="BA20">
        <v>1</v>
      </c>
      <c r="BB20">
        <v>1.45961364195262</v>
      </c>
      <c r="BC20">
        <v>1.593575239181519</v>
      </c>
      <c r="BD20">
        <v>0.9</v>
      </c>
      <c r="BE20">
        <v>0</v>
      </c>
      <c r="BF20">
        <v>1.7903917435332199</v>
      </c>
      <c r="BG20">
        <v>1.1893303394317629</v>
      </c>
      <c r="BH20">
        <v>2.8</v>
      </c>
      <c r="BI20">
        <v>3</v>
      </c>
      <c r="BJ20">
        <v>2.1418628901570398</v>
      </c>
      <c r="BK20">
        <v>1.9428539276123049</v>
      </c>
      <c r="BL20">
        <v>2.2999999999999998</v>
      </c>
      <c r="BM20">
        <v>5</v>
      </c>
      <c r="BN20">
        <v>1.3786555847483699</v>
      </c>
      <c r="BO20">
        <v>1.275937557220459</v>
      </c>
      <c r="BP20">
        <v>1.3</v>
      </c>
      <c r="BQ20">
        <v>3</v>
      </c>
      <c r="BR20">
        <v>1.4814975109625099</v>
      </c>
      <c r="BS20">
        <v>1.647257804870605</v>
      </c>
      <c r="BT20">
        <v>0.9</v>
      </c>
      <c r="BU20">
        <v>0</v>
      </c>
      <c r="BV20">
        <v>2.21733613590018</v>
      </c>
      <c r="BW20">
        <v>1.642277717590332</v>
      </c>
      <c r="BX20">
        <v>2.2000000000000002</v>
      </c>
      <c r="BY20">
        <v>2</v>
      </c>
      <c r="BZ20">
        <v>1.90888526141475</v>
      </c>
      <c r="CA20">
        <v>2.4718976020812988</v>
      </c>
      <c r="CB20">
        <v>0.9</v>
      </c>
      <c r="CC20">
        <v>1</v>
      </c>
      <c r="CD20">
        <v>0.80385992992672795</v>
      </c>
      <c r="CE20">
        <v>1.019640445709229</v>
      </c>
      <c r="CF20">
        <v>0.8</v>
      </c>
      <c r="CG20">
        <v>1</v>
      </c>
      <c r="CH20">
        <v>1.3686413851997099</v>
      </c>
      <c r="CI20">
        <v>1.3037958145141599</v>
      </c>
      <c r="CJ20">
        <v>1.1000000000000001</v>
      </c>
      <c r="CK20">
        <v>2</v>
      </c>
      <c r="CL20">
        <v>2.5777407399433798</v>
      </c>
      <c r="CM20">
        <v>1.42838990688324</v>
      </c>
      <c r="CN20">
        <v>1</v>
      </c>
      <c r="CO20">
        <v>1</v>
      </c>
      <c r="CP20">
        <v>1.5635559290224399</v>
      </c>
      <c r="CQ20">
        <v>1.119983434677124</v>
      </c>
      <c r="CR20">
        <v>0.8</v>
      </c>
      <c r="CS20">
        <v>2</v>
      </c>
      <c r="CT20">
        <v>1.9772001332273399</v>
      </c>
      <c r="CU20">
        <v>1.800101161003113</v>
      </c>
      <c r="CV20">
        <v>2.2000000000000002</v>
      </c>
      <c r="CW20">
        <v>1</v>
      </c>
      <c r="CX20">
        <v>2.0149436511005798</v>
      </c>
      <c r="CY20">
        <v>1.904738187789917</v>
      </c>
      <c r="CZ20">
        <v>1.7</v>
      </c>
      <c r="DA20">
        <v>4</v>
      </c>
      <c r="DB20">
        <v>1.55270211465888</v>
      </c>
      <c r="DC20">
        <v>1.130046606063843</v>
      </c>
      <c r="DD20">
        <v>1.3</v>
      </c>
      <c r="DE20">
        <v>0</v>
      </c>
      <c r="DF20">
        <v>1.86378065940931</v>
      </c>
      <c r="DG20">
        <v>1.8563098907470701</v>
      </c>
      <c r="DH20">
        <v>1.5</v>
      </c>
      <c r="DI20">
        <v>2</v>
      </c>
      <c r="DJ20">
        <v>1.43582262655588</v>
      </c>
      <c r="DK20">
        <v>1.211712241172791</v>
      </c>
      <c r="DL20">
        <v>0.9</v>
      </c>
      <c r="DM20">
        <v>0</v>
      </c>
      <c r="DN20">
        <v>1.4021393558878701</v>
      </c>
      <c r="DO20">
        <v>0.97480010986328125</v>
      </c>
      <c r="DP20">
        <v>0.9</v>
      </c>
      <c r="DQ20">
        <v>0</v>
      </c>
      <c r="DR20">
        <v>2.7349447244415201</v>
      </c>
      <c r="DS20">
        <v>1.9011270999908449</v>
      </c>
      <c r="DT20">
        <v>2.1</v>
      </c>
      <c r="DU20">
        <v>3</v>
      </c>
      <c r="DV20">
        <v>1.73649944075509</v>
      </c>
      <c r="DW20">
        <v>1.170370936393738</v>
      </c>
      <c r="DX20">
        <v>2</v>
      </c>
      <c r="DY20">
        <v>2</v>
      </c>
      <c r="DZ20">
        <v>1.89172417174803</v>
      </c>
      <c r="EA20">
        <v>1.924249053001404</v>
      </c>
      <c r="EB20">
        <v>2.1</v>
      </c>
      <c r="EC20">
        <v>1</v>
      </c>
      <c r="ED20">
        <v>1.0796895487104501</v>
      </c>
      <c r="EE20">
        <v>0.80934286117553711</v>
      </c>
      <c r="EF20">
        <v>0.5</v>
      </c>
      <c r="EG20">
        <v>1</v>
      </c>
      <c r="EH20">
        <v>1.6661858687690001</v>
      </c>
      <c r="EI20">
        <v>1.079556465148926</v>
      </c>
      <c r="EJ20">
        <v>0.8</v>
      </c>
      <c r="EK20">
        <v>1</v>
      </c>
    </row>
    <row r="21" spans="1:141" x14ac:dyDescent="0.35">
      <c r="A21" s="2" t="s">
        <v>18</v>
      </c>
      <c r="B21" s="1">
        <v>1.4571926509808599</v>
      </c>
      <c r="C21" s="1">
        <v>1.437487006187439</v>
      </c>
      <c r="D21" s="1">
        <v>2.2999999999999998</v>
      </c>
      <c r="E21">
        <v>1</v>
      </c>
      <c r="F21" s="1">
        <v>1.10236874703071</v>
      </c>
      <c r="G21" s="1">
        <v>1.484406471252441</v>
      </c>
      <c r="H21" s="1">
        <v>1.4</v>
      </c>
      <c r="I21">
        <v>2</v>
      </c>
      <c r="J21" s="1">
        <v>1.16264855841852</v>
      </c>
      <c r="K21" s="1">
        <v>0.82158315181732178</v>
      </c>
      <c r="L21" s="1">
        <v>0.7</v>
      </c>
      <c r="M21">
        <v>1</v>
      </c>
      <c r="N21" s="1">
        <v>1.0751303106691801</v>
      </c>
      <c r="O21" s="1">
        <v>1.5819211006164551</v>
      </c>
      <c r="P21">
        <v>0.8</v>
      </c>
      <c r="Q21">
        <v>1</v>
      </c>
      <c r="R21">
        <v>1.34062828920707</v>
      </c>
      <c r="S21">
        <v>1.1998904943466191</v>
      </c>
      <c r="T21">
        <v>0.9</v>
      </c>
      <c r="U21">
        <v>0</v>
      </c>
      <c r="V21">
        <v>1.1707757912624801</v>
      </c>
      <c r="W21">
        <v>1.354226350784302</v>
      </c>
      <c r="X21">
        <v>1</v>
      </c>
      <c r="Y21">
        <v>1</v>
      </c>
      <c r="Z21">
        <v>1.92654920388643</v>
      </c>
      <c r="AA21">
        <v>2.4786243438720699</v>
      </c>
      <c r="AB21">
        <v>3.6</v>
      </c>
      <c r="AC21">
        <v>4</v>
      </c>
      <c r="AD21">
        <v>1.26396287026288</v>
      </c>
      <c r="AE21">
        <v>1.042975544929504</v>
      </c>
      <c r="AF21">
        <v>0.8</v>
      </c>
      <c r="AG21">
        <v>1</v>
      </c>
      <c r="AH21">
        <v>1.48050863259545</v>
      </c>
      <c r="AI21">
        <v>1.372811079025269</v>
      </c>
      <c r="AJ21">
        <v>2.8</v>
      </c>
      <c r="AK21">
        <v>2</v>
      </c>
      <c r="AL21">
        <v>1.10933122919048</v>
      </c>
      <c r="AM21">
        <v>1.2770067453384399</v>
      </c>
      <c r="AN21">
        <v>0.1</v>
      </c>
      <c r="AO21">
        <v>0</v>
      </c>
      <c r="AP21">
        <v>1.3085998556943801</v>
      </c>
      <c r="AQ21">
        <v>1.4749816656112671</v>
      </c>
      <c r="AR21">
        <v>0.8</v>
      </c>
      <c r="AS21">
        <v>0</v>
      </c>
      <c r="AT21">
        <v>1.1193947114774501</v>
      </c>
      <c r="AU21">
        <v>1.231170773506165</v>
      </c>
      <c r="AV21">
        <v>0.9</v>
      </c>
      <c r="AW21">
        <v>2</v>
      </c>
      <c r="AX21">
        <v>0.76859504591636596</v>
      </c>
      <c r="AY21">
        <v>1.157543897628784</v>
      </c>
      <c r="AZ21">
        <v>1.5</v>
      </c>
      <c r="BA21">
        <v>2</v>
      </c>
      <c r="BB21">
        <v>1.5116201115797001</v>
      </c>
      <c r="BC21">
        <v>1.327570796012878</v>
      </c>
      <c r="BD21">
        <v>3</v>
      </c>
      <c r="BE21">
        <v>1</v>
      </c>
      <c r="BF21">
        <v>1.6603201847896101</v>
      </c>
      <c r="BG21">
        <v>1.536518812179565</v>
      </c>
      <c r="BH21">
        <v>1</v>
      </c>
      <c r="BI21">
        <v>2</v>
      </c>
      <c r="BJ21">
        <v>1.09294479645702</v>
      </c>
      <c r="BK21">
        <v>1.3297410011291499</v>
      </c>
      <c r="BL21">
        <v>2.1</v>
      </c>
      <c r="BM21">
        <v>1</v>
      </c>
      <c r="BN21">
        <v>1.4885016134684099</v>
      </c>
      <c r="BO21">
        <v>1.342149615287781</v>
      </c>
      <c r="BP21">
        <v>1.2</v>
      </c>
      <c r="BQ21">
        <v>1</v>
      </c>
      <c r="BR21">
        <v>1.6038065370435199</v>
      </c>
      <c r="BS21">
        <v>1.3240377902984619</v>
      </c>
      <c r="BT21">
        <v>1.7</v>
      </c>
      <c r="BU21">
        <v>1</v>
      </c>
      <c r="BV21">
        <v>1.0323241741159599</v>
      </c>
      <c r="BW21">
        <v>0.8665352463722229</v>
      </c>
      <c r="BX21">
        <v>0.4</v>
      </c>
      <c r="BY21">
        <v>0</v>
      </c>
      <c r="BZ21">
        <v>0.91052436245479396</v>
      </c>
      <c r="CA21">
        <v>0.70616728067398071</v>
      </c>
      <c r="CB21">
        <v>1.4</v>
      </c>
      <c r="CC21">
        <v>1</v>
      </c>
      <c r="CD21">
        <v>1.3728338936934701</v>
      </c>
      <c r="CE21">
        <v>1.4393612146377559</v>
      </c>
      <c r="CF21">
        <v>1</v>
      </c>
      <c r="CG21">
        <v>3</v>
      </c>
      <c r="CH21">
        <v>1.4076146530835101</v>
      </c>
      <c r="CI21">
        <v>1.164652347564697</v>
      </c>
      <c r="CJ21">
        <v>0.3</v>
      </c>
      <c r="CK21">
        <v>0</v>
      </c>
      <c r="CL21">
        <v>1.14119559165233</v>
      </c>
      <c r="CM21">
        <v>1.139926075935364</v>
      </c>
      <c r="CN21">
        <v>1.3</v>
      </c>
      <c r="CO21">
        <v>1</v>
      </c>
      <c r="CP21">
        <v>1.0499085983295999</v>
      </c>
      <c r="CQ21">
        <v>0.82059955596923828</v>
      </c>
      <c r="CR21">
        <v>1.2</v>
      </c>
      <c r="CS21">
        <v>1</v>
      </c>
      <c r="CT21">
        <v>1.4949636078630599</v>
      </c>
      <c r="CU21">
        <v>1.3674196004867549</v>
      </c>
      <c r="CV21">
        <v>0.8</v>
      </c>
      <c r="CW21">
        <v>0</v>
      </c>
      <c r="CX21">
        <v>0.60192266106693204</v>
      </c>
      <c r="CY21">
        <v>0.99080508947372437</v>
      </c>
      <c r="CZ21">
        <v>1.1000000000000001</v>
      </c>
      <c r="DA21">
        <v>1</v>
      </c>
      <c r="DB21">
        <v>1.93018772047612</v>
      </c>
      <c r="DC21">
        <v>1.84721314907074</v>
      </c>
      <c r="DD21">
        <v>1.3</v>
      </c>
      <c r="DE21">
        <v>2</v>
      </c>
      <c r="DF21">
        <v>1.4293551070855599</v>
      </c>
      <c r="DG21">
        <v>1.080218553543091</v>
      </c>
      <c r="DH21">
        <v>0.7</v>
      </c>
      <c r="DI21">
        <v>0</v>
      </c>
      <c r="DJ21">
        <v>1.02482563685048</v>
      </c>
      <c r="DK21">
        <v>1.2218765020370479</v>
      </c>
      <c r="DL21">
        <v>0.8</v>
      </c>
      <c r="DM21">
        <v>1</v>
      </c>
      <c r="DN21">
        <v>1.30027424605655</v>
      </c>
      <c r="DO21">
        <v>0.99653065204620361</v>
      </c>
      <c r="DP21">
        <v>1.3</v>
      </c>
      <c r="DQ21">
        <v>0</v>
      </c>
      <c r="DR21">
        <v>1.39558121059597</v>
      </c>
      <c r="DS21">
        <v>1.340625524520874</v>
      </c>
      <c r="DT21">
        <v>0.7</v>
      </c>
      <c r="DU21">
        <v>2</v>
      </c>
      <c r="DV21">
        <v>0.80846125312551298</v>
      </c>
      <c r="DW21">
        <v>0.79210573434829712</v>
      </c>
      <c r="DX21">
        <v>1.4</v>
      </c>
      <c r="DY21">
        <v>1</v>
      </c>
      <c r="DZ21">
        <v>2.0479005671508799</v>
      </c>
      <c r="EA21">
        <v>1.5587542057037349</v>
      </c>
      <c r="EB21">
        <v>0.9</v>
      </c>
      <c r="EC21">
        <v>1</v>
      </c>
      <c r="ED21">
        <v>1.1657151017843299</v>
      </c>
      <c r="EE21">
        <v>1.024778366088867</v>
      </c>
      <c r="EF21">
        <v>1.3</v>
      </c>
      <c r="EG21">
        <v>2</v>
      </c>
      <c r="EH21">
        <v>1.6139541890386699</v>
      </c>
      <c r="EI21">
        <v>1.32340395450592</v>
      </c>
      <c r="EJ21">
        <v>0.8</v>
      </c>
      <c r="EK21">
        <v>1</v>
      </c>
    </row>
    <row r="22" spans="1:141" x14ac:dyDescent="0.35">
      <c r="A22" s="2" t="s">
        <v>19</v>
      </c>
      <c r="B22" s="1">
        <v>0.55719972485243996</v>
      </c>
      <c r="C22" s="1">
        <v>0.9194977879524231</v>
      </c>
      <c r="D22" s="1">
        <v>0.5</v>
      </c>
      <c r="E22">
        <v>0</v>
      </c>
      <c r="F22" s="1">
        <v>1.24101942357759</v>
      </c>
      <c r="G22" s="1">
        <v>0.81077355146408081</v>
      </c>
      <c r="H22" s="1">
        <v>1.9</v>
      </c>
      <c r="I22">
        <v>2</v>
      </c>
      <c r="J22" s="1">
        <v>1.0269077668209301</v>
      </c>
      <c r="K22" s="1">
        <v>1.1287157535552981</v>
      </c>
      <c r="L22" s="1">
        <v>0.7</v>
      </c>
      <c r="M22">
        <v>1</v>
      </c>
      <c r="N22" s="1">
        <v>1.3231538267271601</v>
      </c>
      <c r="O22" s="1">
        <v>1.1401268243789671</v>
      </c>
      <c r="P22">
        <v>1.2</v>
      </c>
      <c r="Q22">
        <v>1</v>
      </c>
      <c r="R22">
        <v>1.0564046027846601</v>
      </c>
      <c r="S22">
        <v>1.198950529098511</v>
      </c>
      <c r="T22">
        <v>0.5</v>
      </c>
      <c r="U22">
        <v>1</v>
      </c>
      <c r="V22">
        <v>0.95562234649274502</v>
      </c>
      <c r="W22">
        <v>0.85419052839279175</v>
      </c>
      <c r="X22">
        <v>0.6</v>
      </c>
      <c r="Y22">
        <v>1</v>
      </c>
      <c r="Z22">
        <v>1.0837869895096199</v>
      </c>
      <c r="AA22">
        <v>1.118755102157593</v>
      </c>
      <c r="AB22">
        <v>1</v>
      </c>
      <c r="AC22">
        <v>3</v>
      </c>
      <c r="AD22">
        <v>1.07626361117986</v>
      </c>
      <c r="AE22">
        <v>0.68282955884933472</v>
      </c>
      <c r="AF22">
        <v>0.8</v>
      </c>
      <c r="AG22">
        <v>1</v>
      </c>
      <c r="AH22">
        <v>1.0791023099532999</v>
      </c>
      <c r="AI22">
        <v>1.165559649467468</v>
      </c>
      <c r="AJ22">
        <v>1.3</v>
      </c>
      <c r="AK22">
        <v>2</v>
      </c>
      <c r="AL22">
        <v>1.3030286914371201</v>
      </c>
      <c r="AM22">
        <v>1.0280123949050901</v>
      </c>
      <c r="AN22">
        <v>1.5</v>
      </c>
      <c r="AO22">
        <v>2</v>
      </c>
      <c r="AP22">
        <v>1.89574127433414</v>
      </c>
      <c r="AQ22">
        <v>1.8003324270248411</v>
      </c>
      <c r="AR22">
        <v>1.3</v>
      </c>
      <c r="AS22">
        <v>2</v>
      </c>
      <c r="AT22">
        <v>0.99524798123320901</v>
      </c>
      <c r="AU22">
        <v>1.101659297943115</v>
      </c>
      <c r="AV22">
        <v>1.3</v>
      </c>
      <c r="AW22">
        <v>4</v>
      </c>
      <c r="AX22">
        <v>1.29188933537566</v>
      </c>
      <c r="AY22">
        <v>1.146901488304138</v>
      </c>
      <c r="AZ22">
        <v>0.5</v>
      </c>
      <c r="BA22">
        <v>2</v>
      </c>
      <c r="BB22">
        <v>0.94868095157380605</v>
      </c>
      <c r="BC22">
        <v>0.73301321268081665</v>
      </c>
      <c r="BD22">
        <v>0.8</v>
      </c>
      <c r="BE22">
        <v>0</v>
      </c>
      <c r="BF22">
        <v>1.15492547030642</v>
      </c>
      <c r="BG22">
        <v>0.8283001184463501</v>
      </c>
      <c r="BH22">
        <v>1.4</v>
      </c>
      <c r="BI22">
        <v>1</v>
      </c>
      <c r="BJ22">
        <v>1.7834063339921999</v>
      </c>
      <c r="BK22">
        <v>1.3558288812637329</v>
      </c>
      <c r="BL22">
        <v>1.3</v>
      </c>
      <c r="BM22">
        <v>1</v>
      </c>
      <c r="BN22">
        <v>1.3993065301124501</v>
      </c>
      <c r="BO22">
        <v>0.9380912184715271</v>
      </c>
      <c r="BP22">
        <v>1.1000000000000001</v>
      </c>
      <c r="BQ22">
        <v>3</v>
      </c>
      <c r="BR22">
        <v>1.37050663828075</v>
      </c>
      <c r="BS22">
        <v>1.3458505868911741</v>
      </c>
      <c r="BT22">
        <v>0.9</v>
      </c>
      <c r="BU22">
        <v>2</v>
      </c>
      <c r="BV22">
        <v>1.17005025576843</v>
      </c>
      <c r="BW22">
        <v>1.0377098321914671</v>
      </c>
      <c r="BX22">
        <v>0.7</v>
      </c>
      <c r="BY22">
        <v>2</v>
      </c>
      <c r="BZ22">
        <v>1.3112585274536499</v>
      </c>
      <c r="CA22">
        <v>1.3984746932983401</v>
      </c>
      <c r="CB22">
        <v>1.5</v>
      </c>
      <c r="CC22">
        <v>0</v>
      </c>
      <c r="CD22">
        <v>1.0362235309947201</v>
      </c>
      <c r="CE22">
        <v>0.90401172637939453</v>
      </c>
      <c r="CF22">
        <v>1.6</v>
      </c>
      <c r="CG22">
        <v>0</v>
      </c>
      <c r="CH22">
        <v>0.97190024557725396</v>
      </c>
      <c r="CI22">
        <v>1.193138599395752</v>
      </c>
      <c r="CJ22">
        <v>0.8</v>
      </c>
      <c r="CK22">
        <v>1</v>
      </c>
      <c r="CL22">
        <v>0.71148832866408096</v>
      </c>
      <c r="CM22">
        <v>0.84694027900695801</v>
      </c>
      <c r="CN22">
        <v>0.7</v>
      </c>
      <c r="CO22">
        <v>0</v>
      </c>
      <c r="CP22">
        <v>1.3489230372957299</v>
      </c>
      <c r="CQ22">
        <v>1.3058650493621831</v>
      </c>
      <c r="CR22">
        <v>1.6</v>
      </c>
      <c r="CS22">
        <v>2</v>
      </c>
      <c r="CT22">
        <v>0.74839247121367802</v>
      </c>
      <c r="CU22">
        <v>0.84637266397476196</v>
      </c>
      <c r="CV22">
        <v>1.5</v>
      </c>
      <c r="CW22">
        <v>1</v>
      </c>
      <c r="CX22">
        <v>1.0117388482854199</v>
      </c>
      <c r="CY22">
        <v>1.549329876899719</v>
      </c>
      <c r="CZ22">
        <v>2</v>
      </c>
      <c r="DA22">
        <v>1</v>
      </c>
      <c r="DB22">
        <v>1.2708321472366799</v>
      </c>
      <c r="DC22">
        <v>1.2367346286773679</v>
      </c>
      <c r="DD22">
        <v>1.3</v>
      </c>
      <c r="DE22">
        <v>1</v>
      </c>
      <c r="DF22">
        <v>1.21137070706459</v>
      </c>
      <c r="DG22">
        <v>1.45846951007843</v>
      </c>
      <c r="DH22">
        <v>0.8</v>
      </c>
      <c r="DI22">
        <v>1</v>
      </c>
      <c r="DJ22">
        <v>1.4846434915296001</v>
      </c>
      <c r="DK22">
        <v>1.1093543767929079</v>
      </c>
      <c r="DL22">
        <v>0.4</v>
      </c>
      <c r="DM22">
        <v>2</v>
      </c>
      <c r="DN22">
        <v>1.4747243330342601</v>
      </c>
      <c r="DO22">
        <v>1.445438504219055</v>
      </c>
      <c r="DP22">
        <v>1.2</v>
      </c>
      <c r="DQ22">
        <v>1</v>
      </c>
      <c r="DR22">
        <v>1.39666875557381</v>
      </c>
      <c r="DS22">
        <v>1.6766208410263059</v>
      </c>
      <c r="DT22">
        <v>2.6</v>
      </c>
      <c r="DU22">
        <v>2</v>
      </c>
      <c r="DV22">
        <v>1.4940371715906999</v>
      </c>
      <c r="DW22">
        <v>1.6255326271057129</v>
      </c>
      <c r="DX22">
        <v>2.4</v>
      </c>
      <c r="DY22">
        <v>4</v>
      </c>
      <c r="DZ22">
        <v>1.0733077283113399</v>
      </c>
      <c r="EA22">
        <v>1.1100031137466431</v>
      </c>
      <c r="EB22">
        <v>0.2</v>
      </c>
      <c r="EC22">
        <v>1</v>
      </c>
      <c r="ED22">
        <v>1.7867745083005899</v>
      </c>
      <c r="EE22">
        <v>1.2294726371765139</v>
      </c>
      <c r="EF22">
        <v>2</v>
      </c>
      <c r="EG22">
        <v>3</v>
      </c>
      <c r="EH22">
        <v>0.84287227753141303</v>
      </c>
      <c r="EI22">
        <v>0.50493776798248291</v>
      </c>
      <c r="EJ22">
        <v>0.4</v>
      </c>
      <c r="EK22">
        <v>0</v>
      </c>
    </row>
    <row r="28" spans="1:141" ht="72.5" x14ac:dyDescent="0.35">
      <c r="B28" s="1"/>
      <c r="C28" s="1"/>
      <c r="D28" s="1"/>
      <c r="E28" s="3" t="s">
        <v>59</v>
      </c>
      <c r="F28" s="3" t="s">
        <v>60</v>
      </c>
      <c r="G28" s="3" t="s">
        <v>61</v>
      </c>
      <c r="H28" s="3" t="s">
        <v>62</v>
      </c>
      <c r="I28" s="3" t="s">
        <v>63</v>
      </c>
      <c r="J28" s="3" t="s">
        <v>64</v>
      </c>
    </row>
    <row r="29" spans="1:141" x14ac:dyDescent="0.35">
      <c r="D29" t="s">
        <v>20</v>
      </c>
      <c r="E29" cm="1">
        <f t="array" ref="E29">SUMPRODUCT(
    ABS(C3:C22-D3:D22) +
    ABS(G3:G22-H3:H22) +
    ABS(K3:K22-L3:L22) +
    ABS(O3:O22-P3:P22) +
    ABS(S3:S22-T3:T22) +
    ABS(W3:W22-X3:X22) +
    ABS(AA3:AA22-AB3:AB22) +
    ABS(AE3:AE22-AF3:AF22) +
    ABS(AI3:AI22-AJ3:AJ22) +
    ABS(AM3:AM22-AN3:AN22) +
    ABS(AQ3:AQ22-AR3:AR22) +
    ABS(AU3:AU22-AV3:AV22) +
    ABS(AY3:AY22-AZ3:AZ22) +
    ABS(BC3:BC22-BD3:BD22) +
    ABS(BG3:BG22-BH3:BH22) +
    ABS(BK3:BK22-BL3:BL22) +
    ABS(BO3:BO22-BP3:BP22) +
    ABS(BS3:BS22-BT3:BT22) +
    ABS(BW3:BW22-BX3:BX22) +
    ABS(CA3:CA22-CB3:CB22) +
    ABS(CE3:CE22-CF3:CF22) +
    ABS(CI3:CI22-CJ3:CJ22) +
    ABS(CM3:CM22-CN3:CN22) +
    ABS(CQ3:CQ22-CR3:CR22) +
    ABS(CU3:CU22-CV3:CV22) +
    ABS(CY3:CY22-CZ3:CZ22) +
    ABS(DC3:DC22-DD3:DD22) +
    ABS(DG3:DG22-DH3:DH22) +
    ABS(DK3:DK22-DL3:DL22) +
    ABS(DO3:DO22-DP3:DP22) +
    ABS(DS3:DS22-DT3:DT22) +
    ABS(DW3:DW22-DX3:DX22) +
    ABS(EA3:EA22-EB3:EB22) +
    ABS(EE3:EE22-EF3:EF22) +
    ABS(EI3:EI22-EJ3:EJ22)
)</f>
        <v>416.62281456589693</v>
      </c>
      <c r="F29" cm="1">
        <f t="array" ref="F29">MAX(
    ABS(C3:C22-D3:D22) +
    ABS(G3:G22-H3:H22) +
    ABS(K3:K22-L3:L22) +
    ABS(O3:O22-P3:P22) +
    ABS(S3:S22-T3:T22) +
    ABS(W3:W22-X3:X22) +
    ABS(AA3:AA22-AB3:AB22) +
    ABS(AE3:AE22-AF3:AF22) +
    ABS(AI3:AI22-AJ3:AJ22) +
    ABS(AM3:AM22-AN3:AN22) +
    ABS(AQ3:AQ22-AR3:AR22) +
    ABS(AU3:AU22-AV3:AV22) +
    ABS(AY3:AY22-AZ3:AZ22) +
    ABS(BC3:BC22-BD3:BD22) +
    ABS(BG3:BG22-BH3:BH22) +
    ABS(BK3:BK22-BL3:BL22) +
    ABS(BO3:BO22-BP3:BP22) +
    ABS(BS3:BS22-BT3:BT22) +
    ABS(BW3:BW22-BX3:BX22) +
    ABS(CA3:CA22-CB3:CB22) +
    ABS(CE3:CE22-CF3:CF22) +
    ABS(CI3:CI22-CJ3:CJ22) +
    ABS(CM3:CM22-CN3:CN22) +
    ABS(CQ3:CQ22-CR3:CR22) +
    ABS(CU3:CU22-CV3:CV22) +
    ABS(CY3:CY22-CZ3:CZ22) +
    ABS(DC3:DC22-DD3:DD22) +
    ABS(DG3:DG22-DH3:DH22) +
    ABS(DK3:DK22-DL3:DL22) +
    ABS(DO3:DO22-DP3:DP22) +
    ABS(DS3:DS22-DT3:DT22) +
    ABS(DW3:DW22-DX3:DX22) +
    ABS(EA3:EA22-EB3:EB22) +
    ABS(EE3:EE22-EF3:EF22)
)</f>
        <v>26.007048606872559</v>
      </c>
      <c r="G29" cm="1">
        <f t="array" ref="G29">MIN(
    ABS(C3:C22-D3:D22) +
    ABS(G3:G22-H3:H22) +
    ABS(K3:K22-L3:L22) +
    ABS(O3:O22-P3:P22) +
    ABS(S3:S22-T3:T22) +
    ABS(W3:W22-X3:X22) +
    ABS(AA3:AA22-AB3:AB22) +
    ABS(AE3:AE22-AF3:AF22) +
    ABS(AI3:AI22-AJ3:AJ22) +
    ABS(AM3:AM22-AN3:AN22) +
    ABS(AQ3:AQ22-AR3:AR22) +
    ABS(AU3:AU22-AV3:AV22) +
    ABS(AY3:AY22-AZ3:AZ22) +
    ABS(BC3:BC22-BD3:BD22) +
    ABS(BG3:BG22-BH3:BH22) +
    ABS(BK3:BK22-BL3:BL22) +
    ABS(BO3:BO22-BP3:BP22) +
    ABS(BS3:BS22-BT3:BT22) +
    ABS(BW3:BW22-BX3:BX22) +
    ABS(CA3:CA22-CB3:CB22) +
    ABS(CE3:CE22-CF3:CF22) +
    ABS(CI3:CI22-CJ3:CJ22) +
    ABS(CM3:CM22-CN3:CN22) +
    ABS(CQ3:CQ22-CR3:CR22) +
    ABS(CU3:CU22-CV3:CV22) +
    ABS(CY3:CY22-CZ3:CZ22) +
    ABS(DC3:DC22-DD3:DD22) +
    ABS(DG3:DG22-DH3:DH22) +
    ABS(DK3:DK22-DL3:DL22) +
    ABS(DO3:DO22-DP3:DP22) +
    ABS(DS3:DS22-DT3:DT22) +
    ABS(DW3:DW22-DX3:DX22) +
    ABS(EA3:EA22-EB3:EB22) +
    ABS(EE3:EE22-EF3:EF22)
)</f>
        <v>11.945045816898347</v>
      </c>
      <c r="H29" cm="1">
        <f t="array" ref="H29">SUMPRODUCT(
    ABS(C3:C22-E3:E22) +
    ABS(G3:G22-I3:I22) +
    ABS(K3:K22-M3:M22) +
    ABS(O3:O22-Q3:Q22) +
    ABS(S3:S22-U3:U22) +
    ABS(W3:W22-Y3:Y22) +
    ABS(AA3:AA22-AC3:AC22) +
    ABS(AE3:AE22-AG3:AG22) +
    ABS(AI3:AI22-AK3:AK22) +
    ABS(AM3:AM22-AO3:AO22) +
    ABS(AQ3:AQ22-AS3:AS22) +
    ABS(AU3:AU22-AW3:AW22) +
    ABS(AY3:AY22-BA3:BA22) +
    ABS(BC3:BC22-BE3:BE22) +
    ABS(BG3:BG22-BI3:BI22) +
    ABS(BK3:BK22-BM3:BM22) +
    ABS(BO3:BO22-BQ3:BQ22) +
    ABS(BS3:BS22-BU3:BU22) +
    ABS(BW3:BW22-BY3:BY22) +
    ABS(CA3:CA22-CC3:CC22) +
    ABS(CE3:CE22-CG3:CG22) +
    ABS(CI3:CI22-CK3:CK22) +
    ABS(CM3:CM22-CO3:CO22) +
    ABS(CQ3:CQ22-CS3:CS22) +
    ABS(CU3:CU22-CW3:CW22) +
    ABS(CY3:CY22-DA3:DA22) +
    ABS(DC3:DC22-DE3:DE22) +
    ABS(DG3:DG22-DI3:DI22) +
    ABS(DK3:DK22-DM3:DM22) +
    ABS(DO3:DO22-DQ3:DQ22) +
    ABS(DS3:DS22-DU3:DU22) +
    ABS(DW3:DW22-DY3:DY22) +
    ABS(EA3:EA22-EC3:EC22) +
    ABS(EE3:EE22-EG3:EG22) + ABS(EI3:EI22-EK3:EK22)
)</f>
        <v>653.56614592671394</v>
      </c>
      <c r="I29" cm="1">
        <f t="array" ref="I29">MAX(
    ABS(C3:C22-E3:E22) +
    ABS(G3:G22-I3:I22) +
    ABS(K3:K22-M3:M22) +
    ABS(O3:O22-Q3:Q22) +
    ABS(S3:S22-U3:U22) +
    ABS(W3:W22-Y3:Y22) +
    ABS(AA3:AA22-AC3:AC22) +
    ABS(AE3:AE22-AG3:AG22) +
    ABS(AI3:AI22-AK3:AK22) +
    ABS(AM3:AM22-AO3:AO22) +
    ABS(AQ3:AQ22-AS3:AS22) +
    ABS(AU3:AU22-AW3:AW22) +
    ABS(AY3:AY22-BA3:BA22) +
    ABS(BC3:BC22-BE3:BE22) +
    ABS(BG3:BG22-BI3:BI22) +
    ABS(BK3:BK22-BM3:BM22) +
    ABS(BO3:BO22-BQ3:BQ22) +
    ABS(BS3:BS22-BU3:BU22) +
    ABS(BW3:BW22-BY3:BY22) +
    ABS(CA3:CA22-CC3:CC22) +
    ABS(CE3:CE22-CG3:CG22) +
    ABS(CI3:CI22-CK3:CK22) +
    ABS(CM3:CM22-CO3:CO22) +
    ABS(CQ3:CQ22-CS3:CS22) +
    ABS(CU3:CU22-CW3:CW22) +
    ABS(CY3:CY22-DA3:DA22) +
    ABS(DC3:DC22-DE3:DE22) +
    ABS(DG3:DG22-DI3:DI22) +
    ABS(DK3:DK22-DM3:DM22) +
    ABS(DO3:DO22-DQ3:DQ22) +
    ABS(DS3:DS22-DU3:DU22) +
    ABS(DW3:DW22-DY3:DY22) +
    ABS(EA3:EA22-EC3:EC22) +
    ABS(EE3:EE22-EG3:EG22) + ABS(EI3:EI22-EK3:EK22)
)</f>
        <v>42.13003796339035</v>
      </c>
      <c r="J29" cm="1">
        <f t="array" ref="J29">MIN(
    ABS(C3:C22-E3:E22) +
    ABS(G3:G22-I3:I22) +
    ABS(K3:K22-M3:M22) +
    ABS(O3:O22-Q3:Q22) +
    ABS(S3:S22-U3:U22) +
    ABS(W3:W22-Y3:Y22) +
    ABS(AA3:AA22-AC3:AC22) +
    ABS(AE3:AE22-AG3:AG22) +
    ABS(AI3:AI22-AK3:AK22) +
    ABS(AM3:AM22-AO3:AO22) +
    ABS(AQ3:AQ22-AS3:AS22) +
    ABS(AU3:AU22-AW3:AW22) +
    ABS(AY3:AY22-BA3:BA22) +
    ABS(BC3:BC22-BE3:BE22) +
    ABS(BG3:BG22-BI3:BI22) +
    ABS(BK3:BK22-BM3:BM22) +
    ABS(BO3:BO22-BQ3:BQ22) +
    ABS(BS3:BS22-BU3:BU22) +
    ABS(BW3:BW22-BY3:BY22) +
    ABS(CA3:CA22-CC3:CC22) +
    ABS(CE3:CE22-CG3:CG22) +
    ABS(CI3:CI22-CK3:CK22) +
    ABS(CM3:CM22-CO3:CO22) +
    ABS(CQ3:CQ22-CS3:CS22) +
    ABS(CU3:CU22-CW3:CW22) +
    ABS(CY3:CY22-DA3:DA22) +
    ABS(DC3:DC22-DE3:DE22) +
    ABS(DG3:DG22-DI3:DI22) +
    ABS(DK3:DK22-DM3:DM22) +
    ABS(DO3:DO22-DQ3:DQ22) +
    ABS(DS3:DS22-DU3:DU22) +
    ABS(DW3:DW22-DY3:DY22) +
    ABS(EA3:EA22-EC3:EC22) +
    ABS(EE3:EE22-EG3:EG22) + ABS(EI3:EI22-EK3:EK22)
)</f>
        <v>20.200045228004456</v>
      </c>
    </row>
    <row r="30" spans="1:141" x14ac:dyDescent="0.35">
      <c r="D30" t="s">
        <v>58</v>
      </c>
      <c r="E30" cm="1">
        <f t="array" ref="E30">SUMPRODUCT(
    ABS(B3:B22-D3:D22) +
    ABS(F3:F22-H3:H22) +
    ABS(J3:J22-L3:L22) +
    ABS(N3:N22-P3:P22) +
    ABS(R3:R22-T3:T22) +
    ABS(V3:V22-X3:X22) +
    ABS(Z3:Z22-AB3:AB22) +
    ABS(AD3:AD22-AF3:AF22) +
    ABS(AH3:AH22-AJ3:AJ22) +
    ABS(AL3:AL22-AN3:AN22) +
    ABS(AP3:AP22-AR3:AR22) +
    ABS(AT3:AT22-AV3:AV22) +
    ABS(AX3:AX22-AZ3:AZ22) +
    ABS(BB3:BB22-BD3:BD22) +
    ABS(BF3:BF22-BH3:BH22) +
    ABS(BJ3:BJ22-BL3:BL22) +
    ABS(BN3:BN22-BP3:BP22) +
    ABS(BR3:BR22-BT3:BT22) +
    ABS(BV3:BV22-BX3:BX22) +
    ABS(BZ3:BZ22-CB3:CB22) +
    ABS(CD3:CD22-CF3:CF22) +
    ABS(CH3:CH22-CJ3:CJ22) +
    ABS(CL3:CL22-CN3:CN22) +
    ABS(CP3:CP22-CR3:CR22) +
    ABS(CT3:CT22-CV3:CV22) +
    ABS(CX3:CX22-CZ3:CZ22) +
    ABS(DB3:DB22-DD3:DD22) +
    ABS(DF3:DF22-DH3:DH22) +
    ABS(DJ3:DJ22-DL3:DL22) +
    ABS(DN3:DN22-DP3:DP22) +
    ABS(DR3:DR22-DT3:DT22) +
    ABS(DV3:DV22-DX3:DX22) +
    ABS(DZ3:DZ22-EB3:EB22) +
    ABS(ED3:ED22-EF3:EF22)+
    ABS(EH3:EH22-EJ3:EJ22)
)</f>
        <v>388.99299997781048</v>
      </c>
      <c r="F30" cm="1">
        <f t="array" ref="F30">MAX(
    ABS(B3:B22-D3:D22) +
    ABS(F3:F22-H3:H22) +
    ABS(J3:J22-L3:L22) +
    ABS(N3:N22-P3:P22) +
    ABS(R3:R22-T3:T22) +
    ABS(V3:V22-X3:X22) +
    ABS(Z3:Z22-AB3:AB22) +
    ABS(AD3:AD22-AF3:AF22) +
    ABS(AH3:AH22-AJ3:AJ22) +
    ABS(AL3:AL22-AN3:AN22) +
    ABS(AP3:AP22-AR3:AR22) +
    ABS(AT3:AT22-AV3:AV22) +
    ABS(AX3:AX22-AZ3:AZ22) +
    ABS(BB3:BB22-BD3:BD22) +
    ABS(BF3:BF22-BH3:BH22) +
    ABS(BJ3:BJ22-BL3:BL22) +
    ABS(BN3:BN22-BP3:BP22) +
    ABS(BR3:BR22-BT3:BT22) +
    ABS(BV3:BV22-BX3:BX22) +
    ABS(BZ3:BZ22-CB3:CB22) +
    ABS(CD3:CD22-CF3:CF22) +
    ABS(CH3:CH22-CJ3:CJ22) +
    ABS(CL3:CL22-CN3:CN22) +
    ABS(CP3:CP22-CR3:CR22) +
    ABS(CT3:CT22-CV3:CV22) +
    ABS(CX3:CX22-CZ3:CZ22) +
    ABS(DB3:DB22-DD3:DD22) +
    ABS(DF3:DF22-DH3:DH22) +
    ABS(DJ3:DJ22-DL3:DL22) +
    ABS(DN3:DN22-DP3:DP22) +
    ABS(DR3:DR22-DT3:DT22) +
    ABS(DV3:DV22-DX3:DX22) +
    ABS(DZ3:DZ22-EB3:EB22) +
    ABS(ED3:ED22-EF3:EF22)
)</f>
        <v>23.271596580776972</v>
      </c>
      <c r="G30" cm="1">
        <f t="array" ref="G30">MIN(
    ABS(B3:B22-D3:D22) +
    ABS(F3:F22-H3:H22) +
    ABS(J3:J22-L3:L22) +
    ABS(N3:N22-P3:P22) +
    ABS(R3:R22-T3:T22) +
    ABS(V3:V22-X3:X22) +
    ABS(Z3:Z22-AB3:AB22) +
    ABS(AD3:AD22-AF3:AF22) +
    ABS(AH3:AH22-AJ3:AJ22) +
    ABS(AL3:AL22-AN3:AN22) +
    ABS(AP3:AP22-AR3:AR22) +
    ABS(AT3:AT22-AV3:AV22) +
    ABS(AX3:AX22-AZ3:AZ22) +
    ABS(BB3:BB22-BD3:BD22) +
    ABS(BF3:BF22-BH3:BH22) +
    ABS(BJ3:BJ22-BL3:BL22) +
    ABS(BN3:BN22-BP3:BP22) +
    ABS(BR3:BR22-BT3:BT22) +
    ABS(BV3:BV22-BX3:BX22) +
    ABS(BZ3:BZ22-CB3:CB22) +
    ABS(CD3:CD22-CF3:CF22) +
    ABS(CH3:CH22-CJ3:CJ22) +
    ABS(CL3:CL22-CN3:CN22) +
    ABS(CP3:CP22-CR3:CR22) +
    ABS(CT3:CT22-CV3:CV22) +
    ABS(CX3:CX22-CZ3:CZ22) +
    ABS(DB3:DB22-DD3:DD22) +
    ABS(DF3:DF22-DH3:DH22) +
    ABS(DJ3:DJ22-DL3:DL22) +
    ABS(DN3:DN22-DP3:DP22) +
    ABS(DR3:DR22-DT3:DT22) +
    ABS(DV3:DV22-DX3:DX22) +
    ABS(DZ3:DZ22-EB3:EB22) +
    ABS(ED3:ED22-EF3:EF22)
)</f>
        <v>10.751676713720514</v>
      </c>
      <c r="H30" cm="1">
        <f t="array" ref="H30">SUMPRODUCT(
    ABS(B3:B22-E3:E22) +
    ABS(F3:F22-I3:I22) +
    ABS(J3:J22-M3:M22) +
    ABS(N3:N22-Q3:Q22) +
    ABS(R3:R22-U3:U22) +
    ABS(V3:V22-Y3:Y22) +
    ABS(Z3:Z22-AC3:AC22) +
    ABS(AD3:AD22-AG3:AG22) +
    ABS(AH3:AH22-AK3:AK22) +
    ABS(AL3:AL22-AO3:AO22) +
    ABS(AP3:AP22-AS3:AS22) +
    ABS(AT3:AT22-AW3:AW22) +
    ABS(AX3:AX22-BA3:BA22) +
    ABS(BB3:BB22-BE3:BE22) +
    ABS(BF3:BF22-BI3:BI22) +
    ABS(BJ3:BJ22-BM3:BM22) +
    ABS(BN3:BN22-BQ3:BQ22) +
    ABS(BR3:BR22-BU3:BU22) +
    ABS(BV3:BV22-BY3:BY22) +
    ABS(BZ3:BZ22-CC3:CC22) +
    ABS(CD3:CD22-CG3:CG22) +
    ABS(CH3:CH22-CK3:CK22) +
    ABS(CL3:CL22-CO3:CO22) +
    ABS(CP3:CP22-CS3:CS22) +
    ABS(CT3:CT22-CW3:CW22) +
    ABS(CX3:CX22-DA3:DA22) +
    ABS(DB3:DB22-DE3:DE22) +
    ABS(DF3:DF22-DI3:DI22) +
    ABS(DJ3:DJ22-DM3:DM22) +
    ABS(DN3:DN22-DQ3:DQ22) +
    ABS(DR3:DR22-DU3:DU22) +
    ABS(DV3:DV22-DY3:DY22) +
    ABS(DZ3:DZ22-EC3:EC22) +
    ABS(ED3:ED22-EG3:EG22) + ABS(EH3:EH22-EK3:EK22)
)</f>
        <v>638.38353239775506</v>
      </c>
      <c r="I30" cm="1">
        <f t="array" ref="I30">MAX(
    ABS(B3:B22-E3:E22) +
    ABS(F3:F22-I3:I22) +
    ABS(J3:J22-M3:M22) +
    ABS(N3:N22-Q3:Q22) +
    ABS(R3:R22-U3:U22) +
    ABS(V3:V22-Y3:Y22) +
    ABS(Z3:Z22-AC3:AC22) +
    ABS(AD3:AD22-AG3:AG22) +
    ABS(AH3:AH22-AK3:AK22) +
    ABS(AL3:AL22-AO3:AO22) +
    ABS(AP3:AP22-AS3:AS22) +
    ABS(AT3:AT22-AW3:AW22) +
    ABS(AX3:AX22-BA3:BA22) +
    ABS(BB3:BB22-BE3:BE22) +
    ABS(BF3:BF22-BI3:BI22) +
    ABS(BJ3:BJ22-BM3:BM22) +
    ABS(BN3:BN22-BQ3:BQ22) +
    ABS(BR3:BR22-BU3:BU22) +
    ABS(BV3:BV22-BY3:BY22) +
    ABS(BZ3:BZ22-CC3:CC22) +
    ABS(CD3:CD22-CG3:CG22) +
    ABS(CH3:CH22-CK3:CK22) +
    ABS(CL3:CL22-CO3:CO22) +
    ABS(CP3:CP22-CS3:CS22) +
    ABS(CT3:CT22-CW3:CW22) +
    ABS(CX3:CX22-DA3:DA22) +
    ABS(DB3:DB22-DE3:DE22) +
    ABS(DF3:DF22-DI3:DI22) +
    ABS(DJ3:DJ22-DM3:DM22) +
    ABS(DN3:DN22-DQ3:DQ22) +
    ABS(DR3:DR22-DU3:DU22) +
    ABS(DV3:DV22-DY3:DY22) +
    ABS(DZ3:DZ22-EC3:EC22) +
    ABS(ED3:ED22-EG3:EG22) + ABS(EH3:EH22-EK3:EK22)
)</f>
        <v>40.533052745084142</v>
      </c>
      <c r="J30" cm="1">
        <f t="array" ref="J30">MIN(
    ABS(B3:B22-E3:E22) +
    ABS(F3:F22-I3:I22) +
    ABS(J3:J22-M3:M22) +
    ABS(N3:N22-Q3:Q22) +
    ABS(R3:R22-U3:U22) +
    ABS(V3:V22-Y3:Y22) +
    ABS(Z3:Z22-AC3:AC22) +
    ABS(AD3:AD22-AG3:AG22) +
    ABS(AH3:AH22-AK3:AK22) +
    ABS(AL3:AL22-AO3:AO22) +
    ABS(AP3:AP22-AS3:AS22) +
    ABS(AT3:AT22-AW3:AW22) +
    ABS(AX3:AX22-BA3:BA22) +
    ABS(BB3:BB22-BE3:BE22) +
    ABS(BF3:BF22-BI3:BI22) +
    ABS(BJ3:BJ22-BM3:BM22) +
    ABS(BN3:BN22-BQ3:BQ22) +
    ABS(BR3:BR22-BU3:BU22) +
    ABS(BV3:BV22-BY3:BY22) +
    ABS(BZ3:BZ22-CC3:CC22) +
    ABS(CD3:CD22-CG3:CG22) +
    ABS(CH3:CH22-CK3:CK22) +
    ABS(CL3:CL22-CO3:CO22) +
    ABS(CP3:CP22-CS3:CS22) +
    ABS(CT3:CT22-CW3:CW22) +
    ABS(CX3:CX22-DA3:DA22) +
    ABS(DB3:DB22-DE3:DE22) +
    ABS(DF3:DF22-DI3:DI22) +
    ABS(DJ3:DJ22-DM3:DM22) +
    ABS(DN3:DN22-DQ3:DQ22) +
    ABS(DR3:DR22-DU3:DU22) +
    ABS(DV3:DV22-DY3:DY22) +
    ABS(DZ3:DZ22-EC3:EC22) +
    ABS(ED3:ED22-EG3:EG22) + ABS(EH3:EH22-EK3:EK22)
)</f>
        <v>20.381893224326181</v>
      </c>
    </row>
  </sheetData>
  <mergeCells count="35">
    <mergeCell ref="V1:Y1"/>
    <mergeCell ref="B1:E1"/>
    <mergeCell ref="F1:I1"/>
    <mergeCell ref="J1:M1"/>
    <mergeCell ref="N1:Q1"/>
    <mergeCell ref="R1:U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DN1:DQ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R1:DU1"/>
    <mergeCell ref="DV1:DY1"/>
    <mergeCell ref="DZ1:EC1"/>
    <mergeCell ref="ED1:EG1"/>
    <mergeCell ref="EH1:EK1"/>
  </mergeCells>
  <pageMargins left="0.7" right="0.7" top="0.75" bottom="0.75" header="0.3" footer="0.3"/>
  <pageSetup paperSize="9" orientation="portrait" verticalDpi="0" r:id="rId1"/>
  <headerFooter>
    <oddFooter>&amp;R_x000D_&amp;1#&amp;"Calibri"&amp;9&amp;K000000 Ierobežotas pieejamības ārēja informācija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DA00-2D26-4B6B-9A8C-22045EADF6F7}">
  <sheetPr codeName="Sheet2">
    <outlinePr summaryBelow="0" summaryRight="0"/>
  </sheetPr>
  <dimension ref="A1:AJ21"/>
  <sheetViews>
    <sheetView workbookViewId="0">
      <selection activeCell="B2" sqref="B2:B6"/>
    </sheetView>
  </sheetViews>
  <sheetFormatPr defaultColWidth="12.6328125" defaultRowHeight="15.75" customHeight="1" x14ac:dyDescent="0.3"/>
  <cols>
    <col min="1" max="16384" width="12.6328125" style="7"/>
  </cols>
  <sheetData>
    <row r="1" spans="1:36" ht="15.75" customHeight="1" x14ac:dyDescent="0.35">
      <c r="A1" s="4" t="s">
        <v>69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  <c r="AE1" s="6" t="s">
        <v>52</v>
      </c>
      <c r="AF1" s="6" t="s">
        <v>53</v>
      </c>
      <c r="AG1" s="6" t="s">
        <v>54</v>
      </c>
      <c r="AH1" s="6" t="s">
        <v>55</v>
      </c>
      <c r="AI1" s="6" t="s">
        <v>56</v>
      </c>
      <c r="AJ1" s="6" t="s">
        <v>57</v>
      </c>
    </row>
    <row r="2" spans="1:36" ht="15.75" customHeight="1" x14ac:dyDescent="0.3">
      <c r="A2" s="6" t="str">
        <f ca="1">IFERROR(__xludf.DUMMYFUNCTION("""COMPUTED_VALUE"""),"Arsenal")</f>
        <v>Arsenal</v>
      </c>
      <c r="B2" s="8">
        <f ca="1">IFERROR(__xludf.DUMMYFUNCTION("""COMPUTED_VALUE"""),2.36369155160749)</f>
        <v>2.3636915516074901</v>
      </c>
      <c r="C2" s="8">
        <f ca="1">IFERROR(__xludf.DUMMYFUNCTION("""COMPUTED_VALUE"""),1.62464710327071)</f>
        <v>1.6246471032707099</v>
      </c>
      <c r="D2" s="8">
        <f ca="1">IFERROR(__xludf.DUMMYFUNCTION("""COMPUTED_VALUE"""),2.11908445162656)</f>
        <v>2.1190844516265601</v>
      </c>
      <c r="E2" s="8">
        <f ca="1">IFERROR(__xludf.DUMMYFUNCTION("""COMPUTED_VALUE"""),1.79942301813581)</f>
        <v>1.79942301813581</v>
      </c>
      <c r="F2" s="8">
        <f ca="1">IFERROR(__xludf.DUMMYFUNCTION("""COMPUTED_VALUE"""),1.29625524208146)</f>
        <v>1.2962552420814599</v>
      </c>
      <c r="G2" s="8">
        <f ca="1">IFERROR(__xludf.DUMMYFUNCTION("""COMPUTED_VALUE"""),2.74788468495554)</f>
        <v>2.7478846849555398</v>
      </c>
      <c r="H2" s="8">
        <f ca="1">IFERROR(__xludf.DUMMYFUNCTION("""COMPUTED_VALUE"""),2.91546492866381)</f>
        <v>2.9154649286638099</v>
      </c>
      <c r="I2" s="8">
        <f ca="1">IFERROR(__xludf.DUMMYFUNCTION("""COMPUTED_VALUE"""),1.55595553521875)</f>
        <v>1.55595553521875</v>
      </c>
      <c r="J2" s="8">
        <f ca="1">IFERROR(__xludf.DUMMYFUNCTION("""COMPUTED_VALUE"""),1.469653836189)</f>
        <v>1.4696538361889999</v>
      </c>
      <c r="K2" s="8">
        <f ca="1">IFERROR(__xludf.DUMMYFUNCTION("""COMPUTED_VALUE"""),1.59361058588145)</f>
        <v>1.59361058588145</v>
      </c>
      <c r="L2" s="8">
        <f ca="1">IFERROR(__xludf.DUMMYFUNCTION("""COMPUTED_VALUE"""),1.49468765516827)</f>
        <v>1.49468765516827</v>
      </c>
      <c r="M2" s="8">
        <f ca="1">IFERROR(__xludf.DUMMYFUNCTION("""COMPUTED_VALUE"""),2.01658754860693)</f>
        <v>2.01658754860693</v>
      </c>
      <c r="N2" s="8">
        <f ca="1">IFERROR(__xludf.DUMMYFUNCTION("""COMPUTED_VALUE"""),1.77616257528685)</f>
        <v>1.77616257528685</v>
      </c>
      <c r="O2" s="8">
        <f ca="1">IFERROR(__xludf.DUMMYFUNCTION("""COMPUTED_VALUE"""),2.10770535647692)</f>
        <v>2.1077053564769201</v>
      </c>
      <c r="P2" s="8">
        <f ca="1">IFERROR(__xludf.DUMMYFUNCTION("""COMPUTED_VALUE"""),1.53059419230508)</f>
        <v>1.5305941923050801</v>
      </c>
      <c r="Q2" s="8">
        <f ca="1">IFERROR(__xludf.DUMMYFUNCTION("""COMPUTED_VALUE"""),1.86296983658699)</f>
        <v>1.86296983658699</v>
      </c>
      <c r="R2" s="8">
        <f ca="1">IFERROR(__xludf.DUMMYFUNCTION("""COMPUTED_VALUE"""),1.56937181031911)</f>
        <v>1.5693718103191101</v>
      </c>
      <c r="S2" s="8">
        <f ca="1">IFERROR(__xludf.DUMMYFUNCTION("""COMPUTED_VALUE"""),2.74270476182853)</f>
        <v>2.7427047618285298</v>
      </c>
      <c r="T2" s="8">
        <f ca="1">IFERROR(__xludf.DUMMYFUNCTION("""COMPUTED_VALUE"""),1.6667585396996)</f>
        <v>1.6667585396996001</v>
      </c>
      <c r="U2" s="8">
        <f ca="1">IFERROR(__xludf.DUMMYFUNCTION("""COMPUTED_VALUE"""),1.65955396008032)</f>
        <v>1.65955396008032</v>
      </c>
      <c r="V2" s="8">
        <f ca="1">IFERROR(__xludf.DUMMYFUNCTION("""COMPUTED_VALUE"""),2.29768325185761)</f>
        <v>2.29768325185761</v>
      </c>
      <c r="W2" s="8">
        <f ca="1">IFERROR(__xludf.DUMMYFUNCTION("""COMPUTED_VALUE"""),2.07451188616637)</f>
        <v>2.0745118861663698</v>
      </c>
      <c r="X2" s="8">
        <f ca="1">IFERROR(__xludf.DUMMYFUNCTION("""COMPUTED_VALUE"""),1.85111719916006)</f>
        <v>1.8511171991600599</v>
      </c>
      <c r="Y2" s="8">
        <f ca="1">IFERROR(__xludf.DUMMYFUNCTION("""COMPUTED_VALUE"""),1.65518831861381)</f>
        <v>1.6551883186138101</v>
      </c>
      <c r="Z2" s="8">
        <f ca="1">IFERROR(__xludf.DUMMYFUNCTION("""COMPUTED_VALUE"""),2.15199677731658)</f>
        <v>2.15199677731658</v>
      </c>
      <c r="AA2" s="8">
        <f ca="1">IFERROR(__xludf.DUMMYFUNCTION("""COMPUTED_VALUE"""),2.26798199238378)</f>
        <v>2.2679819923837798</v>
      </c>
      <c r="AB2" s="8">
        <f ca="1">IFERROR(__xludf.DUMMYFUNCTION("""COMPUTED_VALUE"""),1.57928385042441)</f>
        <v>1.57928385042441</v>
      </c>
      <c r="AC2" s="8">
        <f ca="1">IFERROR(__xludf.DUMMYFUNCTION("""COMPUTED_VALUE"""),1.65064245945408)</f>
        <v>1.6506424594540801</v>
      </c>
      <c r="AD2" s="8">
        <f ca="1">IFERROR(__xludf.DUMMYFUNCTION("""COMPUTED_VALUE"""),1.90856666688437)</f>
        <v>1.9085666668843699</v>
      </c>
      <c r="AE2" s="8">
        <f ca="1">IFERROR(__xludf.DUMMYFUNCTION("""COMPUTED_VALUE"""),1.95441572415435)</f>
        <v>1.9544157241543501</v>
      </c>
      <c r="AF2" s="8">
        <f ca="1">IFERROR(__xludf.DUMMYFUNCTION("""COMPUTED_VALUE"""),1.45897864874852)</f>
        <v>1.4589786487485199</v>
      </c>
      <c r="AG2" s="8">
        <f ca="1">IFERROR(__xludf.DUMMYFUNCTION("""COMPUTED_VALUE"""),2.12828397934242)</f>
        <v>2.1282839793424202</v>
      </c>
      <c r="AH2" s="8">
        <f ca="1">IFERROR(__xludf.DUMMYFUNCTION("""COMPUTED_VALUE"""),2.14794013769953)</f>
        <v>2.1479401376995302</v>
      </c>
      <c r="AI2" s="8">
        <f ca="1">IFERROR(__xludf.DUMMYFUNCTION("""COMPUTED_VALUE"""),2.00393086459647)</f>
        <v>2.00393086459647</v>
      </c>
      <c r="AJ2" s="8">
        <f ca="1">IFERROR(__xludf.DUMMYFUNCTION("""COMPUTED_VALUE"""),1.98679962292083)</f>
        <v>1.98679962292083</v>
      </c>
    </row>
    <row r="3" spans="1:36" ht="15.75" customHeight="1" x14ac:dyDescent="0.3">
      <c r="A3" s="6" t="str">
        <f ca="1">IFERROR(__xludf.DUMMYFUNCTION("""COMPUTED_VALUE"""),"Aston Villa")</f>
        <v>Aston Villa</v>
      </c>
      <c r="B3" s="8">
        <f ca="1">IFERROR(__xludf.DUMMYFUNCTION("""COMPUTED_VALUE"""),1.54067974190073)</f>
        <v>1.5406797419007301</v>
      </c>
      <c r="C3" s="8">
        <f ca="1">IFERROR(__xludf.DUMMYFUNCTION("""COMPUTED_VALUE"""),0.949131076207651)</f>
        <v>0.94913107620765103</v>
      </c>
      <c r="D3" s="8">
        <f ca="1">IFERROR(__xludf.DUMMYFUNCTION("""COMPUTED_VALUE"""),1.86668601488343)</f>
        <v>1.8666860148834299</v>
      </c>
      <c r="E3" s="8">
        <f ca="1">IFERROR(__xludf.DUMMYFUNCTION("""COMPUTED_VALUE"""),1.6159781356378)</f>
        <v>1.6159781356378</v>
      </c>
      <c r="F3" s="8">
        <f ca="1">IFERROR(__xludf.DUMMYFUNCTION("""COMPUTED_VALUE"""),2.05031439144889)</f>
        <v>2.0503143914488899</v>
      </c>
      <c r="G3" s="8">
        <f ca="1">IFERROR(__xludf.DUMMYFUNCTION("""COMPUTED_VALUE"""),1.86316720271773)</f>
        <v>1.86316720271773</v>
      </c>
      <c r="H3" s="8">
        <f ca="1">IFERROR(__xludf.DUMMYFUNCTION("""COMPUTED_VALUE"""),1.82826673064835)</f>
        <v>1.82826673064835</v>
      </c>
      <c r="I3" s="8">
        <f ca="1">IFERROR(__xludf.DUMMYFUNCTION("""COMPUTED_VALUE"""),1.32766870441153)</f>
        <v>1.3276687044115301</v>
      </c>
      <c r="J3" s="8">
        <f ca="1">IFERROR(__xludf.DUMMYFUNCTION("""COMPUTED_VALUE"""),1.72339062473252)</f>
        <v>1.7233906247325199</v>
      </c>
      <c r="K3" s="8">
        <f ca="1">IFERROR(__xludf.DUMMYFUNCTION("""COMPUTED_VALUE"""),1.56085632572456)</f>
        <v>1.56085632572456</v>
      </c>
      <c r="L3" s="8">
        <f ca="1">IFERROR(__xludf.DUMMYFUNCTION("""COMPUTED_VALUE"""),0.998361495208885)</f>
        <v>0.99836149520888495</v>
      </c>
      <c r="M3" s="8">
        <f ca="1">IFERROR(__xludf.DUMMYFUNCTION("""COMPUTED_VALUE"""),1.73825061411103)</f>
        <v>1.7382506141110301</v>
      </c>
      <c r="N3" s="8">
        <f ca="1">IFERROR(__xludf.DUMMYFUNCTION("""COMPUTED_VALUE"""),1.2965226397786)</f>
        <v>1.2965226397786001</v>
      </c>
      <c r="O3" s="8">
        <f ca="1">IFERROR(__xludf.DUMMYFUNCTION("""COMPUTED_VALUE"""),1.84611704897294)</f>
        <v>1.8461170489729399</v>
      </c>
      <c r="P3" s="8">
        <f ca="1">IFERROR(__xludf.DUMMYFUNCTION("""COMPUTED_VALUE"""),2.52893390296153)</f>
        <v>2.5289339029615299</v>
      </c>
      <c r="Q3" s="8">
        <f ca="1">IFERROR(__xludf.DUMMYFUNCTION("""COMPUTED_VALUE"""),1.36990310961085)</f>
        <v>1.36990310961085</v>
      </c>
      <c r="R3" s="8">
        <f ca="1">IFERROR(__xludf.DUMMYFUNCTION("""COMPUTED_VALUE"""),1.4357441976319)</f>
        <v>1.4357441976319001</v>
      </c>
      <c r="S3" s="8">
        <f ca="1">IFERROR(__xludf.DUMMYFUNCTION("""COMPUTED_VALUE"""),1.3823304129407)</f>
        <v>1.3823304129406999</v>
      </c>
      <c r="T3" s="8">
        <f ca="1">IFERROR(__xludf.DUMMYFUNCTION("""COMPUTED_VALUE"""),1.83813719049372)</f>
        <v>1.83813719049372</v>
      </c>
      <c r="U3" s="8">
        <f ca="1">IFERROR(__xludf.DUMMYFUNCTION("""COMPUTED_VALUE"""),2.38357137240466)</f>
        <v>2.3835713724046599</v>
      </c>
      <c r="V3" s="8">
        <f ca="1">IFERROR(__xludf.DUMMYFUNCTION("""COMPUTED_VALUE"""),1.26554791732931)</f>
        <v>1.26554791732931</v>
      </c>
      <c r="W3" s="8">
        <f ca="1">IFERROR(__xludf.DUMMYFUNCTION("""COMPUTED_VALUE"""),0.743308854419024)</f>
        <v>0.74330885441902395</v>
      </c>
      <c r="X3" s="8">
        <f ca="1">IFERROR(__xludf.DUMMYFUNCTION("""COMPUTED_VALUE"""),1.96729396243304)</f>
        <v>1.9672939624330401</v>
      </c>
      <c r="Y3" s="8">
        <f ca="1">IFERROR(__xludf.DUMMYFUNCTION("""COMPUTED_VALUE"""),1.60569691553676)</f>
        <v>1.60569691553676</v>
      </c>
      <c r="Z3" s="8">
        <f ca="1">IFERROR(__xludf.DUMMYFUNCTION("""COMPUTED_VALUE"""),2.37907820115028)</f>
        <v>2.3790782011502798</v>
      </c>
      <c r="AA3" s="8">
        <f ca="1">IFERROR(__xludf.DUMMYFUNCTION("""COMPUTED_VALUE"""),1.65552975873329)</f>
        <v>1.65552975873329</v>
      </c>
      <c r="AB3" s="8">
        <f ca="1">IFERROR(__xludf.DUMMYFUNCTION("""COMPUTED_VALUE"""),1.36130520331351)</f>
        <v>1.36130520331351</v>
      </c>
      <c r="AC3" s="8">
        <f ca="1">IFERROR(__xludf.DUMMYFUNCTION("""COMPUTED_VALUE"""),1.44578044402297)</f>
        <v>1.44578044402297</v>
      </c>
      <c r="AD3" s="8">
        <f ca="1">IFERROR(__xludf.DUMMYFUNCTION("""COMPUTED_VALUE"""),1.27480779323222)</f>
        <v>1.2748077932322199</v>
      </c>
      <c r="AE3" s="8">
        <f ca="1">IFERROR(__xludf.DUMMYFUNCTION("""COMPUTED_VALUE"""),1.43953104432118)</f>
        <v>1.43953104432118</v>
      </c>
      <c r="AF3" s="8">
        <f ca="1">IFERROR(__xludf.DUMMYFUNCTION("""COMPUTED_VALUE"""),1.74922928066209)</f>
        <v>1.7492292806620899</v>
      </c>
      <c r="AG3" s="8">
        <f ca="1">IFERROR(__xludf.DUMMYFUNCTION("""COMPUTED_VALUE"""),1.98052619857587)</f>
        <v>1.98052619857587</v>
      </c>
      <c r="AH3" s="8">
        <f ca="1">IFERROR(__xludf.DUMMYFUNCTION("""COMPUTED_VALUE"""),1.76509770428399)</f>
        <v>1.7650977042839899</v>
      </c>
      <c r="AI3" s="8">
        <f ca="1">IFERROR(__xludf.DUMMYFUNCTION("""COMPUTED_VALUE"""),1.12439830654859)</f>
        <v>1.1243983065485901</v>
      </c>
      <c r="AJ3" s="8">
        <f ca="1">IFERROR(__xludf.DUMMYFUNCTION("""COMPUTED_VALUE"""),1.69530016866308)</f>
        <v>1.69530016866308</v>
      </c>
    </row>
    <row r="4" spans="1:36" ht="15.75" customHeight="1" x14ac:dyDescent="0.3">
      <c r="A4" s="6" t="str">
        <f ca="1">IFERROR(__xludf.DUMMYFUNCTION("""COMPUTED_VALUE"""),"Bournemouth")</f>
        <v>Bournemouth</v>
      </c>
      <c r="B4" s="8">
        <f ca="1">IFERROR(__xludf.DUMMYFUNCTION("""COMPUTED_VALUE"""),1.34693825348466)</f>
        <v>1.3469382534846599</v>
      </c>
      <c r="C4" s="8">
        <f ca="1">IFERROR(__xludf.DUMMYFUNCTION("""COMPUTED_VALUE"""),1.73550786355499)</f>
        <v>1.7355078635549901</v>
      </c>
      <c r="D4" s="8">
        <f ca="1">IFERROR(__xludf.DUMMYFUNCTION("""COMPUTED_VALUE"""),1.24433245644134)</f>
        <v>1.2443324564413401</v>
      </c>
      <c r="E4" s="8">
        <f ca="1">IFERROR(__xludf.DUMMYFUNCTION("""COMPUTED_VALUE"""),1.62777669907878)</f>
        <v>1.6277766990787801</v>
      </c>
      <c r="F4" s="8">
        <f ca="1">IFERROR(__xludf.DUMMYFUNCTION("""COMPUTED_VALUE"""),0.981625108570627)</f>
        <v>0.98162510857062701</v>
      </c>
      <c r="G4" s="8">
        <f ca="1">IFERROR(__xludf.DUMMYFUNCTION("""COMPUTED_VALUE"""),2.48653922349354)</f>
        <v>2.4865392234935402</v>
      </c>
      <c r="H4" s="8">
        <f ca="1">IFERROR(__xludf.DUMMYFUNCTION("""COMPUTED_VALUE"""),1.83539316251759)</f>
        <v>1.8353931625175901</v>
      </c>
      <c r="I4" s="8">
        <f ca="1">IFERROR(__xludf.DUMMYFUNCTION("""COMPUTED_VALUE"""),0.933219981140355)</f>
        <v>0.93321998114035498</v>
      </c>
      <c r="J4" s="8">
        <f ca="1">IFERROR(__xludf.DUMMYFUNCTION("""COMPUTED_VALUE"""),1.38562762559769)</f>
        <v>1.38562762559769</v>
      </c>
      <c r="K4" s="8">
        <f ca="1">IFERROR(__xludf.DUMMYFUNCTION("""COMPUTED_VALUE"""),1.41167559109958)</f>
        <v>1.41167559109958</v>
      </c>
      <c r="L4" s="8">
        <f ca="1">IFERROR(__xludf.DUMMYFUNCTION("""COMPUTED_VALUE"""),1.4215435913185)</f>
        <v>1.4215435913184999</v>
      </c>
      <c r="M4" s="8">
        <f ca="1">IFERROR(__xludf.DUMMYFUNCTION("""COMPUTED_VALUE"""),1.8073229264602)</f>
        <v>1.8073229264602</v>
      </c>
      <c r="N4" s="8">
        <f ca="1">IFERROR(__xludf.DUMMYFUNCTION("""COMPUTED_VALUE"""),1.57877924640464)</f>
        <v>1.57877924640464</v>
      </c>
      <c r="O4" s="8">
        <f ca="1">IFERROR(__xludf.DUMMYFUNCTION("""COMPUTED_VALUE"""),1.95964611775543)</f>
        <v>1.9596461177554301</v>
      </c>
      <c r="P4" s="8">
        <f ca="1">IFERROR(__xludf.DUMMYFUNCTION("""COMPUTED_VALUE"""),1.83193333920632)</f>
        <v>1.83193333920632</v>
      </c>
      <c r="Q4" s="8">
        <f ca="1">IFERROR(__xludf.DUMMYFUNCTION("""COMPUTED_VALUE"""),1.93431453309367)</f>
        <v>1.93431453309367</v>
      </c>
      <c r="R4" s="8">
        <f ca="1">IFERROR(__xludf.DUMMYFUNCTION("""COMPUTED_VALUE"""),1.40779852264507)</f>
        <v>1.40779852264507</v>
      </c>
      <c r="S4" s="8">
        <f ca="1">IFERROR(__xludf.DUMMYFUNCTION("""COMPUTED_VALUE"""),1.7091108340899)</f>
        <v>1.7091108340898999</v>
      </c>
      <c r="T4" s="8">
        <f ca="1">IFERROR(__xludf.DUMMYFUNCTION("""COMPUTED_VALUE"""),1.30541185970029)</f>
        <v>1.3054118597002899</v>
      </c>
      <c r="U4" s="8">
        <f ca="1">IFERROR(__xludf.DUMMYFUNCTION("""COMPUTED_VALUE"""),1.58888811362995)</f>
        <v>1.58888811362995</v>
      </c>
      <c r="V4" s="8">
        <f ca="1">IFERROR(__xludf.DUMMYFUNCTION("""COMPUTED_VALUE"""),1.27478792315669)</f>
        <v>1.2747879231566901</v>
      </c>
      <c r="W4" s="8">
        <f ca="1">IFERROR(__xludf.DUMMYFUNCTION("""COMPUTED_VALUE"""),1.35915722731223)</f>
        <v>1.3591572273122301</v>
      </c>
      <c r="X4" s="8">
        <f ca="1">IFERROR(__xludf.DUMMYFUNCTION("""COMPUTED_VALUE"""),1.71990545587456)</f>
        <v>1.7199054558745599</v>
      </c>
      <c r="Y4" s="8">
        <f ca="1">IFERROR(__xludf.DUMMYFUNCTION("""COMPUTED_VALUE"""),1.25343710113383)</f>
        <v>1.2534371011338299</v>
      </c>
      <c r="Z4" s="8">
        <f ca="1">IFERROR(__xludf.DUMMYFUNCTION("""COMPUTED_VALUE"""),1.94732494595782)</f>
        <v>1.9473249459578199</v>
      </c>
      <c r="AA4" s="8">
        <f ca="1">IFERROR(__xludf.DUMMYFUNCTION("""COMPUTED_VALUE"""),2.01594321973409)</f>
        <v>2.0159432197340901</v>
      </c>
      <c r="AB4" s="8">
        <f ca="1">IFERROR(__xludf.DUMMYFUNCTION("""COMPUTED_VALUE"""),1.41539895564273)</f>
        <v>1.41539895564273</v>
      </c>
      <c r="AC4" s="8">
        <f ca="1">IFERROR(__xludf.DUMMYFUNCTION("""COMPUTED_VALUE"""),1.5346903577065)</f>
        <v>1.5346903577065001</v>
      </c>
      <c r="AD4" s="8">
        <f ca="1">IFERROR(__xludf.DUMMYFUNCTION("""COMPUTED_VALUE"""),1.81516901175459)</f>
        <v>1.81516901175459</v>
      </c>
      <c r="AE4" s="8">
        <f ca="1">IFERROR(__xludf.DUMMYFUNCTION("""COMPUTED_VALUE"""),2.33919568083255)</f>
        <v>2.33919568083255</v>
      </c>
      <c r="AF4" s="8">
        <f ca="1">IFERROR(__xludf.DUMMYFUNCTION("""COMPUTED_VALUE"""),1.51485201119404)</f>
        <v>1.51485201119404</v>
      </c>
      <c r="AG4" s="8">
        <f ca="1">IFERROR(__xludf.DUMMYFUNCTION("""COMPUTED_VALUE"""),1.6668804036513)</f>
        <v>1.6668804036513001</v>
      </c>
      <c r="AH4" s="8">
        <f ca="1">IFERROR(__xludf.DUMMYFUNCTION("""COMPUTED_VALUE"""),1.33848448123572)</f>
        <v>1.3384844812357199</v>
      </c>
      <c r="AI4" s="8">
        <f ca="1">IFERROR(__xludf.DUMMYFUNCTION("""COMPUTED_VALUE"""),1.7976179335655)</f>
        <v>1.7976179335655</v>
      </c>
      <c r="AJ4" s="8">
        <f ca="1">IFERROR(__xludf.DUMMYFUNCTION("""COMPUTED_VALUE"""),0.730848133088225)</f>
        <v>0.73084813308822505</v>
      </c>
    </row>
    <row r="5" spans="1:36" ht="15.75" customHeight="1" x14ac:dyDescent="0.3">
      <c r="A5" s="6" t="str">
        <f ca="1">IFERROR(__xludf.DUMMYFUNCTION("""COMPUTED_VALUE"""),"Brentford")</f>
        <v>Brentford</v>
      </c>
      <c r="B5" s="8">
        <f ca="1">IFERROR(__xludf.DUMMYFUNCTION("""COMPUTED_VALUE"""),1.56166291833548)</f>
        <v>1.56166291833548</v>
      </c>
      <c r="C5" s="8">
        <f ca="1">IFERROR(__xludf.DUMMYFUNCTION("""COMPUTED_VALUE"""),0.896938631003465)</f>
        <v>0.89693863100346505</v>
      </c>
      <c r="D5" s="8">
        <f ca="1">IFERROR(__xludf.DUMMYFUNCTION("""COMPUTED_VALUE"""),2.27202123049224)</f>
        <v>2.27202123049224</v>
      </c>
      <c r="E5" s="8">
        <f ca="1">IFERROR(__xludf.DUMMYFUNCTION("""COMPUTED_VALUE"""),1.01017144853659)</f>
        <v>1.01017144853659</v>
      </c>
      <c r="F5" s="8">
        <f ca="1">IFERROR(__xludf.DUMMYFUNCTION("""COMPUTED_VALUE"""),1.4022899948636)</f>
        <v>1.4022899948636001</v>
      </c>
      <c r="G5" s="8">
        <f ca="1">IFERROR(__xludf.DUMMYFUNCTION("""COMPUTED_VALUE"""),1.76743790892785)</f>
        <v>1.76743790892785</v>
      </c>
      <c r="H5" s="8">
        <f ca="1">IFERROR(__xludf.DUMMYFUNCTION("""COMPUTED_VALUE"""),1.84202434911425)</f>
        <v>1.8420243491142501</v>
      </c>
      <c r="I5" s="8">
        <f ca="1">IFERROR(__xludf.DUMMYFUNCTION("""COMPUTED_VALUE"""),1.28634533551066)</f>
        <v>1.28634533551066</v>
      </c>
      <c r="J5" s="8">
        <f ca="1">IFERROR(__xludf.DUMMYFUNCTION("""COMPUTED_VALUE"""),2.13738926734494)</f>
        <v>2.1373892673449402</v>
      </c>
      <c r="K5" s="8">
        <f ca="1">IFERROR(__xludf.DUMMYFUNCTION("""COMPUTED_VALUE"""),1.19279174515025)</f>
        <v>1.1927917451502501</v>
      </c>
      <c r="L5" s="8">
        <f ca="1">IFERROR(__xludf.DUMMYFUNCTION("""COMPUTED_VALUE"""),1.54831254515517)</f>
        <v>1.54831254515517</v>
      </c>
      <c r="M5" s="8">
        <f ca="1">IFERROR(__xludf.DUMMYFUNCTION("""COMPUTED_VALUE"""),1.13698176651048)</f>
        <v>1.13698176651048</v>
      </c>
      <c r="N5" s="8">
        <f ca="1">IFERROR(__xludf.DUMMYFUNCTION("""COMPUTED_VALUE"""),2.14142598039238)</f>
        <v>2.1414259803923801</v>
      </c>
      <c r="O5" s="8">
        <f ca="1">IFERROR(__xludf.DUMMYFUNCTION("""COMPUTED_VALUE"""),1.26608715968348)</f>
        <v>1.26608715968348</v>
      </c>
      <c r="P5" s="8">
        <f ca="1">IFERROR(__xludf.DUMMYFUNCTION("""COMPUTED_VALUE"""),1.58578263090624)</f>
        <v>1.5857826309062399</v>
      </c>
      <c r="Q5" s="8">
        <f ca="1">IFERROR(__xludf.DUMMYFUNCTION("""COMPUTED_VALUE"""),1.1648097880064)</f>
        <v>1.1648097880063999</v>
      </c>
      <c r="R5" s="8">
        <f ca="1">IFERROR(__xludf.DUMMYFUNCTION("""COMPUTED_VALUE"""),1.57152626963038)</f>
        <v>1.57152626963038</v>
      </c>
      <c r="S5" s="8">
        <f ca="1">IFERROR(__xludf.DUMMYFUNCTION("""COMPUTED_VALUE"""),1.29329006615012)</f>
        <v>1.2932900661501201</v>
      </c>
      <c r="T5" s="8">
        <f ca="1">IFERROR(__xludf.DUMMYFUNCTION("""COMPUTED_VALUE"""),0.852709496732362)</f>
        <v>0.85270949673236196</v>
      </c>
      <c r="U5" s="8">
        <f ca="1">IFERROR(__xludf.DUMMYFUNCTION("""COMPUTED_VALUE"""),1.77932589121485)</f>
        <v>1.77932589121485</v>
      </c>
      <c r="V5" s="8">
        <f ca="1">IFERROR(__xludf.DUMMYFUNCTION("""COMPUTED_VALUE"""),1.28988792263637)</f>
        <v>1.28988792263637</v>
      </c>
      <c r="W5" s="8">
        <f ca="1">IFERROR(__xludf.DUMMYFUNCTION("""COMPUTED_VALUE"""),1.14530093792832)</f>
        <v>1.1453009379283201</v>
      </c>
      <c r="X5" s="8">
        <f ca="1">IFERROR(__xludf.DUMMYFUNCTION("""COMPUTED_VALUE"""),1.22301113504227)</f>
        <v>1.2230111350422701</v>
      </c>
      <c r="Y5" s="8">
        <f ca="1">IFERROR(__xludf.DUMMYFUNCTION("""COMPUTED_VALUE"""),1.79058409444133)</f>
        <v>1.79058409444133</v>
      </c>
      <c r="Z5" s="8">
        <f ca="1">IFERROR(__xludf.DUMMYFUNCTION("""COMPUTED_VALUE"""),1.38416313644597)</f>
        <v>1.3841631364459701</v>
      </c>
      <c r="AA5" s="8">
        <f ca="1">IFERROR(__xludf.DUMMYFUNCTION("""COMPUTED_VALUE"""),1.67705065423477)</f>
        <v>1.6770506542347701</v>
      </c>
      <c r="AB5" s="8">
        <f ca="1">IFERROR(__xludf.DUMMYFUNCTION("""COMPUTED_VALUE"""),1.45181201765723)</f>
        <v>1.45181201765723</v>
      </c>
      <c r="AC5" s="8">
        <f ca="1">IFERROR(__xludf.DUMMYFUNCTION("""COMPUTED_VALUE"""),1.61666669419984)</f>
        <v>1.61666669419984</v>
      </c>
      <c r="AD5" s="8">
        <f ca="1">IFERROR(__xludf.DUMMYFUNCTION("""COMPUTED_VALUE"""),1.21255583456431)</f>
        <v>1.2125558345643099</v>
      </c>
      <c r="AE5" s="8">
        <f ca="1">IFERROR(__xludf.DUMMYFUNCTION("""COMPUTED_VALUE"""),1.241900407946)</f>
        <v>1.2419004079460001</v>
      </c>
      <c r="AF5" s="8">
        <f ca="1">IFERROR(__xludf.DUMMYFUNCTION("""COMPUTED_VALUE"""),1.48734561830538)</f>
        <v>1.4873456183053799</v>
      </c>
      <c r="AG5" s="8">
        <f ca="1">IFERROR(__xludf.DUMMYFUNCTION("""COMPUTED_VALUE"""),0.667796614247288)</f>
        <v>0.66779661424728798</v>
      </c>
      <c r="AH5" s="8">
        <f ca="1">IFERROR(__xludf.DUMMYFUNCTION("""COMPUTED_VALUE"""),1.65140208546708)</f>
        <v>1.6514020854670799</v>
      </c>
      <c r="AI5" s="8">
        <f ca="1">IFERROR(__xludf.DUMMYFUNCTION("""COMPUTED_VALUE"""),1.23073558589583)</f>
        <v>1.23073558589583</v>
      </c>
      <c r="AJ5" s="8">
        <f ca="1">IFERROR(__xludf.DUMMYFUNCTION("""COMPUTED_VALUE"""),1.64253435891357)</f>
        <v>1.6425343589135699</v>
      </c>
    </row>
    <row r="6" spans="1:36" ht="15.75" customHeight="1" x14ac:dyDescent="0.3">
      <c r="A6" s="6" t="str">
        <f ca="1">IFERROR(__xludf.DUMMYFUNCTION("""COMPUTED_VALUE"""),"Brighton")</f>
        <v>Brighton</v>
      </c>
      <c r="B6" s="8">
        <f ca="1">IFERROR(__xludf.DUMMYFUNCTION("""COMPUTED_VALUE"""),1.22844431414631)</f>
        <v>1.2284443141463099</v>
      </c>
      <c r="C6" s="8">
        <f ca="1">IFERROR(__xludf.DUMMYFUNCTION("""COMPUTED_VALUE"""),1.77466521753471)</f>
        <v>1.77466521753471</v>
      </c>
      <c r="D6" s="8">
        <f ca="1">IFERROR(__xludf.DUMMYFUNCTION("""COMPUTED_VALUE"""),0.721516367228987)</f>
        <v>0.72151636722898704</v>
      </c>
      <c r="E6" s="8">
        <f ca="1">IFERROR(__xludf.DUMMYFUNCTION("""COMPUTED_VALUE"""),2.30932788011692)</f>
        <v>2.3093278801169199</v>
      </c>
      <c r="F6" s="8">
        <f ca="1">IFERROR(__xludf.DUMMYFUNCTION("""COMPUTED_VALUE"""),1.69794500432845)</f>
        <v>1.6979450043284501</v>
      </c>
      <c r="G6" s="8">
        <f ca="1">IFERROR(__xludf.DUMMYFUNCTION("""COMPUTED_VALUE"""),1.25851091309057)</f>
        <v>1.2585109130905701</v>
      </c>
      <c r="H6" s="8">
        <f ca="1">IFERROR(__xludf.DUMMYFUNCTION("""COMPUTED_VALUE"""),1.93462456004742)</f>
        <v>1.9346245600474199</v>
      </c>
      <c r="I6" s="8">
        <f ca="1">IFERROR(__xludf.DUMMYFUNCTION("""COMPUTED_VALUE"""),1.3418029556969)</f>
        <v>1.3418029556969</v>
      </c>
      <c r="J6" s="8">
        <f ca="1">IFERROR(__xludf.DUMMYFUNCTION("""COMPUTED_VALUE"""),1.99020283775817)</f>
        <v>1.99020283775817</v>
      </c>
      <c r="K6" s="8">
        <f ca="1">IFERROR(__xludf.DUMMYFUNCTION("""COMPUTED_VALUE"""),0.969091320414087)</f>
        <v>0.96909132041408697</v>
      </c>
      <c r="L6" s="8">
        <f ca="1">IFERROR(__xludf.DUMMYFUNCTION("""COMPUTED_VALUE"""),1.39365074368062)</f>
        <v>1.39365074368062</v>
      </c>
      <c r="M6" s="8">
        <f ca="1">IFERROR(__xludf.DUMMYFUNCTION("""COMPUTED_VALUE"""),1.31009780845218)</f>
        <v>1.3100978084521799</v>
      </c>
      <c r="N6" s="8">
        <f ca="1">IFERROR(__xludf.DUMMYFUNCTION("""COMPUTED_VALUE"""),2.45479008056914)</f>
        <v>2.4547900805691398</v>
      </c>
      <c r="O6" s="8">
        <f ca="1">IFERROR(__xludf.DUMMYFUNCTION("""COMPUTED_VALUE"""),1.28874383077187)</f>
        <v>1.2887438307718699</v>
      </c>
      <c r="P6" s="8">
        <f ca="1">IFERROR(__xludf.DUMMYFUNCTION("""COMPUTED_VALUE"""),1.81195811701793)</f>
        <v>1.81195811701793</v>
      </c>
      <c r="Q6" s="8">
        <f ca="1">IFERROR(__xludf.DUMMYFUNCTION("""COMPUTED_VALUE"""),1.68728821265989)</f>
        <v>1.68728821265989</v>
      </c>
      <c r="R6" s="8">
        <f ca="1">IFERROR(__xludf.DUMMYFUNCTION("""COMPUTED_VALUE"""),1.49550976532947)</f>
        <v>1.49550976532947</v>
      </c>
      <c r="S6" s="8">
        <f ca="1">IFERROR(__xludf.DUMMYFUNCTION("""COMPUTED_VALUE"""),1.79199219642763)</f>
        <v>1.79199219642763</v>
      </c>
      <c r="T6" s="8">
        <f ca="1">IFERROR(__xludf.DUMMYFUNCTION("""COMPUTED_VALUE"""),1.36793536918386)</f>
        <v>1.3679353691838601</v>
      </c>
      <c r="U6" s="8">
        <f ca="1">IFERROR(__xludf.DUMMYFUNCTION("""COMPUTED_VALUE"""),0.921304249314693)</f>
        <v>0.92130424931469301</v>
      </c>
      <c r="V6" s="8">
        <f ca="1">IFERROR(__xludf.DUMMYFUNCTION("""COMPUTED_VALUE"""),1.8085424701362)</f>
        <v>1.8085424701362001</v>
      </c>
      <c r="W6" s="8">
        <f ca="1">IFERROR(__xludf.DUMMYFUNCTION("""COMPUTED_VALUE"""),1.38982317921115)</f>
        <v>1.38982317921115</v>
      </c>
      <c r="X6" s="8">
        <f ca="1">IFERROR(__xludf.DUMMYFUNCTION("""COMPUTED_VALUE"""),1.56860054473343)</f>
        <v>1.5686005447334299</v>
      </c>
      <c r="Y6" s="8">
        <f ca="1">IFERROR(__xludf.DUMMYFUNCTION("""COMPUTED_VALUE"""),1.32973999869093)</f>
        <v>1.32973999869093</v>
      </c>
      <c r="Z6" s="8">
        <f ca="1">IFERROR(__xludf.DUMMYFUNCTION("""COMPUTED_VALUE"""),1.60699258492535)</f>
        <v>1.6069925849253499</v>
      </c>
      <c r="AA6" s="8">
        <f ca="1">IFERROR(__xludf.DUMMYFUNCTION("""COMPUTED_VALUE"""),1.92246070997661)</f>
        <v>1.92246070997661</v>
      </c>
      <c r="AB6" s="8">
        <f ca="1">IFERROR(__xludf.DUMMYFUNCTION("""COMPUTED_VALUE"""),1.67286389161259)</f>
        <v>1.67286389161259</v>
      </c>
      <c r="AC6" s="8">
        <f ca="1">IFERROR(__xludf.DUMMYFUNCTION("""COMPUTED_VALUE"""),1.6455969975126)</f>
        <v>1.6455969975125999</v>
      </c>
      <c r="AD6" s="8">
        <f ca="1">IFERROR(__xludf.DUMMYFUNCTION("""COMPUTED_VALUE"""),1.0914329576949)</f>
        <v>1.0914329576949</v>
      </c>
      <c r="AE6" s="8">
        <f ca="1">IFERROR(__xludf.DUMMYFUNCTION("""COMPUTED_VALUE"""),1.74671667291087)</f>
        <v>1.7467166729108701</v>
      </c>
      <c r="AF6" s="8">
        <f ca="1">IFERROR(__xludf.DUMMYFUNCTION("""COMPUTED_VALUE"""),1.32139416764029)</f>
        <v>1.3213941676402901</v>
      </c>
      <c r="AG6" s="8">
        <f ca="1">IFERROR(__xludf.DUMMYFUNCTION("""COMPUTED_VALUE"""),2.3136893196202)</f>
        <v>2.3136893196202002</v>
      </c>
      <c r="AH6" s="8">
        <f ca="1">IFERROR(__xludf.DUMMYFUNCTION("""COMPUTED_VALUE"""),1.40339274526402)</f>
        <v>1.40339274526402</v>
      </c>
      <c r="AI6" s="8">
        <f ca="1">IFERROR(__xludf.DUMMYFUNCTION("""COMPUTED_VALUE"""),1.9096164193492)</f>
        <v>1.9096164193492</v>
      </c>
      <c r="AJ6" s="8">
        <f ca="1">IFERROR(__xludf.DUMMYFUNCTION("""COMPUTED_VALUE"""),1.71334819412937)</f>
        <v>1.71334819412937</v>
      </c>
    </row>
    <row r="7" spans="1:36" ht="15.75" customHeight="1" x14ac:dyDescent="0.3">
      <c r="A7" s="6" t="str">
        <f ca="1">IFERROR(__xludf.DUMMYFUNCTION("""COMPUTED_VALUE"""),"Chelsea")</f>
        <v>Chelsea</v>
      </c>
      <c r="B7" s="8">
        <f ca="1">IFERROR(__xludf.DUMMYFUNCTION("""COMPUTED_VALUE"""),1.56486801234783)</f>
        <v>1.56486801234783</v>
      </c>
      <c r="C7" s="8">
        <f ca="1">IFERROR(__xludf.DUMMYFUNCTION("""COMPUTED_VALUE"""),1.75010544691281)</f>
        <v>1.7501054469128099</v>
      </c>
      <c r="D7" s="8">
        <f ca="1">IFERROR(__xludf.DUMMYFUNCTION("""COMPUTED_VALUE"""),1.89458037716807)</f>
        <v>1.89458037716807</v>
      </c>
      <c r="E7" s="8">
        <f ca="1">IFERROR(__xludf.DUMMYFUNCTION("""COMPUTED_VALUE"""),1.47105016288329)</f>
        <v>1.4710501628832899</v>
      </c>
      <c r="F7" s="8">
        <f ca="1">IFERROR(__xludf.DUMMYFUNCTION("""COMPUTED_VALUE"""),1.67924094650661)</f>
        <v>1.67924094650661</v>
      </c>
      <c r="G7" s="8">
        <f ca="1">IFERROR(__xludf.DUMMYFUNCTION("""COMPUTED_VALUE"""),2.00345026395015)</f>
        <v>2.0034502639501501</v>
      </c>
      <c r="H7" s="8">
        <f ca="1">IFERROR(__xludf.DUMMYFUNCTION("""COMPUTED_VALUE"""),1.90654641132118)</f>
        <v>1.9065464113211801</v>
      </c>
      <c r="I7" s="8">
        <f ca="1">IFERROR(__xludf.DUMMYFUNCTION("""COMPUTED_VALUE"""),1.08814924774829)</f>
        <v>1.0881492477482899</v>
      </c>
      <c r="J7" s="8">
        <f ca="1">IFERROR(__xludf.DUMMYFUNCTION("""COMPUTED_VALUE"""),1.92384196339323)</f>
        <v>1.92384196339323</v>
      </c>
      <c r="K7" s="8">
        <f ca="1">IFERROR(__xludf.DUMMYFUNCTION("""COMPUTED_VALUE"""),1.56057021160353)</f>
        <v>1.56057021160353</v>
      </c>
      <c r="L7" s="8">
        <f ca="1">IFERROR(__xludf.DUMMYFUNCTION("""COMPUTED_VALUE"""),1.03449128551757)</f>
        <v>1.0344912855175701</v>
      </c>
      <c r="M7" s="8">
        <f ca="1">IFERROR(__xludf.DUMMYFUNCTION("""COMPUTED_VALUE"""),2.03456663004885)</f>
        <v>2.0345666300488499</v>
      </c>
      <c r="N7" s="8">
        <f ca="1">IFERROR(__xludf.DUMMYFUNCTION("""COMPUTED_VALUE"""),1.96130993397528)</f>
        <v>1.96130993397528</v>
      </c>
      <c r="O7" s="8">
        <f ca="1">IFERROR(__xludf.DUMMYFUNCTION("""COMPUTED_VALUE"""),2.15864504337201)</f>
        <v>2.1586450433720099</v>
      </c>
      <c r="P7" s="8">
        <f ca="1">IFERROR(__xludf.DUMMYFUNCTION("""COMPUTED_VALUE"""),1.70123211364936)</f>
        <v>1.70123211364936</v>
      </c>
      <c r="Q7" s="8">
        <f ca="1">IFERROR(__xludf.DUMMYFUNCTION("""COMPUTED_VALUE"""),2.01214779189265)</f>
        <v>2.0121477918926498</v>
      </c>
      <c r="R7" s="8">
        <f ca="1">IFERROR(__xludf.DUMMYFUNCTION("""COMPUTED_VALUE"""),1.37936511057369)</f>
        <v>1.3793651105736899</v>
      </c>
      <c r="S7" s="8">
        <f ca="1">IFERROR(__xludf.DUMMYFUNCTION("""COMPUTED_VALUE"""),1.84776717861332)</f>
        <v>1.8477671786133201</v>
      </c>
      <c r="T7" s="8">
        <f ca="1">IFERROR(__xludf.DUMMYFUNCTION("""COMPUTED_VALUE"""),2.03073135311815)</f>
        <v>2.0307313531181501</v>
      </c>
      <c r="U7" s="8">
        <f ca="1">IFERROR(__xludf.DUMMYFUNCTION("""COMPUTED_VALUE"""),1.48373433876425)</f>
        <v>1.4837343387642501</v>
      </c>
      <c r="V7" s="8">
        <f ca="1">IFERROR(__xludf.DUMMYFUNCTION("""COMPUTED_VALUE"""),1.87838395298568)</f>
        <v>1.8783839529856801</v>
      </c>
      <c r="W7" s="8">
        <f ca="1">IFERROR(__xludf.DUMMYFUNCTION("""COMPUTED_VALUE"""),2.23470964516297)</f>
        <v>2.2347096451629702</v>
      </c>
      <c r="X7" s="8">
        <f ca="1">IFERROR(__xludf.DUMMYFUNCTION("""COMPUTED_VALUE"""),1.22552119378794)</f>
        <v>1.22552119378794</v>
      </c>
      <c r="Y7" s="8">
        <f ca="1">IFERROR(__xludf.DUMMYFUNCTION("""COMPUTED_VALUE"""),2.14422276459429)</f>
        <v>2.1442227645942902</v>
      </c>
      <c r="Z7" s="8">
        <f ca="1">IFERROR(__xludf.DUMMYFUNCTION("""COMPUTED_VALUE"""),1.56899542951691)</f>
        <v>1.56899542951691</v>
      </c>
      <c r="AA7" s="8">
        <f ca="1">IFERROR(__xludf.DUMMYFUNCTION("""COMPUTED_VALUE"""),1.53599336986082)</f>
        <v>1.5359933698608199</v>
      </c>
      <c r="AB7" s="8">
        <f ca="1">IFERROR(__xludf.DUMMYFUNCTION("""COMPUTED_VALUE"""),2.75637385588172)</f>
        <v>2.7563738558817201</v>
      </c>
      <c r="AC7" s="8">
        <f ca="1">IFERROR(__xludf.DUMMYFUNCTION("""COMPUTED_VALUE"""),2.59793812990938)</f>
        <v>2.5979381299093798</v>
      </c>
      <c r="AD7" s="8">
        <f ca="1">IFERROR(__xludf.DUMMYFUNCTION("""COMPUTED_VALUE"""),0.810158419232182)</f>
        <v>0.81015841923218201</v>
      </c>
      <c r="AE7" s="8">
        <f ca="1">IFERROR(__xludf.DUMMYFUNCTION("""COMPUTED_VALUE"""),2.17230328591887)</f>
        <v>2.1723032859188698</v>
      </c>
      <c r="AF7" s="8">
        <f ca="1">IFERROR(__xludf.DUMMYFUNCTION("""COMPUTED_VALUE"""),1.57580686967864)</f>
        <v>1.57580686967864</v>
      </c>
      <c r="AG7" s="8">
        <f ca="1">IFERROR(__xludf.DUMMYFUNCTION("""COMPUTED_VALUE"""),2.59304086479657)</f>
        <v>2.5930408647965701</v>
      </c>
      <c r="AH7" s="8">
        <f ca="1">IFERROR(__xludf.DUMMYFUNCTION("""COMPUTED_VALUE"""),1.44707273757797)</f>
        <v>1.4470727375779699</v>
      </c>
      <c r="AI7" s="8">
        <f ca="1">IFERROR(__xludf.DUMMYFUNCTION("""COMPUTED_VALUE"""),1.76131130969154)</f>
        <v>1.76131130969154</v>
      </c>
      <c r="AJ7" s="8">
        <f ca="1">IFERROR(__xludf.DUMMYFUNCTION("""COMPUTED_VALUE"""),1.38945777444979)</f>
        <v>1.38945777444979</v>
      </c>
    </row>
    <row r="8" spans="1:36" ht="15.75" customHeight="1" x14ac:dyDescent="0.3">
      <c r="A8" s="6" t="str">
        <f ca="1">IFERROR(__xludf.DUMMYFUNCTION("""COMPUTED_VALUE"""),"Crystal Palace")</f>
        <v>Crystal Palace</v>
      </c>
      <c r="B8" s="8">
        <f ca="1">IFERROR(__xludf.DUMMYFUNCTION("""COMPUTED_VALUE"""),1.28702975477602)</f>
        <v>1.2870297547760201</v>
      </c>
      <c r="C8" s="8">
        <f ca="1">IFERROR(__xludf.DUMMYFUNCTION("""COMPUTED_VALUE"""),1.75127964727286)</f>
        <v>1.75127964727286</v>
      </c>
      <c r="D8" s="8">
        <f ca="1">IFERROR(__xludf.DUMMYFUNCTION("""COMPUTED_VALUE"""),1.15416087002301)</f>
        <v>1.1541608700230099</v>
      </c>
      <c r="E8" s="8">
        <f ca="1">IFERROR(__xludf.DUMMYFUNCTION("""COMPUTED_VALUE"""),2.1218486469363)</f>
        <v>2.1218486469363</v>
      </c>
      <c r="F8" s="8">
        <f ca="1">IFERROR(__xludf.DUMMYFUNCTION("""COMPUTED_VALUE"""),1.62751798984363)</f>
        <v>1.6275179898436301</v>
      </c>
      <c r="G8" s="8">
        <f ca="1">IFERROR(__xludf.DUMMYFUNCTION("""COMPUTED_VALUE"""),1.12658725772042)</f>
        <v>1.1265872577204199</v>
      </c>
      <c r="H8" s="8">
        <f ca="1">IFERROR(__xludf.DUMMYFUNCTION("""COMPUTED_VALUE"""),1.13483037365261)</f>
        <v>1.13483037365261</v>
      </c>
      <c r="I8" s="8">
        <f ca="1">IFERROR(__xludf.DUMMYFUNCTION("""COMPUTED_VALUE"""),1.21948396142599)</f>
        <v>1.21948396142599</v>
      </c>
      <c r="J8" s="8">
        <f ca="1">IFERROR(__xludf.DUMMYFUNCTION("""COMPUTED_VALUE"""),1.77421422584957)</f>
        <v>1.7742142258495699</v>
      </c>
      <c r="K8" s="8">
        <f ca="1">IFERROR(__xludf.DUMMYFUNCTION("""COMPUTED_VALUE"""),1.42938695566908)</f>
        <v>1.4293869556690799</v>
      </c>
      <c r="L8" s="8">
        <f ca="1">IFERROR(__xludf.DUMMYFUNCTION("""COMPUTED_VALUE"""),1.50915152391667)</f>
        <v>1.50915152391667</v>
      </c>
      <c r="M8" s="8">
        <f ca="1">IFERROR(__xludf.DUMMYFUNCTION("""COMPUTED_VALUE"""),1.25451234423969)</f>
        <v>1.2545123442396899</v>
      </c>
      <c r="N8" s="8">
        <f ca="1">IFERROR(__xludf.DUMMYFUNCTION("""COMPUTED_VALUE"""),1.57128509718882)</f>
        <v>1.5712850971888199</v>
      </c>
      <c r="O8" s="8">
        <f ca="1">IFERROR(__xludf.DUMMYFUNCTION("""COMPUTED_VALUE"""),1.6585862936063)</f>
        <v>1.6585862936063001</v>
      </c>
      <c r="P8" s="8">
        <f ca="1">IFERROR(__xludf.DUMMYFUNCTION("""COMPUTED_VALUE"""),1.27809551598134)</f>
        <v>1.2780955159813401</v>
      </c>
      <c r="Q8" s="8">
        <f ca="1">IFERROR(__xludf.DUMMYFUNCTION("""COMPUTED_VALUE"""),1.28146655643636)</f>
        <v>1.2814665564363601</v>
      </c>
      <c r="R8" s="8">
        <f ca="1">IFERROR(__xludf.DUMMYFUNCTION("""COMPUTED_VALUE"""),0.844913860407994)</f>
        <v>0.84491386040799399</v>
      </c>
      <c r="S8" s="8">
        <f ca="1">IFERROR(__xludf.DUMMYFUNCTION("""COMPUTED_VALUE"""),1.2014704129225)</f>
        <v>1.2014704129225</v>
      </c>
      <c r="T8" s="8">
        <f ca="1">IFERROR(__xludf.DUMMYFUNCTION("""COMPUTED_VALUE"""),2.25124996982019)</f>
        <v>2.25124996982019</v>
      </c>
      <c r="U8" s="8">
        <f ca="1">IFERROR(__xludf.DUMMYFUNCTION("""COMPUTED_VALUE"""),1.47374801493238)</f>
        <v>1.4737480149323801</v>
      </c>
      <c r="V8" s="8">
        <f ca="1">IFERROR(__xludf.DUMMYFUNCTION("""COMPUTED_VALUE"""),1.66171873046934)</f>
        <v>1.6617187304693399</v>
      </c>
      <c r="W8" s="8">
        <f ca="1">IFERROR(__xludf.DUMMYFUNCTION("""COMPUTED_VALUE"""),1.37150884742177)</f>
        <v>1.37150884742177</v>
      </c>
      <c r="X8" s="8">
        <f ca="1">IFERROR(__xludf.DUMMYFUNCTION("""COMPUTED_VALUE"""),1.6434082938735)</f>
        <v>1.6434082938735</v>
      </c>
      <c r="Y8" s="8">
        <f ca="1">IFERROR(__xludf.DUMMYFUNCTION("""COMPUTED_VALUE"""),1.27458531587723)</f>
        <v>1.27458531587723</v>
      </c>
      <c r="Z8" s="8">
        <f ca="1">IFERROR(__xludf.DUMMYFUNCTION("""COMPUTED_VALUE"""),1.43853926938321)</f>
        <v>1.43853926938321</v>
      </c>
      <c r="AA8" s="8">
        <f ca="1">IFERROR(__xludf.DUMMYFUNCTION("""COMPUTED_VALUE"""),1.18188701066385)</f>
        <v>1.1818870106638499</v>
      </c>
      <c r="AB8" s="8">
        <f ca="1">IFERROR(__xludf.DUMMYFUNCTION("""COMPUTED_VALUE"""),1.60188681235967)</f>
        <v>1.6018868123596699</v>
      </c>
      <c r="AC8" s="8">
        <f ca="1">IFERROR(__xludf.DUMMYFUNCTION("""COMPUTED_VALUE"""),2.11784883830588)</f>
        <v>2.1178488383058802</v>
      </c>
      <c r="AD8" s="8">
        <f ca="1">IFERROR(__xludf.DUMMYFUNCTION("""COMPUTED_VALUE"""),1.2305467124981)</f>
        <v>1.2305467124981</v>
      </c>
      <c r="AE8" s="8">
        <f ca="1">IFERROR(__xludf.DUMMYFUNCTION("""COMPUTED_VALUE"""),1.76305894731004)</f>
        <v>1.76305894731004</v>
      </c>
      <c r="AF8" s="8">
        <f ca="1">IFERROR(__xludf.DUMMYFUNCTION("""COMPUTED_VALUE"""),1.63630464591359)</f>
        <v>1.6363046459135899</v>
      </c>
      <c r="AG8" s="8">
        <f ca="1">IFERROR(__xludf.DUMMYFUNCTION("""COMPUTED_VALUE"""),1.00093626437571)</f>
        <v>1.00093626437571</v>
      </c>
      <c r="AH8" s="8">
        <f ca="1">IFERROR(__xludf.DUMMYFUNCTION("""COMPUTED_VALUE"""),1.53415757026075)</f>
        <v>1.5341575702607499</v>
      </c>
      <c r="AI8" s="8">
        <f ca="1">IFERROR(__xludf.DUMMYFUNCTION("""COMPUTED_VALUE"""),0.661691487515071)</f>
        <v>0.66169148751507101</v>
      </c>
      <c r="AJ8" s="8">
        <f ca="1">IFERROR(__xludf.DUMMYFUNCTION("""COMPUTED_VALUE"""),1.55715907034484)</f>
        <v>1.5571590703448399</v>
      </c>
    </row>
    <row r="9" spans="1:36" ht="15.75" customHeight="1" x14ac:dyDescent="0.3">
      <c r="A9" s="6" t="str">
        <f ca="1">IFERROR(__xludf.DUMMYFUNCTION("""COMPUTED_VALUE"""),"Everton")</f>
        <v>Everton</v>
      </c>
      <c r="B9" s="8">
        <f ca="1">IFERROR(__xludf.DUMMYFUNCTION("""COMPUTED_VALUE"""),1.32014555760639)</f>
        <v>1.3201455576063901</v>
      </c>
      <c r="C9" s="8">
        <f ca="1">IFERROR(__xludf.DUMMYFUNCTION("""COMPUTED_VALUE"""),1.12100313030152)</f>
        <v>1.12100313030152</v>
      </c>
      <c r="D9" s="8">
        <f ca="1">IFERROR(__xludf.DUMMYFUNCTION("""COMPUTED_VALUE"""),1.23773485952376)</f>
        <v>1.2377348595237601</v>
      </c>
      <c r="E9" s="8">
        <f ca="1">IFERROR(__xludf.DUMMYFUNCTION("""COMPUTED_VALUE"""),1.01212136893111)</f>
        <v>1.0121213689311099</v>
      </c>
      <c r="F9" s="8">
        <f ca="1">IFERROR(__xludf.DUMMYFUNCTION("""COMPUTED_VALUE"""),1.34064925226415)</f>
        <v>1.34064925226415</v>
      </c>
      <c r="G9" s="8">
        <f ca="1">IFERROR(__xludf.DUMMYFUNCTION("""COMPUTED_VALUE"""),1.24840726692923)</f>
        <v>1.2484072669292301</v>
      </c>
      <c r="H9" s="8">
        <f ca="1">IFERROR(__xludf.DUMMYFUNCTION("""COMPUTED_VALUE"""),1.26768878030581)</f>
        <v>1.2676887803058099</v>
      </c>
      <c r="I9" s="8">
        <f ca="1">IFERROR(__xludf.DUMMYFUNCTION("""COMPUTED_VALUE"""),1.33812205012025)</f>
        <v>1.33812205012025</v>
      </c>
      <c r="J9" s="8">
        <f ca="1">IFERROR(__xludf.DUMMYFUNCTION("""COMPUTED_VALUE"""),1.21756036385336)</f>
        <v>1.2175603638533601</v>
      </c>
      <c r="K9" s="8">
        <f ca="1">IFERROR(__xludf.DUMMYFUNCTION("""COMPUTED_VALUE"""),1.42240898899975)</f>
        <v>1.42240898899975</v>
      </c>
      <c r="L9" s="8">
        <f ca="1">IFERROR(__xludf.DUMMYFUNCTION("""COMPUTED_VALUE"""),1.10651235799114)</f>
        <v>1.10651235799114</v>
      </c>
      <c r="M9" s="8">
        <f ca="1">IFERROR(__xludf.DUMMYFUNCTION("""COMPUTED_VALUE"""),1.32587667211522)</f>
        <v>1.32587667211522</v>
      </c>
      <c r="N9" s="8">
        <f ca="1">IFERROR(__xludf.DUMMYFUNCTION("""COMPUTED_VALUE"""),1.02831593539001)</f>
        <v>1.02831593539001</v>
      </c>
      <c r="O9" s="8">
        <f ca="1">IFERROR(__xludf.DUMMYFUNCTION("""COMPUTED_VALUE"""),1.47253069551391)</f>
        <v>1.4725306955139099</v>
      </c>
      <c r="P9" s="8">
        <f ca="1">IFERROR(__xludf.DUMMYFUNCTION("""COMPUTED_VALUE"""),0.915563785848593)</f>
        <v>0.91556378584859299</v>
      </c>
      <c r="Q9" s="8">
        <f ca="1">IFERROR(__xludf.DUMMYFUNCTION("""COMPUTED_VALUE"""),0.533842570165941)</f>
        <v>0.53384257016594105</v>
      </c>
      <c r="R9" s="8">
        <f ca="1">IFERROR(__xludf.DUMMYFUNCTION("""COMPUTED_VALUE"""),1.18899735437587)</f>
        <v>1.1889973543758701</v>
      </c>
      <c r="S9" s="8">
        <f ca="1">IFERROR(__xludf.DUMMYFUNCTION("""COMPUTED_VALUE"""),0.807540066675644)</f>
        <v>0.80754006667564404</v>
      </c>
      <c r="T9" s="8">
        <f ca="1">IFERROR(__xludf.DUMMYFUNCTION("""COMPUTED_VALUE"""),1.25629211793534)</f>
        <v>1.2562921179353399</v>
      </c>
      <c r="U9" s="8">
        <f ca="1">IFERROR(__xludf.DUMMYFUNCTION("""COMPUTED_VALUE"""),0.969327950132164)</f>
        <v>0.969327950132164</v>
      </c>
      <c r="V9" s="8">
        <f ca="1">IFERROR(__xludf.DUMMYFUNCTION("""COMPUTED_VALUE"""),1.29237777598814)</f>
        <v>1.2923777759881401</v>
      </c>
      <c r="W9" s="8">
        <f ca="1">IFERROR(__xludf.DUMMYFUNCTION("""COMPUTED_VALUE"""),1.43140889708202)</f>
        <v>1.43140889708202</v>
      </c>
      <c r="X9" s="8">
        <f ca="1">IFERROR(__xludf.DUMMYFUNCTION("""COMPUTED_VALUE"""),1.03386761501009)</f>
        <v>1.0338676150100901</v>
      </c>
      <c r="Y9" s="8">
        <f ca="1">IFERROR(__xludf.DUMMYFUNCTION("""COMPUTED_VALUE"""),1.7118750302161)</f>
        <v>1.7118750302161001</v>
      </c>
      <c r="Z9" s="8">
        <f ca="1">IFERROR(__xludf.DUMMYFUNCTION("""COMPUTED_VALUE"""),0.977686010595379)</f>
        <v>0.97768601059537896</v>
      </c>
      <c r="AA9" s="8">
        <f ca="1">IFERROR(__xludf.DUMMYFUNCTION("""COMPUTED_VALUE"""),1.3130566178995)</f>
        <v>1.3130566178995</v>
      </c>
      <c r="AB9" s="8">
        <f ca="1">IFERROR(__xludf.DUMMYFUNCTION("""COMPUTED_VALUE"""),1.03835591832972)</f>
        <v>1.03835591832972</v>
      </c>
      <c r="AC9" s="8">
        <f ca="1">IFERROR(__xludf.DUMMYFUNCTION("""COMPUTED_VALUE"""),1.15320753035783)</f>
        <v>1.15320753035783</v>
      </c>
      <c r="AD9" s="8">
        <f ca="1">IFERROR(__xludf.DUMMYFUNCTION("""COMPUTED_VALUE"""),1.41290562991888)</f>
        <v>1.41290562991888</v>
      </c>
      <c r="AE9" s="8">
        <f ca="1">IFERROR(__xludf.DUMMYFUNCTION("""COMPUTED_VALUE"""),0.717020742304482)</f>
        <v>0.71702074230448198</v>
      </c>
      <c r="AF9" s="8">
        <f ca="1">IFERROR(__xludf.DUMMYFUNCTION("""COMPUTED_VALUE"""),0.68166357784489)</f>
        <v>0.68166357784488996</v>
      </c>
      <c r="AG9" s="8">
        <f ca="1">IFERROR(__xludf.DUMMYFUNCTION("""COMPUTED_VALUE"""),0.983861005509709)</f>
        <v>0.98386100550970901</v>
      </c>
      <c r="AH9" s="8">
        <f ca="1">IFERROR(__xludf.DUMMYFUNCTION("""COMPUTED_VALUE"""),1.03114791113813)</f>
        <v>1.0311479111381301</v>
      </c>
      <c r="AI9" s="8">
        <f ca="1">IFERROR(__xludf.DUMMYFUNCTION("""COMPUTED_VALUE"""),0.931159334619686)</f>
        <v>0.93115933461968603</v>
      </c>
      <c r="AJ9" s="8">
        <f ca="1">IFERROR(__xludf.DUMMYFUNCTION("""COMPUTED_VALUE"""),1.70864804579855)</f>
        <v>1.70864804579855</v>
      </c>
    </row>
    <row r="10" spans="1:36" ht="15.75" customHeight="1" x14ac:dyDescent="0.3">
      <c r="A10" s="6" t="str">
        <f ca="1">IFERROR(__xludf.DUMMYFUNCTION("""COMPUTED_VALUE"""),"Fulham")</f>
        <v>Fulham</v>
      </c>
      <c r="B10" s="8">
        <f ca="1">IFERROR(__xludf.DUMMYFUNCTION("""COMPUTED_VALUE"""),1.20730642509724)</f>
        <v>1.2073064250972401</v>
      </c>
      <c r="C10" s="8">
        <f ca="1">IFERROR(__xludf.DUMMYFUNCTION("""COMPUTED_VALUE"""),2.00984702445515)</f>
        <v>2.0098470244551501</v>
      </c>
      <c r="D10" s="8">
        <f ca="1">IFERROR(__xludf.DUMMYFUNCTION("""COMPUTED_VALUE"""),1.57103793987375)</f>
        <v>1.57103793987375</v>
      </c>
      <c r="E10" s="8">
        <f ca="1">IFERROR(__xludf.DUMMYFUNCTION("""COMPUTED_VALUE"""),1.65883848178446)</f>
        <v>1.6588384817844599</v>
      </c>
      <c r="F10" s="8">
        <f ca="1">IFERROR(__xludf.DUMMYFUNCTION("""COMPUTED_VALUE"""),1.48834493059414)</f>
        <v>1.4883449305941401</v>
      </c>
      <c r="G10" s="8">
        <f ca="1">IFERROR(__xludf.DUMMYFUNCTION("""COMPUTED_VALUE"""),1.15511359152865)</f>
        <v>1.1551135915286499</v>
      </c>
      <c r="H10" s="8">
        <f ca="1">IFERROR(__xludf.DUMMYFUNCTION("""COMPUTED_VALUE"""),0.948101918357598)</f>
        <v>0.94810191835759805</v>
      </c>
      <c r="I10" s="8">
        <f ca="1">IFERROR(__xludf.DUMMYFUNCTION("""COMPUTED_VALUE"""),1.51733133651341)</f>
        <v>1.51733133651341</v>
      </c>
      <c r="J10" s="8">
        <f ca="1">IFERROR(__xludf.DUMMYFUNCTION("""COMPUTED_VALUE"""),1.06712043339557)</f>
        <v>1.0671204333955699</v>
      </c>
      <c r="K10" s="8">
        <f ca="1">IFERROR(__xludf.DUMMYFUNCTION("""COMPUTED_VALUE"""),1.55666110972416)</f>
        <v>1.5566611097241601</v>
      </c>
      <c r="L10" s="8">
        <f ca="1">IFERROR(__xludf.DUMMYFUNCTION("""COMPUTED_VALUE"""),1.14786376608255)</f>
        <v>1.1478637660825499</v>
      </c>
      <c r="M10" s="8">
        <f ca="1">IFERROR(__xludf.DUMMYFUNCTION("""COMPUTED_VALUE"""),1.72884199171005)</f>
        <v>1.7288419917100499</v>
      </c>
      <c r="N10" s="8">
        <f ca="1">IFERROR(__xludf.DUMMYFUNCTION("""COMPUTED_VALUE"""),1.31612691701976)</f>
        <v>1.31612691701976</v>
      </c>
      <c r="O10" s="8">
        <f ca="1">IFERROR(__xludf.DUMMYFUNCTION("""COMPUTED_VALUE"""),1.54993242729169)</f>
        <v>1.5499324272916899</v>
      </c>
      <c r="P10" s="8">
        <f ca="1">IFERROR(__xludf.DUMMYFUNCTION("""COMPUTED_VALUE"""),0.800315145339817)</f>
        <v>0.80031514533981696</v>
      </c>
      <c r="Q10" s="8">
        <f ca="1">IFERROR(__xludf.DUMMYFUNCTION("""COMPUTED_VALUE"""),0.841826640354329)</f>
        <v>0.84182664035432897</v>
      </c>
      <c r="R10" s="8">
        <f ca="1">IFERROR(__xludf.DUMMYFUNCTION("""COMPUTED_VALUE"""),2.13241790816746)</f>
        <v>2.1324179081674601</v>
      </c>
      <c r="S10" s="8">
        <f ca="1">IFERROR(__xludf.DUMMYFUNCTION("""COMPUTED_VALUE"""),1.09323857463051)</f>
        <v>1.09323857463051</v>
      </c>
      <c r="T10" s="8">
        <f ca="1">IFERROR(__xludf.DUMMYFUNCTION("""COMPUTED_VALUE"""),1.45317717740424)</f>
        <v>1.4531771774042399</v>
      </c>
      <c r="U10" s="8">
        <f ca="1">IFERROR(__xludf.DUMMYFUNCTION("""COMPUTED_VALUE"""),2.00605834542479)</f>
        <v>2.00605834542479</v>
      </c>
      <c r="V10" s="8">
        <f ca="1">IFERROR(__xludf.DUMMYFUNCTION("""COMPUTED_VALUE"""),1.29911385526232)</f>
        <v>1.29911385526232</v>
      </c>
      <c r="W10" s="8">
        <f ca="1">IFERROR(__xludf.DUMMYFUNCTION("""COMPUTED_VALUE"""),1.57400503129074)</f>
        <v>1.5740050312907401</v>
      </c>
      <c r="X10" s="8">
        <f ca="1">IFERROR(__xludf.DUMMYFUNCTION("""COMPUTED_VALUE"""),1.54160957420666)</f>
        <v>1.54160957420666</v>
      </c>
      <c r="Y10" s="8">
        <f ca="1">IFERROR(__xludf.DUMMYFUNCTION("""COMPUTED_VALUE"""),1.165592396111)</f>
        <v>1.165592396111</v>
      </c>
      <c r="Z10" s="8">
        <f ca="1">IFERROR(__xludf.DUMMYFUNCTION("""COMPUTED_VALUE"""),1.47496454502293)</f>
        <v>1.4749645450229301</v>
      </c>
      <c r="AA10" s="8">
        <f ca="1">IFERROR(__xludf.DUMMYFUNCTION("""COMPUTED_VALUE"""),1.46570724291082)</f>
        <v>1.46570724291082</v>
      </c>
      <c r="AB10" s="8">
        <f ca="1">IFERROR(__xludf.DUMMYFUNCTION("""COMPUTED_VALUE"""),1.35393687188507)</f>
        <v>1.3539368718850699</v>
      </c>
      <c r="AC10" s="8">
        <f ca="1">IFERROR(__xludf.DUMMYFUNCTION("""COMPUTED_VALUE"""),1.21382443988698)</f>
        <v>1.21382443988698</v>
      </c>
      <c r="AD10" s="8">
        <f ca="1">IFERROR(__xludf.DUMMYFUNCTION("""COMPUTED_VALUE"""),1.68056246034253)</f>
        <v>1.68056246034253</v>
      </c>
      <c r="AE10" s="8">
        <f ca="1">IFERROR(__xludf.DUMMYFUNCTION("""COMPUTED_VALUE"""),0.626764151726695)</f>
        <v>0.62676415172669497</v>
      </c>
      <c r="AF10" s="8">
        <f ca="1">IFERROR(__xludf.DUMMYFUNCTION("""COMPUTED_VALUE"""),1.07492843706844)</f>
        <v>1.07492843706844</v>
      </c>
      <c r="AG10" s="8">
        <f ca="1">IFERROR(__xludf.DUMMYFUNCTION("""COMPUTED_VALUE"""),1.13805088683863)</f>
        <v>1.1380508868386301</v>
      </c>
      <c r="AH10" s="8">
        <f ca="1">IFERROR(__xludf.DUMMYFUNCTION("""COMPUTED_VALUE"""),1.3959563359457)</f>
        <v>1.3959563359456999</v>
      </c>
      <c r="AI10" s="8">
        <f ca="1">IFERROR(__xludf.DUMMYFUNCTION("""COMPUTED_VALUE"""),1.66999601234823)</f>
        <v>1.66999601234823</v>
      </c>
      <c r="AJ10" s="8">
        <f ca="1">IFERROR(__xludf.DUMMYFUNCTION("""COMPUTED_VALUE"""),1.1882930037696)</f>
        <v>1.1882930037696</v>
      </c>
    </row>
    <row r="11" spans="1:36" ht="15.75" customHeight="1" x14ac:dyDescent="0.3">
      <c r="A11" s="6" t="str">
        <f ca="1">IFERROR(__xludf.DUMMYFUNCTION("""COMPUTED_VALUE"""),"Ipswich")</f>
        <v>Ipswich</v>
      </c>
      <c r="B11" s="8">
        <f ca="1">IFERROR(__xludf.DUMMYFUNCTION("""COMPUTED_VALUE"""),0.825428617535951)</f>
        <v>0.82542861753595098</v>
      </c>
      <c r="C11" s="8">
        <f ca="1">IFERROR(__xludf.DUMMYFUNCTION("""COMPUTED_VALUE"""),0.728039587349075)</f>
        <v>0.72803958734907503</v>
      </c>
      <c r="D11" s="8">
        <f ca="1">IFERROR(__xludf.DUMMYFUNCTION("""COMPUTED_VALUE"""),1.09769432063169)</f>
        <v>1.09769432063169</v>
      </c>
      <c r="E11" s="8">
        <f ca="1">IFERROR(__xludf.DUMMYFUNCTION("""COMPUTED_VALUE"""),0.932085704309516)</f>
        <v>0.93208570430951598</v>
      </c>
      <c r="F11" s="8">
        <f ca="1">IFERROR(__xludf.DUMMYFUNCTION("""COMPUTED_VALUE"""),1.28237606544535)</f>
        <v>1.28237606544535</v>
      </c>
      <c r="G11" s="8">
        <f ca="1">IFERROR(__xludf.DUMMYFUNCTION("""COMPUTED_VALUE"""),1.16514612903714)</f>
        <v>1.1651461290371401</v>
      </c>
      <c r="H11" s="8">
        <f ca="1">IFERROR(__xludf.DUMMYFUNCTION("""COMPUTED_VALUE"""),0.997578737888298)</f>
        <v>0.99757873788829798</v>
      </c>
      <c r="I11" s="8">
        <f ca="1">IFERROR(__xludf.DUMMYFUNCTION("""COMPUTED_VALUE"""),1.04633389092002)</f>
        <v>1.0463338909200199</v>
      </c>
      <c r="J11" s="8">
        <f ca="1">IFERROR(__xludf.DUMMYFUNCTION("""COMPUTED_VALUE"""),0.936132144395361)</f>
        <v>0.93613214439536097</v>
      </c>
      <c r="K11" s="8">
        <f ca="1">IFERROR(__xludf.DUMMYFUNCTION("""COMPUTED_VALUE"""),1.54334483454467)</f>
        <v>1.5433448345446701</v>
      </c>
      <c r="L11" s="8">
        <f ca="1">IFERROR(__xludf.DUMMYFUNCTION("""COMPUTED_VALUE"""),1.01064292668657)</f>
        <v>1.01064292668657</v>
      </c>
      <c r="M11" s="8">
        <f ca="1">IFERROR(__xludf.DUMMYFUNCTION("""COMPUTED_VALUE"""),1.18378918608567)</f>
        <v>1.18378918608567</v>
      </c>
      <c r="N11" s="8">
        <f ca="1">IFERROR(__xludf.DUMMYFUNCTION("""COMPUTED_VALUE"""),0.887002131558432)</f>
        <v>0.88700213155843199</v>
      </c>
      <c r="O11" s="8">
        <f ca="1">IFERROR(__xludf.DUMMYFUNCTION("""COMPUTED_VALUE"""),1.12550441639425)</f>
        <v>1.12550441639425</v>
      </c>
      <c r="P11" s="8">
        <f ca="1">IFERROR(__xludf.DUMMYFUNCTION("""COMPUTED_VALUE"""),1.11588268317736)</f>
        <v>1.1158826831773601</v>
      </c>
      <c r="Q11" s="8">
        <f ca="1">IFERROR(__xludf.DUMMYFUNCTION("""COMPUTED_VALUE"""),1.03967687694533)</f>
        <v>1.03967687694533</v>
      </c>
      <c r="R11" s="8">
        <f ca="1">IFERROR(__xludf.DUMMYFUNCTION("""COMPUTED_VALUE"""),1.14288770871799)</f>
        <v>1.1428877087179901</v>
      </c>
      <c r="S11" s="8">
        <f ca="1">IFERROR(__xludf.DUMMYFUNCTION("""COMPUTED_VALUE"""),0.481286985663696)</f>
        <v>0.48128698566369599</v>
      </c>
      <c r="T11" s="8">
        <f ca="1">IFERROR(__xludf.DUMMYFUNCTION("""COMPUTED_VALUE"""),1.07194327434733)</f>
        <v>1.0719432743473301</v>
      </c>
      <c r="U11" s="8">
        <f ca="1">IFERROR(__xludf.DUMMYFUNCTION("""COMPUTED_VALUE"""),0.859655666560964)</f>
        <v>0.85965566656096404</v>
      </c>
      <c r="V11" s="8">
        <f ca="1">IFERROR(__xludf.DUMMYFUNCTION("""COMPUTED_VALUE"""),1.19018023583282)</f>
        <v>1.19018023583282</v>
      </c>
      <c r="W11" s="8">
        <f ca="1">IFERROR(__xludf.DUMMYFUNCTION("""COMPUTED_VALUE"""),0.929633749086033)</f>
        <v>0.92963374908603302</v>
      </c>
      <c r="X11" s="8">
        <f ca="1">IFERROR(__xludf.DUMMYFUNCTION("""COMPUTED_VALUE"""),0.646431684185097)</f>
        <v>0.646431684185097</v>
      </c>
      <c r="Y11" s="8">
        <f ca="1">IFERROR(__xludf.DUMMYFUNCTION("""COMPUTED_VALUE"""),1.63746599796717)</f>
        <v>1.63746599796717</v>
      </c>
      <c r="Z11" s="8">
        <f ca="1">IFERROR(__xludf.DUMMYFUNCTION("""COMPUTED_VALUE"""),0.912480326601254)</f>
        <v>0.912480326601254</v>
      </c>
      <c r="AA11" s="8">
        <f ca="1">IFERROR(__xludf.DUMMYFUNCTION("""COMPUTED_VALUE"""),1.29048995308608)</f>
        <v>1.2904899530860801</v>
      </c>
      <c r="AB11" s="8">
        <f ca="1">IFERROR(__xludf.DUMMYFUNCTION("""COMPUTED_VALUE"""),0.927080574896758)</f>
        <v>0.92708057489675799</v>
      </c>
      <c r="AC11" s="8">
        <f ca="1">IFERROR(__xludf.DUMMYFUNCTION("""COMPUTED_VALUE"""),0.881435050821722)</f>
        <v>0.88143505082172202</v>
      </c>
      <c r="AD11" s="8">
        <f ca="1">IFERROR(__xludf.DUMMYFUNCTION("""COMPUTED_VALUE"""),1.13261302178696)</f>
        <v>1.1326130217869601</v>
      </c>
      <c r="AE11" s="8">
        <f ca="1">IFERROR(__xludf.DUMMYFUNCTION("""COMPUTED_VALUE"""),0.873899822364603)</f>
        <v>0.87389982236460295</v>
      </c>
      <c r="AF11" s="8">
        <f ca="1">IFERROR(__xludf.DUMMYFUNCTION("""COMPUTED_VALUE"""),1.32756340417149)</f>
        <v>1.3275634041714901</v>
      </c>
      <c r="AG11" s="8">
        <f ca="1">IFERROR(__xludf.DUMMYFUNCTION("""COMPUTED_VALUE"""),0.839488820069963)</f>
        <v>0.83948882006996295</v>
      </c>
      <c r="AH11" s="8">
        <f ca="1">IFERROR(__xludf.DUMMYFUNCTION("""COMPUTED_VALUE"""),0.614555351993974)</f>
        <v>0.61455535199397404</v>
      </c>
      <c r="AI11" s="8">
        <f ca="1">IFERROR(__xludf.DUMMYFUNCTION("""COMPUTED_VALUE"""),0.895048718551171)</f>
        <v>0.89504871855117096</v>
      </c>
      <c r="AJ11" s="8">
        <f ca="1">IFERROR(__xludf.DUMMYFUNCTION("""COMPUTED_VALUE"""),0.819432916375613)</f>
        <v>0.819432916375613</v>
      </c>
    </row>
    <row r="12" spans="1:36" ht="15.75" customHeight="1" x14ac:dyDescent="0.3">
      <c r="A12" s="6" t="str">
        <f ca="1">IFERROR(__xludf.DUMMYFUNCTION("""COMPUTED_VALUE"""),"Leicester")</f>
        <v>Leicester</v>
      </c>
      <c r="B12" s="8">
        <f ca="1">IFERROR(__xludf.DUMMYFUNCTION("""COMPUTED_VALUE"""),1.16415068756738)</f>
        <v>1.1641506875673799</v>
      </c>
      <c r="C12" s="8">
        <f ca="1">IFERROR(__xludf.DUMMYFUNCTION("""COMPUTED_VALUE"""),0.775495177552447)</f>
        <v>0.77549517755244701</v>
      </c>
      <c r="D12" s="8">
        <f ca="1">IFERROR(__xludf.DUMMYFUNCTION("""COMPUTED_VALUE"""),1.05107805294519)</f>
        <v>1.05107805294519</v>
      </c>
      <c r="E12" s="8">
        <f ca="1">IFERROR(__xludf.DUMMYFUNCTION("""COMPUTED_VALUE"""),0.79514235504602)</f>
        <v>0.79514235504602004</v>
      </c>
      <c r="F12" s="8">
        <f ca="1">IFERROR(__xludf.DUMMYFUNCTION("""COMPUTED_VALUE"""),0.943897560478211)</f>
        <v>0.94389756047821105</v>
      </c>
      <c r="G12" s="8">
        <f ca="1">IFERROR(__xludf.DUMMYFUNCTION("""COMPUTED_VALUE"""),0.434168878213846)</f>
        <v>0.43416887821384598</v>
      </c>
      <c r="H12" s="8">
        <f ca="1">IFERROR(__xludf.DUMMYFUNCTION("""COMPUTED_VALUE"""),1.00663750985344)</f>
        <v>1.0066375098534399</v>
      </c>
      <c r="I12" s="8">
        <f ca="1">IFERROR(__xludf.DUMMYFUNCTION("""COMPUTED_VALUE"""),1.15683115140732)</f>
        <v>1.15683115140732</v>
      </c>
      <c r="J12" s="8">
        <f ca="1">IFERROR(__xludf.DUMMYFUNCTION("""COMPUTED_VALUE"""),1.02172994443538)</f>
        <v>1.02172994443538</v>
      </c>
      <c r="K12" s="8">
        <f ca="1">IFERROR(__xludf.DUMMYFUNCTION("""COMPUTED_VALUE"""),1.08828141830902)</f>
        <v>1.0882814183090199</v>
      </c>
      <c r="L12" s="8">
        <f ca="1">IFERROR(__xludf.DUMMYFUNCTION("""COMPUTED_VALUE"""),0.836319171734327)</f>
        <v>0.83631917173432702</v>
      </c>
      <c r="M12" s="8">
        <f ca="1">IFERROR(__xludf.DUMMYFUNCTION("""COMPUTED_VALUE"""),0.966999779332213)</f>
        <v>0.96699977933221304</v>
      </c>
      <c r="N12" s="8">
        <f ca="1">IFERROR(__xludf.DUMMYFUNCTION("""COMPUTED_VALUE"""),0.844484590481031)</f>
        <v>0.84448459048103097</v>
      </c>
      <c r="O12" s="8">
        <f ca="1">IFERROR(__xludf.DUMMYFUNCTION("""COMPUTED_VALUE"""),1.14910216353339)</f>
        <v>1.14910216353339</v>
      </c>
      <c r="P12" s="8">
        <f ca="1">IFERROR(__xludf.DUMMYFUNCTION("""COMPUTED_VALUE"""),1.07366131488314)</f>
        <v>1.07366131488314</v>
      </c>
      <c r="Q12" s="8">
        <f ca="1">IFERROR(__xludf.DUMMYFUNCTION("""COMPUTED_VALUE"""),0.807423241549362)</f>
        <v>0.80742324154936196</v>
      </c>
      <c r="R12" s="8">
        <f ca="1">IFERROR(__xludf.DUMMYFUNCTION("""COMPUTED_VALUE"""),1.19759463919859)</f>
        <v>1.1975946391985901</v>
      </c>
      <c r="S12" s="8">
        <f ca="1">IFERROR(__xludf.DUMMYFUNCTION("""COMPUTED_VALUE"""),0.583145872472532)</f>
        <v>0.58314587247253202</v>
      </c>
      <c r="T12" s="8">
        <f ca="1">IFERROR(__xludf.DUMMYFUNCTION("""COMPUTED_VALUE"""),0.838622389578694)</f>
        <v>0.83862238957869395</v>
      </c>
      <c r="U12" s="8">
        <f ca="1">IFERROR(__xludf.DUMMYFUNCTION("""COMPUTED_VALUE"""),0.823148291131019)</f>
        <v>0.82314829113101895</v>
      </c>
      <c r="V12" s="8">
        <f ca="1">IFERROR(__xludf.DUMMYFUNCTION("""COMPUTED_VALUE"""),1.01531727315826)</f>
        <v>1.01531727315826</v>
      </c>
      <c r="W12" s="8">
        <f ca="1">IFERROR(__xludf.DUMMYFUNCTION("""COMPUTED_VALUE"""),0.99022979221672)</f>
        <v>0.99022979221672003</v>
      </c>
      <c r="X12" s="8">
        <f ca="1">IFERROR(__xludf.DUMMYFUNCTION("""COMPUTED_VALUE"""),0.911700749915722)</f>
        <v>0.91170074991572203</v>
      </c>
      <c r="Y12" s="8">
        <f ca="1">IFERROR(__xludf.DUMMYFUNCTION("""COMPUTED_VALUE"""),0.739210243933128)</f>
        <v>0.73921024393312795</v>
      </c>
      <c r="Z12" s="8">
        <f ca="1">IFERROR(__xludf.DUMMYFUNCTION("""COMPUTED_VALUE"""),0.554390240591261)</f>
        <v>0.55439024059126096</v>
      </c>
      <c r="AA12" s="8">
        <f ca="1">IFERROR(__xludf.DUMMYFUNCTION("""COMPUTED_VALUE"""),1.07832237358522)</f>
        <v>1.0783223735852201</v>
      </c>
      <c r="AB12" s="8">
        <f ca="1">IFERROR(__xludf.DUMMYFUNCTION("""COMPUTED_VALUE"""),0.899915548228832)</f>
        <v>0.89991554822883202</v>
      </c>
      <c r="AC12" s="8">
        <f ca="1">IFERROR(__xludf.DUMMYFUNCTION("""COMPUTED_VALUE"""),0.757302670007215)</f>
        <v>0.75730267000721496</v>
      </c>
      <c r="AD12" s="8">
        <f ca="1">IFERROR(__xludf.DUMMYFUNCTION("""COMPUTED_VALUE"""),1.06789595038756)</f>
        <v>1.06789595038756</v>
      </c>
      <c r="AE12" s="8">
        <f ca="1">IFERROR(__xludf.DUMMYFUNCTION("""COMPUTED_VALUE"""),0.656764343001562)</f>
        <v>0.65676434300156195</v>
      </c>
      <c r="AF12" s="8">
        <f ca="1">IFERROR(__xludf.DUMMYFUNCTION("""COMPUTED_VALUE"""),1.03099873713438)</f>
        <v>1.0309987371343801</v>
      </c>
      <c r="AG12" s="8">
        <f ca="1">IFERROR(__xludf.DUMMYFUNCTION("""COMPUTED_VALUE"""),0.84083429781748)</f>
        <v>0.84083429781747998</v>
      </c>
      <c r="AH12" s="8">
        <f ca="1">IFERROR(__xludf.DUMMYFUNCTION("""COMPUTED_VALUE"""),0.744618964560176)</f>
        <v>0.74461896456017596</v>
      </c>
      <c r="AI12" s="8">
        <f ca="1">IFERROR(__xludf.DUMMYFUNCTION("""COMPUTED_VALUE"""),0.937892269714619)</f>
        <v>0.93789226971461903</v>
      </c>
      <c r="AJ12" s="8">
        <f ca="1">IFERROR(__xludf.DUMMYFUNCTION("""COMPUTED_VALUE"""),1.47715769723201)</f>
        <v>1.47715769723201</v>
      </c>
    </row>
    <row r="13" spans="1:36" ht="15.75" customHeight="1" x14ac:dyDescent="0.3">
      <c r="A13" s="6" t="str">
        <f ca="1">IFERROR(__xludf.DUMMYFUNCTION("""COMPUTED_VALUE"""),"Liverpool")</f>
        <v>Liverpool</v>
      </c>
      <c r="B13" s="8">
        <f ca="1">IFERROR(__xludf.DUMMYFUNCTION("""COMPUTED_VALUE"""),2.5110730217839)</f>
        <v>2.5110730217839001</v>
      </c>
      <c r="C13" s="8">
        <f ca="1">IFERROR(__xludf.DUMMYFUNCTION("""COMPUTED_VALUE"""),2.48809377385415)</f>
        <v>2.4880937738541502</v>
      </c>
      <c r="D13" s="8">
        <f ca="1">IFERROR(__xludf.DUMMYFUNCTION("""COMPUTED_VALUE"""),1.92970170620555)</f>
        <v>1.9297017062055499</v>
      </c>
      <c r="E13" s="8">
        <f ca="1">IFERROR(__xludf.DUMMYFUNCTION("""COMPUTED_VALUE"""),2.35751383406596)</f>
        <v>2.3575138340659598</v>
      </c>
      <c r="F13" s="8">
        <f ca="1">IFERROR(__xludf.DUMMYFUNCTION("""COMPUTED_VALUE"""),2.32268993220183)</f>
        <v>2.32268993220183</v>
      </c>
      <c r="G13" s="8">
        <f ca="1">IFERROR(__xludf.DUMMYFUNCTION("""COMPUTED_VALUE"""),2.16406890368434)</f>
        <v>2.1640689036843401</v>
      </c>
      <c r="H13" s="8">
        <f ca="1">IFERROR(__xludf.DUMMYFUNCTION("""COMPUTED_VALUE"""),1.83469136074766)</f>
        <v>1.83469136074766</v>
      </c>
      <c r="I13" s="8">
        <f ca="1">IFERROR(__xludf.DUMMYFUNCTION("""COMPUTED_VALUE"""),2.2312308352421)</f>
        <v>2.2312308352421</v>
      </c>
      <c r="J13" s="8">
        <f ca="1">IFERROR(__xludf.DUMMYFUNCTION("""COMPUTED_VALUE"""),1.00179028938578)</f>
        <v>1.00179028938578</v>
      </c>
      <c r="K13" s="8">
        <f ca="1">IFERROR(__xludf.DUMMYFUNCTION("""COMPUTED_VALUE"""),2.47733896488392)</f>
        <v>2.4773389648839199</v>
      </c>
      <c r="L13" s="8">
        <f ca="1">IFERROR(__xludf.DUMMYFUNCTION("""COMPUTED_VALUE"""),2.42523091742285)</f>
        <v>2.4252309174228501</v>
      </c>
      <c r="M13" s="8">
        <f ca="1">IFERROR(__xludf.DUMMYFUNCTION("""COMPUTED_VALUE"""),2.66924294230051)</f>
        <v>2.6692429423005102</v>
      </c>
      <c r="N13" s="8">
        <f ca="1">IFERROR(__xludf.DUMMYFUNCTION("""COMPUTED_VALUE"""),1.93501609281087)</f>
        <v>1.9350160928108699</v>
      </c>
      <c r="O13" s="8">
        <f ca="1">IFERROR(__xludf.DUMMYFUNCTION("""COMPUTED_VALUE"""),1.86302796767976)</f>
        <v>1.8630279676797601</v>
      </c>
      <c r="P13" s="8">
        <f ca="1">IFERROR(__xludf.DUMMYFUNCTION("""COMPUTED_VALUE"""),1.70563502209838)</f>
        <v>1.70563502209838</v>
      </c>
      <c r="Q13" s="8">
        <f ca="1">IFERROR(__xludf.DUMMYFUNCTION("""COMPUTED_VALUE"""),2.28483117948083)</f>
        <v>2.2848311794808298</v>
      </c>
      <c r="R13" s="8">
        <f ca="1">IFERROR(__xludf.DUMMYFUNCTION("""COMPUTED_VALUE"""),2.10363525328836)</f>
        <v>2.1036352532883602</v>
      </c>
      <c r="S13" s="8">
        <f ca="1">IFERROR(__xludf.DUMMYFUNCTION("""COMPUTED_VALUE"""),3.21244478756989)</f>
        <v>3.2124447875698898</v>
      </c>
      <c r="T13" s="8">
        <f ca="1">IFERROR(__xludf.DUMMYFUNCTION("""COMPUTED_VALUE"""),2.07644237696579)</f>
        <v>2.0764423769657898</v>
      </c>
      <c r="U13" s="8">
        <f ca="1">IFERROR(__xludf.DUMMYFUNCTION("""COMPUTED_VALUE"""),2.46403610865387)</f>
        <v>2.46403610865387</v>
      </c>
      <c r="V13" s="8">
        <f ca="1">IFERROR(__xludf.DUMMYFUNCTION("""COMPUTED_VALUE"""),1.84627914015659)</f>
        <v>1.8462791401565899</v>
      </c>
      <c r="W13" s="8">
        <f ca="1">IFERROR(__xludf.DUMMYFUNCTION("""COMPUTED_VALUE"""),1.94854238691687)</f>
        <v>1.9485423869168701</v>
      </c>
      <c r="X13" s="8">
        <f ca="1">IFERROR(__xludf.DUMMYFUNCTION("""COMPUTED_VALUE"""),3.20638914151586)</f>
        <v>3.2063891415158601</v>
      </c>
      <c r="Y13" s="8">
        <f ca="1">IFERROR(__xludf.DUMMYFUNCTION("""COMPUTED_VALUE"""),1.81900691690957)</f>
        <v>1.8190069169095699</v>
      </c>
      <c r="Z13" s="8">
        <f ca="1">IFERROR(__xludf.DUMMYFUNCTION("""COMPUTED_VALUE"""),2.76329958311453)</f>
        <v>2.7632995831145299</v>
      </c>
      <c r="AA13" s="8">
        <f ca="1">IFERROR(__xludf.DUMMYFUNCTION("""COMPUTED_VALUE"""),1.51540143535976)</f>
        <v>1.51540143535976</v>
      </c>
      <c r="AB13" s="8">
        <f ca="1">IFERROR(__xludf.DUMMYFUNCTION("""COMPUTED_VALUE"""),2.37890041193028)</f>
        <v>2.3789004119302799</v>
      </c>
      <c r="AC13" s="8">
        <f ca="1">IFERROR(__xludf.DUMMYFUNCTION("""COMPUTED_VALUE"""),3.40835631302352)</f>
        <v>3.4083563130235199</v>
      </c>
      <c r="AD13" s="8">
        <f ca="1">IFERROR(__xludf.DUMMYFUNCTION("""COMPUTED_VALUE"""),1.89931154939529)</f>
        <v>1.8993115493952899</v>
      </c>
      <c r="AE13" s="8">
        <f ca="1">IFERROR(__xludf.DUMMYFUNCTION("""COMPUTED_VALUE"""),2.17792535971742)</f>
        <v>2.17792535971742</v>
      </c>
      <c r="AF13" s="8">
        <f ca="1">IFERROR(__xludf.DUMMYFUNCTION("""COMPUTED_VALUE"""),1.78935796027945)</f>
        <v>1.78935796027945</v>
      </c>
      <c r="AG13" s="8">
        <f ca="1">IFERROR(__xludf.DUMMYFUNCTION("""COMPUTED_VALUE"""),2.65140927114761)</f>
        <v>2.6514092711476098</v>
      </c>
      <c r="AH13" s="8">
        <f ca="1">IFERROR(__xludf.DUMMYFUNCTION("""COMPUTED_VALUE"""),2.5158154809068)</f>
        <v>2.5158154809068001</v>
      </c>
      <c r="AI13" s="8">
        <f ca="1">IFERROR(__xludf.DUMMYFUNCTION("""COMPUTED_VALUE"""),2.6861318549239)</f>
        <v>2.6861318549239002</v>
      </c>
      <c r="AJ13" s="8">
        <f ca="1">IFERROR(__xludf.DUMMYFUNCTION("""COMPUTED_VALUE"""),1.74738102846119)</f>
        <v>1.7473810284611899</v>
      </c>
    </row>
    <row r="14" spans="1:36" ht="15.75" customHeight="1" x14ac:dyDescent="0.3">
      <c r="A14" s="6" t="str">
        <f ca="1">IFERROR(__xludf.DUMMYFUNCTION("""COMPUTED_VALUE"""),"Man City")</f>
        <v>Man City</v>
      </c>
      <c r="B14" s="8">
        <f ca="1">IFERROR(__xludf.DUMMYFUNCTION("""COMPUTED_VALUE"""),1.6588124838887)</f>
        <v>1.6588124838887</v>
      </c>
      <c r="C14" s="8">
        <f ca="1">IFERROR(__xludf.DUMMYFUNCTION("""COMPUTED_VALUE"""),3.04386865229709)</f>
        <v>3.0438686522970899</v>
      </c>
      <c r="D14" s="8">
        <f ca="1">IFERROR(__xludf.DUMMYFUNCTION("""COMPUTED_VALUE"""),1.97119488015711)</f>
        <v>1.97119488015711</v>
      </c>
      <c r="E14" s="8">
        <f ca="1">IFERROR(__xludf.DUMMYFUNCTION("""COMPUTED_VALUE"""),2.36198112828868)</f>
        <v>2.3619811282886798</v>
      </c>
      <c r="F14" s="8">
        <f ca="1">IFERROR(__xludf.DUMMYFUNCTION("""COMPUTED_VALUE"""),1.21434861972701)</f>
        <v>1.2143486197270099</v>
      </c>
      <c r="G14" s="8">
        <f ca="1">IFERROR(__xludf.DUMMYFUNCTION("""COMPUTED_VALUE"""),1.76859769007707)</f>
        <v>1.7685976900770699</v>
      </c>
      <c r="H14" s="8">
        <f ca="1">IFERROR(__xludf.DUMMYFUNCTION("""COMPUTED_VALUE"""),2.16902119364237)</f>
        <v>2.16902119364237</v>
      </c>
      <c r="I14" s="8">
        <f ca="1">IFERROR(__xludf.DUMMYFUNCTION("""COMPUTED_VALUE"""),2.05437992913784)</f>
        <v>2.05437992913784</v>
      </c>
      <c r="J14" s="8">
        <f ca="1">IFERROR(__xludf.DUMMYFUNCTION("""COMPUTED_VALUE"""),3.23559882446659)</f>
        <v>3.2355988244665901</v>
      </c>
      <c r="K14" s="8">
        <f ca="1">IFERROR(__xludf.DUMMYFUNCTION("""COMPUTED_VALUE"""),1.72680791018242)</f>
        <v>1.7268079101824201</v>
      </c>
      <c r="L14" s="8">
        <f ca="1">IFERROR(__xludf.DUMMYFUNCTION("""COMPUTED_VALUE"""),1.84178200518973)</f>
        <v>1.84178200518973</v>
      </c>
      <c r="M14" s="8">
        <f ca="1">IFERROR(__xludf.DUMMYFUNCTION("""COMPUTED_VALUE"""),2.54998136167405)</f>
        <v>2.5499813616740501</v>
      </c>
      <c r="N14" s="8">
        <f ca="1">IFERROR(__xludf.DUMMYFUNCTION("""COMPUTED_VALUE"""),1.27733559050622)</f>
        <v>1.27733559050622</v>
      </c>
      <c r="O14" s="8">
        <f ca="1">IFERROR(__xludf.DUMMYFUNCTION("""COMPUTED_VALUE"""),2.23801982234681)</f>
        <v>2.2380198223468102</v>
      </c>
      <c r="P14" s="8">
        <f ca="1">IFERROR(__xludf.DUMMYFUNCTION("""COMPUTED_VALUE"""),1.74169736521123)</f>
        <v>1.74169736521123</v>
      </c>
      <c r="Q14" s="8">
        <f ca="1">IFERROR(__xludf.DUMMYFUNCTION("""COMPUTED_VALUE"""),2.33914286078009)</f>
        <v>2.3391428607800901</v>
      </c>
      <c r="R14" s="8">
        <f ca="1">IFERROR(__xludf.DUMMYFUNCTION("""COMPUTED_VALUE"""),1.80304218577068)</f>
        <v>1.80304218577068</v>
      </c>
      <c r="S14" s="8">
        <f ca="1">IFERROR(__xludf.DUMMYFUNCTION("""COMPUTED_VALUE"""),2.06753405057773)</f>
        <v>2.0675340505777302</v>
      </c>
      <c r="T14" s="8">
        <f ca="1">IFERROR(__xludf.DUMMYFUNCTION("""COMPUTED_VALUE"""),2.38829772036828)</f>
        <v>2.3882977203682798</v>
      </c>
      <c r="U14" s="8">
        <f ca="1">IFERROR(__xludf.DUMMYFUNCTION("""COMPUTED_VALUE"""),2.51701874247261)</f>
        <v>2.5170187424726098</v>
      </c>
      <c r="V14" s="8">
        <f ca="1">IFERROR(__xludf.DUMMYFUNCTION("""COMPUTED_VALUE"""),1.84977768681077)</f>
        <v>1.84977768681077</v>
      </c>
      <c r="W14" s="8">
        <f ca="1">IFERROR(__xludf.DUMMYFUNCTION("""COMPUTED_VALUE"""),2.38379563967193)</f>
        <v>2.3837956396719302</v>
      </c>
      <c r="X14" s="8">
        <f ca="1">IFERROR(__xludf.DUMMYFUNCTION("""COMPUTED_VALUE"""),2.11813766067748)</f>
        <v>2.1181376606774802</v>
      </c>
      <c r="Y14" s="8">
        <f ca="1">IFERROR(__xludf.DUMMYFUNCTION("""COMPUTED_VALUE"""),0.951013093998758)</f>
        <v>0.951013093998758</v>
      </c>
      <c r="Z14" s="8">
        <f ca="1">IFERROR(__xludf.DUMMYFUNCTION("""COMPUTED_VALUE"""),2.25832239045942)</f>
        <v>2.2583223904594201</v>
      </c>
      <c r="AA14" s="8">
        <f ca="1">IFERROR(__xludf.DUMMYFUNCTION("""COMPUTED_VALUE"""),1.63102981551739)</f>
        <v>1.6310298155173899</v>
      </c>
      <c r="AB14" s="8">
        <f ca="1">IFERROR(__xludf.DUMMYFUNCTION("""COMPUTED_VALUE"""),1.99700944606003)</f>
        <v>1.9970094460600301</v>
      </c>
      <c r="AC14" s="8">
        <f ca="1">IFERROR(__xludf.DUMMYFUNCTION("""COMPUTED_VALUE"""),1.75269780119572)</f>
        <v>1.7526978011957199</v>
      </c>
      <c r="AD14" s="8">
        <f ca="1">IFERROR(__xludf.DUMMYFUNCTION("""COMPUTED_VALUE"""),2.35177144242677)</f>
        <v>2.3517714424267702</v>
      </c>
      <c r="AE14" s="8">
        <f ca="1">IFERROR(__xludf.DUMMYFUNCTION("""COMPUTED_VALUE"""),3.04961735913825)</f>
        <v>3.0496173591382498</v>
      </c>
      <c r="AF14" s="8">
        <f ca="1">IFERROR(__xludf.DUMMYFUNCTION("""COMPUTED_VALUE"""),1.83189197335742)</f>
        <v>1.8318919733574199</v>
      </c>
      <c r="AG14" s="8">
        <f ca="1">IFERROR(__xludf.DUMMYFUNCTION("""COMPUTED_VALUE"""),2.22397336563822)</f>
        <v>2.2239733656382201</v>
      </c>
      <c r="AH14" s="8">
        <f ca="1">IFERROR(__xludf.DUMMYFUNCTION("""COMPUTED_VALUE"""),1.61918243447234)</f>
        <v>1.61918243447234</v>
      </c>
      <c r="AI14" s="8">
        <f ca="1">IFERROR(__xludf.DUMMYFUNCTION("""COMPUTED_VALUE"""),2.30230456701059)</f>
        <v>2.3023045670105899</v>
      </c>
      <c r="AJ14" s="8">
        <f ca="1">IFERROR(__xludf.DUMMYFUNCTION("""COMPUTED_VALUE"""),2.6232377315161)</f>
        <v>2.6232377315161002</v>
      </c>
    </row>
    <row r="15" spans="1:36" ht="15.75" customHeight="1" x14ac:dyDescent="0.3">
      <c r="A15" s="6" t="str">
        <f ca="1">IFERROR(__xludf.DUMMYFUNCTION("""COMPUTED_VALUE"""),"Man Utd")</f>
        <v>Man Utd</v>
      </c>
      <c r="B15" s="8">
        <f ca="1">IFERROR(__xludf.DUMMYFUNCTION("""COMPUTED_VALUE"""),1.50146347468302)</f>
        <v>1.50146347468302</v>
      </c>
      <c r="C15" s="8">
        <f ca="1">IFERROR(__xludf.DUMMYFUNCTION("""COMPUTED_VALUE"""),1.27493839950776)</f>
        <v>1.2749383995077599</v>
      </c>
      <c r="D15" s="8">
        <f ca="1">IFERROR(__xludf.DUMMYFUNCTION("""COMPUTED_VALUE"""),1.12904922335311)</f>
        <v>1.12904922335311</v>
      </c>
      <c r="E15" s="8">
        <f ca="1">IFERROR(__xludf.DUMMYFUNCTION("""COMPUTED_VALUE"""),1.75407742108558)</f>
        <v>1.7540774210855801</v>
      </c>
      <c r="F15" s="8">
        <f ca="1">IFERROR(__xludf.DUMMYFUNCTION("""COMPUTED_VALUE"""),1.2056567199442)</f>
        <v>1.2056567199442001</v>
      </c>
      <c r="G15" s="8">
        <f ca="1">IFERROR(__xludf.DUMMYFUNCTION("""COMPUTED_VALUE"""),1.76517587144763)</f>
        <v>1.76517587144763</v>
      </c>
      <c r="H15" s="8">
        <f ca="1">IFERROR(__xludf.DUMMYFUNCTION("""COMPUTED_VALUE"""),1.24812149977253)</f>
        <v>1.2481214997725301</v>
      </c>
      <c r="I15" s="8">
        <f ca="1">IFERROR(__xludf.DUMMYFUNCTION("""COMPUTED_VALUE"""),1.63503630227818)</f>
        <v>1.63503630227818</v>
      </c>
      <c r="J15" s="8">
        <f ca="1">IFERROR(__xludf.DUMMYFUNCTION("""COMPUTED_VALUE"""),1.3645219893255)</f>
        <v>1.3645219893255001</v>
      </c>
      <c r="K15" s="8">
        <f ca="1">IFERROR(__xludf.DUMMYFUNCTION("""COMPUTED_VALUE"""),1.46624032129312)</f>
        <v>1.4662403212931201</v>
      </c>
      <c r="L15" s="8">
        <f ca="1">IFERROR(__xludf.DUMMYFUNCTION("""COMPUTED_VALUE"""),2.11103934342669)</f>
        <v>2.1110393434266901</v>
      </c>
      <c r="M15" s="8">
        <f ca="1">IFERROR(__xludf.DUMMYFUNCTION("""COMPUTED_VALUE"""),1.65013698094191)</f>
        <v>1.65013698094191</v>
      </c>
      <c r="N15" s="8">
        <f ca="1">IFERROR(__xludf.DUMMYFUNCTION("""COMPUTED_VALUE"""),1.43121093915772)</f>
        <v>1.4312109391577199</v>
      </c>
      <c r="O15" s="8">
        <f ca="1">IFERROR(__xludf.DUMMYFUNCTION("""COMPUTED_VALUE"""),0.658320641941989)</f>
        <v>0.65832064194198903</v>
      </c>
      <c r="P15" s="8">
        <f ca="1">IFERROR(__xludf.DUMMYFUNCTION("""COMPUTED_VALUE"""),1.54922645694737)</f>
        <v>1.5492264569473699</v>
      </c>
      <c r="Q15" s="8">
        <f ca="1">IFERROR(__xludf.DUMMYFUNCTION("""COMPUTED_VALUE"""),0.995837208940712)</f>
        <v>0.99583720894071204</v>
      </c>
      <c r="R15" s="8">
        <f ca="1">IFERROR(__xludf.DUMMYFUNCTION("""COMPUTED_VALUE"""),1.52634213307937)</f>
        <v>1.5263421330793701</v>
      </c>
      <c r="S15" s="8">
        <f ca="1">IFERROR(__xludf.DUMMYFUNCTION("""COMPUTED_VALUE"""),1.42210524994572)</f>
        <v>1.4221052499457201</v>
      </c>
      <c r="T15" s="8">
        <f ca="1">IFERROR(__xludf.DUMMYFUNCTION("""COMPUTED_VALUE"""),1.56328052177287)</f>
        <v>1.56328052177287</v>
      </c>
      <c r="U15" s="8">
        <f ca="1">IFERROR(__xludf.DUMMYFUNCTION("""COMPUTED_VALUE"""),0.884211154634748)</f>
        <v>0.88421115463474798</v>
      </c>
      <c r="V15" s="8">
        <f ca="1">IFERROR(__xludf.DUMMYFUNCTION("""COMPUTED_VALUE"""),2.23978145898417)</f>
        <v>2.23978145898417</v>
      </c>
      <c r="W15" s="8">
        <f ca="1">IFERROR(__xludf.DUMMYFUNCTION("""COMPUTED_VALUE"""),1.62796884233147)</f>
        <v>1.62796884233147</v>
      </c>
      <c r="X15" s="8">
        <f ca="1">IFERROR(__xludf.DUMMYFUNCTION("""COMPUTED_VALUE"""),1.1758661404049)</f>
        <v>1.1758661404049</v>
      </c>
      <c r="Y15" s="8">
        <f ca="1">IFERROR(__xludf.DUMMYFUNCTION("""COMPUTED_VALUE"""),1.53950306569675)</f>
        <v>1.5395030656967501</v>
      </c>
      <c r="Z15" s="8">
        <f ca="1">IFERROR(__xludf.DUMMYFUNCTION("""COMPUTED_VALUE"""),1.38239162929566)</f>
        <v>1.38239162929566</v>
      </c>
      <c r="AA15" s="8">
        <f ca="1">IFERROR(__xludf.DUMMYFUNCTION("""COMPUTED_VALUE"""),1.12084810020966)</f>
        <v>1.12084810020966</v>
      </c>
      <c r="AB15" s="8">
        <f ca="1">IFERROR(__xludf.DUMMYFUNCTION("""COMPUTED_VALUE"""),2.10705991096473)</f>
        <v>2.1070599109647299</v>
      </c>
      <c r="AC15" s="8">
        <f ca="1">IFERROR(__xludf.DUMMYFUNCTION("""COMPUTED_VALUE"""),0.840609627695726)</f>
        <v>0.840609627695726</v>
      </c>
      <c r="AD15" s="8">
        <f ca="1">IFERROR(__xludf.DUMMYFUNCTION("""COMPUTED_VALUE"""),1.65325346027621)</f>
        <v>1.6532534602762099</v>
      </c>
      <c r="AE15" s="8">
        <f ca="1">IFERROR(__xludf.DUMMYFUNCTION("""COMPUTED_VALUE"""),1.21327156155327)</f>
        <v>1.2132715615532701</v>
      </c>
      <c r="AF15" s="8">
        <f ca="1">IFERROR(__xludf.DUMMYFUNCTION("""COMPUTED_VALUE"""),1.27158453209639)</f>
        <v>1.2715845320963901</v>
      </c>
      <c r="AG15" s="8">
        <f ca="1">IFERROR(__xludf.DUMMYFUNCTION("""COMPUTED_VALUE"""),1.22427795580928)</f>
        <v>1.22427795580928</v>
      </c>
      <c r="AH15" s="8">
        <f ca="1">IFERROR(__xludf.DUMMYFUNCTION("""COMPUTED_VALUE"""),1.81588619365569)</f>
        <v>1.81588619365569</v>
      </c>
      <c r="AI15" s="8">
        <f ca="1">IFERROR(__xludf.DUMMYFUNCTION("""COMPUTED_VALUE"""),1.1953497792148)</f>
        <v>1.1953497792148</v>
      </c>
      <c r="AJ15" s="8">
        <f ca="1">IFERROR(__xludf.DUMMYFUNCTION("""COMPUTED_VALUE"""),1.28047325732491)</f>
        <v>1.28047325732491</v>
      </c>
    </row>
    <row r="16" spans="1:36" ht="15.75" customHeight="1" x14ac:dyDescent="0.3">
      <c r="A16" s="6" t="str">
        <f ca="1">IFERROR(__xludf.DUMMYFUNCTION("""COMPUTED_VALUE"""),"Newcastle")</f>
        <v>Newcastle</v>
      </c>
      <c r="B16" s="8">
        <f ca="1">IFERROR(__xludf.DUMMYFUNCTION("""COMPUTED_VALUE"""),2.78464613815413)</f>
        <v>2.7846461381541299</v>
      </c>
      <c r="C16" s="8">
        <f ca="1">IFERROR(__xludf.DUMMYFUNCTION("""COMPUTED_VALUE"""),1.48613880746362)</f>
        <v>1.4861388074636199</v>
      </c>
      <c r="D16" s="8">
        <f ca="1">IFERROR(__xludf.DUMMYFUNCTION("""COMPUTED_VALUE"""),2.1945847233769)</f>
        <v>2.1945847233769</v>
      </c>
      <c r="E16" s="8">
        <f ca="1">IFERROR(__xludf.DUMMYFUNCTION("""COMPUTED_VALUE"""),1.76805637729768)</f>
        <v>1.7680563772976801</v>
      </c>
      <c r="F16" s="8">
        <f ca="1">IFERROR(__xludf.DUMMYFUNCTION("""COMPUTED_VALUE"""),1.46191544435311)</f>
        <v>1.4619154443531099</v>
      </c>
      <c r="G16" s="8">
        <f ca="1">IFERROR(__xludf.DUMMYFUNCTION("""COMPUTED_VALUE"""),1.58091895190733)</f>
        <v>1.5809189519073299</v>
      </c>
      <c r="H16" s="8">
        <f ca="1">IFERROR(__xludf.DUMMYFUNCTION("""COMPUTED_VALUE"""),1.39351333639568)</f>
        <v>1.39351333639568</v>
      </c>
      <c r="I16" s="8">
        <f ca="1">IFERROR(__xludf.DUMMYFUNCTION("""COMPUTED_VALUE"""),2.02399976642793)</f>
        <v>2.0239997664279299</v>
      </c>
      <c r="J16" s="8">
        <f ca="1">IFERROR(__xludf.DUMMYFUNCTION("""COMPUTED_VALUE"""),1.42762005668117)</f>
        <v>1.4276200566811701</v>
      </c>
      <c r="K16" s="8">
        <f ca="1">IFERROR(__xludf.DUMMYFUNCTION("""COMPUTED_VALUE"""),1.04510212104341)</f>
        <v>1.0451021210434099</v>
      </c>
      <c r="L16" s="8">
        <f ca="1">IFERROR(__xludf.DUMMYFUNCTION("""COMPUTED_VALUE"""),1.50842036612975)</f>
        <v>1.5084203661297499</v>
      </c>
      <c r="M16" s="8">
        <f ca="1">IFERROR(__xludf.DUMMYFUNCTION("""COMPUTED_VALUE"""),2.16621617855959)</f>
        <v>2.1662161785595901</v>
      </c>
      <c r="N16" s="8">
        <f ca="1">IFERROR(__xludf.DUMMYFUNCTION("""COMPUTED_VALUE"""),1.49895308565277)</f>
        <v>1.49895308565277</v>
      </c>
      <c r="O16" s="8">
        <f ca="1">IFERROR(__xludf.DUMMYFUNCTION("""COMPUTED_VALUE"""),1.40370952129502)</f>
        <v>1.4037095212950199</v>
      </c>
      <c r="P16" s="8">
        <f ca="1">IFERROR(__xludf.DUMMYFUNCTION("""COMPUTED_VALUE"""),1.59197000971542)</f>
        <v>1.5919700097154199</v>
      </c>
      <c r="Q16" s="8">
        <f ca="1">IFERROR(__xludf.DUMMYFUNCTION("""COMPUTED_VALUE"""),2.62458532799476)</f>
        <v>2.62458532799476</v>
      </c>
      <c r="R16" s="8">
        <f ca="1">IFERROR(__xludf.DUMMYFUNCTION("""COMPUTED_VALUE"""),2.05156067926789)</f>
        <v>2.0515606792678902</v>
      </c>
      <c r="S16" s="8">
        <f ca="1">IFERROR(__xludf.DUMMYFUNCTION("""COMPUTED_VALUE"""),1.98142720070914)</f>
        <v>1.98142720070914</v>
      </c>
      <c r="T16" s="8">
        <f ca="1">IFERROR(__xludf.DUMMYFUNCTION("""COMPUTED_VALUE"""),1.57657706837813)</f>
        <v>1.5765770683781299</v>
      </c>
      <c r="U16" s="8">
        <f ca="1">IFERROR(__xludf.DUMMYFUNCTION("""COMPUTED_VALUE"""),1.71868174749542)</f>
        <v>1.7186817474954199</v>
      </c>
      <c r="V16" s="8">
        <f ca="1">IFERROR(__xludf.DUMMYFUNCTION("""COMPUTED_VALUE"""),2.2576311881714)</f>
        <v>2.2576311881714002</v>
      </c>
      <c r="W16" s="8">
        <f ca="1">IFERROR(__xludf.DUMMYFUNCTION("""COMPUTED_VALUE"""),1.8976506432503)</f>
        <v>1.8976506432503</v>
      </c>
      <c r="X16" s="8">
        <f ca="1">IFERROR(__xludf.DUMMYFUNCTION("""COMPUTED_VALUE"""),2.18078638746505)</f>
        <v>2.1807863874650502</v>
      </c>
      <c r="Y16" s="8">
        <f ca="1">IFERROR(__xludf.DUMMYFUNCTION("""COMPUTED_VALUE"""),1.86671983089449)</f>
        <v>1.8667198308944899</v>
      </c>
      <c r="Z16" s="8">
        <f ca="1">IFERROR(__xludf.DUMMYFUNCTION("""COMPUTED_VALUE"""),1.23809143386901)</f>
        <v>1.2380914338690101</v>
      </c>
      <c r="AA16" s="8">
        <f ca="1">IFERROR(__xludf.DUMMYFUNCTION("""COMPUTED_VALUE"""),1.92610196551108)</f>
        <v>1.92610196551108</v>
      </c>
      <c r="AB16" s="8">
        <f ca="1">IFERROR(__xludf.DUMMYFUNCTION("""COMPUTED_VALUE"""),1.09931045602242)</f>
        <v>1.0993104560224201</v>
      </c>
      <c r="AC16" s="8">
        <f ca="1">IFERROR(__xludf.DUMMYFUNCTION("""COMPUTED_VALUE"""),1.6964650157096)</f>
        <v>1.6964650157096</v>
      </c>
      <c r="AD16" s="8">
        <f ca="1">IFERROR(__xludf.DUMMYFUNCTION("""COMPUTED_VALUE"""),1.91401319507002)</f>
        <v>1.9140131950700201</v>
      </c>
      <c r="AE16" s="8">
        <f ca="1">IFERROR(__xludf.DUMMYFUNCTION("""COMPUTED_VALUE"""),2.03278650540563)</f>
        <v>2.03278650540563</v>
      </c>
      <c r="AF16" s="8">
        <f ca="1">IFERROR(__xludf.DUMMYFUNCTION("""COMPUTED_VALUE"""),2.05543529485062)</f>
        <v>2.05543529485062</v>
      </c>
      <c r="AG16" s="8">
        <f ca="1">IFERROR(__xludf.DUMMYFUNCTION("""COMPUTED_VALUE"""),2.01313125861204)</f>
        <v>2.0131312586120398</v>
      </c>
      <c r="AH16" s="8">
        <f ca="1">IFERROR(__xludf.DUMMYFUNCTION("""COMPUTED_VALUE"""),1.55174814058199)</f>
        <v>1.55174814058199</v>
      </c>
      <c r="AI16" s="8">
        <f ca="1">IFERROR(__xludf.DUMMYFUNCTION("""COMPUTED_VALUE"""),2.61963783135717)</f>
        <v>2.6196378313571702</v>
      </c>
      <c r="AJ16" s="8">
        <f ca="1">IFERROR(__xludf.DUMMYFUNCTION("""COMPUTED_VALUE"""),1.58508870422737)</f>
        <v>1.58508870422737</v>
      </c>
    </row>
    <row r="17" spans="1:36" ht="15.75" customHeight="1" x14ac:dyDescent="0.3">
      <c r="A17" s="6" t="str">
        <f ca="1">IFERROR(__xludf.DUMMYFUNCTION("""COMPUTED_VALUE"""),"Nott'm Forest")</f>
        <v>Nott'm Forest</v>
      </c>
      <c r="B17" s="8">
        <f ca="1">IFERROR(__xludf.DUMMYFUNCTION("""COMPUTED_VALUE"""),1.33895005912084)</f>
        <v>1.3389500591208401</v>
      </c>
      <c r="C17" s="8">
        <f ca="1">IFERROR(__xludf.DUMMYFUNCTION("""COMPUTED_VALUE"""),1.53872583070661)</f>
        <v>1.5387258307066101</v>
      </c>
      <c r="D17" s="8">
        <f ca="1">IFERROR(__xludf.DUMMYFUNCTION("""COMPUTED_VALUE"""),1.59294621674809)</f>
        <v>1.5929462167480899</v>
      </c>
      <c r="E17" s="8">
        <f ca="1">IFERROR(__xludf.DUMMYFUNCTION("""COMPUTED_VALUE"""),0.775654784150505)</f>
        <v>0.77565478415050504</v>
      </c>
      <c r="F17" s="8">
        <f ca="1">IFERROR(__xludf.DUMMYFUNCTION("""COMPUTED_VALUE"""),1.11841166433134)</f>
        <v>1.11841166433134</v>
      </c>
      <c r="G17" s="8">
        <f ca="1">IFERROR(__xludf.DUMMYFUNCTION("""COMPUTED_VALUE"""),1.31712580333394)</f>
        <v>1.3171258033339399</v>
      </c>
      <c r="H17" s="8">
        <f ca="1">IFERROR(__xludf.DUMMYFUNCTION("""COMPUTED_VALUE"""),1.00730446148997)</f>
        <v>1.00730446148997</v>
      </c>
      <c r="I17" s="8">
        <f ca="1">IFERROR(__xludf.DUMMYFUNCTION("""COMPUTED_VALUE"""),1.35049519773964)</f>
        <v>1.35049519773964</v>
      </c>
      <c r="J17" s="8">
        <f ca="1">IFERROR(__xludf.DUMMYFUNCTION("""COMPUTED_VALUE"""),1.45028022905494)</f>
        <v>1.4502802290549399</v>
      </c>
      <c r="K17" s="8">
        <f ca="1">IFERROR(__xludf.DUMMYFUNCTION("""COMPUTED_VALUE"""),1.52844533880218)</f>
        <v>1.5284453388021799</v>
      </c>
      <c r="L17" s="8">
        <f ca="1">IFERROR(__xludf.DUMMYFUNCTION("""COMPUTED_VALUE"""),1.37135344801583)</f>
        <v>1.37135344801583</v>
      </c>
      <c r="M17" s="8">
        <f ca="1">IFERROR(__xludf.DUMMYFUNCTION("""COMPUTED_VALUE"""),0.577497301126298)</f>
        <v>0.57749730112629805</v>
      </c>
      <c r="N17" s="8">
        <f ca="1">IFERROR(__xludf.DUMMYFUNCTION("""COMPUTED_VALUE"""),1.84837195489424)</f>
        <v>1.8483719548942401</v>
      </c>
      <c r="O17" s="8">
        <f ca="1">IFERROR(__xludf.DUMMYFUNCTION("""COMPUTED_VALUE"""),0.873576284693021)</f>
        <v>0.87357628469302095</v>
      </c>
      <c r="P17" s="8">
        <f ca="1">IFERROR(__xludf.DUMMYFUNCTION("""COMPUTED_VALUE"""),1.11240599866043)</f>
        <v>1.11240599866043</v>
      </c>
      <c r="Q17" s="8">
        <f ca="1">IFERROR(__xludf.DUMMYFUNCTION("""COMPUTED_VALUE"""),1.39806137497945)</f>
        <v>1.3980613749794499</v>
      </c>
      <c r="R17" s="8">
        <f ca="1">IFERROR(__xludf.DUMMYFUNCTION("""COMPUTED_VALUE"""),1.12326699659328)</f>
        <v>1.12326699659328</v>
      </c>
      <c r="S17" s="8">
        <f ca="1">IFERROR(__xludf.DUMMYFUNCTION("""COMPUTED_VALUE"""),1.5484617021383)</f>
        <v>1.5484617021383</v>
      </c>
      <c r="T17" s="8">
        <f ca="1">IFERROR(__xludf.DUMMYFUNCTION("""COMPUTED_VALUE"""),0.983239339015985)</f>
        <v>0.98323933901598504</v>
      </c>
      <c r="U17" s="8">
        <f ca="1">IFERROR(__xludf.DUMMYFUNCTION("""COMPUTED_VALUE"""),1.24751054643911)</f>
        <v>1.2475105464391101</v>
      </c>
      <c r="V17" s="8">
        <f ca="1">IFERROR(__xludf.DUMMYFUNCTION("""COMPUTED_VALUE"""),0.99043359388178)</f>
        <v>0.99043359388177998</v>
      </c>
      <c r="W17" s="8">
        <f ca="1">IFERROR(__xludf.DUMMYFUNCTION("""COMPUTED_VALUE"""),1.96479901322927)</f>
        <v>1.9647990132292701</v>
      </c>
      <c r="X17" s="8">
        <f ca="1">IFERROR(__xludf.DUMMYFUNCTION("""COMPUTED_VALUE"""),1.04859429800363)</f>
        <v>1.04859429800363</v>
      </c>
      <c r="Y17" s="8">
        <f ca="1">IFERROR(__xludf.DUMMYFUNCTION("""COMPUTED_VALUE"""),1.42809985418469)</f>
        <v>1.4280998541846901</v>
      </c>
      <c r="Z17" s="8">
        <f ca="1">IFERROR(__xludf.DUMMYFUNCTION("""COMPUTED_VALUE"""),1.03150270446702)</f>
        <v>1.03150270446702</v>
      </c>
      <c r="AA17" s="8">
        <f ca="1">IFERROR(__xludf.DUMMYFUNCTION("""COMPUTED_VALUE"""),1.07397090454682)</f>
        <v>1.07397090454682</v>
      </c>
      <c r="AB17" s="8">
        <f ca="1">IFERROR(__xludf.DUMMYFUNCTION("""COMPUTED_VALUE"""),0.737406303808171)</f>
        <v>0.73740630380817096</v>
      </c>
      <c r="AC17" s="8">
        <f ca="1">IFERROR(__xludf.DUMMYFUNCTION("""COMPUTED_VALUE"""),1.11546955792451)</f>
        <v>1.11546955792451</v>
      </c>
      <c r="AD17" s="8">
        <f ca="1">IFERROR(__xludf.DUMMYFUNCTION("""COMPUTED_VALUE"""),1.44754636611657)</f>
        <v>1.4475463661165699</v>
      </c>
      <c r="AE17" s="8">
        <f ca="1">IFERROR(__xludf.DUMMYFUNCTION("""COMPUTED_VALUE"""),1.42043121968951)</f>
        <v>1.4204312196895099</v>
      </c>
      <c r="AF17" s="8">
        <f ca="1">IFERROR(__xludf.DUMMYFUNCTION("""COMPUTED_VALUE"""),1.09488712896816)</f>
        <v>1.0948871289681601</v>
      </c>
      <c r="AG17" s="8">
        <f ca="1">IFERROR(__xludf.DUMMYFUNCTION("""COMPUTED_VALUE"""),1.25549831198951)</f>
        <v>1.25549831198951</v>
      </c>
      <c r="AH17" s="8">
        <f ca="1">IFERROR(__xludf.DUMMYFUNCTION("""COMPUTED_VALUE"""),1.21267264636095)</f>
        <v>1.2126726463609501</v>
      </c>
      <c r="AI17" s="8">
        <f ca="1">IFERROR(__xludf.DUMMYFUNCTION("""COMPUTED_VALUE"""),1.43429962794996)</f>
        <v>1.43429962794996</v>
      </c>
      <c r="AJ17" s="8">
        <f ca="1">IFERROR(__xludf.DUMMYFUNCTION("""COMPUTED_VALUE"""),1.05763583502204)</f>
        <v>1.0576358350220401</v>
      </c>
    </row>
    <row r="18" spans="1:36" ht="15.75" customHeight="1" x14ac:dyDescent="0.3">
      <c r="A18" s="6" t="str">
        <f ca="1">IFERROR(__xludf.DUMMYFUNCTION("""COMPUTED_VALUE"""),"Southampton")</f>
        <v>Southampton</v>
      </c>
      <c r="B18" s="8">
        <f ca="1">IFERROR(__xludf.DUMMYFUNCTION("""COMPUTED_VALUE"""),0.826164410009148)</f>
        <v>0.82616441000914798</v>
      </c>
      <c r="C18" s="8">
        <f ca="1">IFERROR(__xludf.DUMMYFUNCTION("""COMPUTED_VALUE"""),1.04544540371833)</f>
        <v>1.0454454037183301</v>
      </c>
      <c r="D18" s="8">
        <f ca="1">IFERROR(__xludf.DUMMYFUNCTION("""COMPUTED_VALUE"""),0.864085993013771)</f>
        <v>0.86408599301377098</v>
      </c>
      <c r="E18" s="8">
        <f ca="1">IFERROR(__xludf.DUMMYFUNCTION("""COMPUTED_VALUE"""),1.09268297269984)</f>
        <v>1.0926829726998399</v>
      </c>
      <c r="F18" s="8">
        <f ca="1">IFERROR(__xludf.DUMMYFUNCTION("""COMPUTED_VALUE"""),1.42188128107346)</f>
        <v>1.42188128107346</v>
      </c>
      <c r="G18" s="8">
        <f ca="1">IFERROR(__xludf.DUMMYFUNCTION("""COMPUTED_VALUE"""),0.806643164988426)</f>
        <v>0.80664316498842603</v>
      </c>
      <c r="H18" s="8">
        <f ca="1">IFERROR(__xludf.DUMMYFUNCTION("""COMPUTED_VALUE"""),0.444246408396144)</f>
        <v>0.44424640839614399</v>
      </c>
      <c r="I18" s="8">
        <f ca="1">IFERROR(__xludf.DUMMYFUNCTION("""COMPUTED_VALUE"""),1.42456667245579)</f>
        <v>1.4245666724557899</v>
      </c>
      <c r="J18" s="8">
        <f ca="1">IFERROR(__xludf.DUMMYFUNCTION("""COMPUTED_VALUE"""),0.672008555153486)</f>
        <v>0.67200855515348601</v>
      </c>
      <c r="K18" s="8">
        <f ca="1">IFERROR(__xludf.DUMMYFUNCTION("""COMPUTED_VALUE"""),0.965806445780743)</f>
        <v>0.96580644578074304</v>
      </c>
      <c r="L18" s="8">
        <f ca="1">IFERROR(__xludf.DUMMYFUNCTION("""COMPUTED_VALUE"""),0.959661765710454)</f>
        <v>0.95966176571045403</v>
      </c>
      <c r="M18" s="8">
        <f ca="1">IFERROR(__xludf.DUMMYFUNCTION("""COMPUTED_VALUE"""),0.761902377688582)</f>
        <v>0.76190237768858204</v>
      </c>
      <c r="N18" s="8">
        <f ca="1">IFERROR(__xludf.DUMMYFUNCTION("""COMPUTED_VALUE"""),0.860350973101592)</f>
        <v>0.86035097310159203</v>
      </c>
      <c r="O18" s="8">
        <f ca="1">IFERROR(__xludf.DUMMYFUNCTION("""COMPUTED_VALUE"""),0.989444892170761)</f>
        <v>0.98944489217076104</v>
      </c>
      <c r="P18" s="8">
        <f ca="1">IFERROR(__xludf.DUMMYFUNCTION("""COMPUTED_VALUE"""),0.842254455033199)</f>
        <v>0.84225445503319896</v>
      </c>
      <c r="Q18" s="8">
        <f ca="1">IFERROR(__xludf.DUMMYFUNCTION("""COMPUTED_VALUE"""),1.19117188664311)</f>
        <v>1.19117188664311</v>
      </c>
      <c r="R18" s="8">
        <f ca="1">IFERROR(__xludf.DUMMYFUNCTION("""COMPUTED_VALUE"""),0.793495261045676)</f>
        <v>0.79349526104567603</v>
      </c>
      <c r="S18" s="8">
        <f ca="1">IFERROR(__xludf.DUMMYFUNCTION("""COMPUTED_VALUE"""),1.17577407005786)</f>
        <v>1.1757740700578601</v>
      </c>
      <c r="T18" s="8">
        <f ca="1">IFERROR(__xludf.DUMMYFUNCTION("""COMPUTED_VALUE"""),0.813598470820981)</f>
        <v>0.81359847082098102</v>
      </c>
      <c r="U18" s="8">
        <f ca="1">IFERROR(__xludf.DUMMYFUNCTION("""COMPUTED_VALUE"""),1.10335140447928)</f>
        <v>1.10335140447928</v>
      </c>
      <c r="V18" s="8">
        <f ca="1">IFERROR(__xludf.DUMMYFUNCTION("""COMPUTED_VALUE"""),0.855731046048901)</f>
        <v>0.85573104604890105</v>
      </c>
      <c r="W18" s="8">
        <f ca="1">IFERROR(__xludf.DUMMYFUNCTION("""COMPUTED_VALUE"""),0.81873710057039)</f>
        <v>0.81873710057038995</v>
      </c>
      <c r="X18" s="8">
        <f ca="1">IFERROR(__xludf.DUMMYFUNCTION("""COMPUTED_VALUE"""),1.05492933514068)</f>
        <v>1.0549293351406801</v>
      </c>
      <c r="Y18" s="8">
        <f ca="1">IFERROR(__xludf.DUMMYFUNCTION("""COMPUTED_VALUE"""),1.11354160942396)</f>
        <v>1.1135416094239601</v>
      </c>
      <c r="Z18" s="8">
        <f ca="1">IFERROR(__xludf.DUMMYFUNCTION("""COMPUTED_VALUE"""),1.03000265737372)</f>
        <v>1.03000265737372</v>
      </c>
      <c r="AA18" s="8">
        <f ca="1">IFERROR(__xludf.DUMMYFUNCTION("""COMPUTED_VALUE"""),1.09858215755342)</f>
        <v>1.09858215755342</v>
      </c>
      <c r="AB18" s="8">
        <f ca="1">IFERROR(__xludf.DUMMYFUNCTION("""COMPUTED_VALUE"""),0.774880485684674)</f>
        <v>0.77488048568467405</v>
      </c>
      <c r="AC18" s="8">
        <f ca="1">IFERROR(__xludf.DUMMYFUNCTION("""COMPUTED_VALUE"""),0.596681320141422)</f>
        <v>0.59668132014142194</v>
      </c>
      <c r="AD18" s="8">
        <f ca="1">IFERROR(__xludf.DUMMYFUNCTION("""COMPUTED_VALUE"""),1.22539210863567)</f>
        <v>1.2253921086356701</v>
      </c>
      <c r="AE18" s="8">
        <f ca="1">IFERROR(__xludf.DUMMYFUNCTION("""COMPUTED_VALUE"""),1.03888388739131)</f>
        <v>1.03888388739131</v>
      </c>
      <c r="AF18" s="8">
        <f ca="1">IFERROR(__xludf.DUMMYFUNCTION("""COMPUTED_VALUE"""),0.932862312352663)</f>
        <v>0.93286231235266304</v>
      </c>
      <c r="AG18" s="8">
        <f ca="1">IFERROR(__xludf.DUMMYFUNCTION("""COMPUTED_VALUE"""),1.07547471363189)</f>
        <v>1.0754747136318901</v>
      </c>
      <c r="AH18" s="8">
        <f ca="1">IFERROR(__xludf.DUMMYFUNCTION("""COMPUTED_VALUE"""),0.920803563362722)</f>
        <v>0.92080356336272196</v>
      </c>
      <c r="AI18" s="8">
        <f ca="1">IFERROR(__xludf.DUMMYFUNCTION("""COMPUTED_VALUE"""),1.01321409882922)</f>
        <v>1.01321409882922</v>
      </c>
      <c r="AJ18" s="8">
        <f ca="1">IFERROR(__xludf.DUMMYFUNCTION("""COMPUTED_VALUE"""),1.1156446647786)</f>
        <v>1.1156446647786</v>
      </c>
    </row>
    <row r="19" spans="1:36" ht="15.75" customHeight="1" x14ac:dyDescent="0.3">
      <c r="A19" s="6" t="str">
        <f ca="1">IFERROR(__xludf.DUMMYFUNCTION("""COMPUTED_VALUE"""),"Spurs")</f>
        <v>Spurs</v>
      </c>
      <c r="B19" s="8">
        <f ca="1">IFERROR(__xludf.DUMMYFUNCTION("""COMPUTED_VALUE"""),2.01874911108417)</f>
        <v>2.01874911108417</v>
      </c>
      <c r="C19" s="8">
        <f ca="1">IFERROR(__xludf.DUMMYFUNCTION("""COMPUTED_VALUE"""),1.74761818476151)</f>
        <v>1.74761818476151</v>
      </c>
      <c r="D19" s="8">
        <f ca="1">IFERROR(__xludf.DUMMYFUNCTION("""COMPUTED_VALUE"""),1.49493716141808)</f>
        <v>1.49493716141808</v>
      </c>
      <c r="E19" s="8">
        <f ca="1">IFERROR(__xludf.DUMMYFUNCTION("""COMPUTED_VALUE"""),1.02644874452343)</f>
        <v>1.02644874452343</v>
      </c>
      <c r="F19" s="8">
        <f ca="1">IFERROR(__xludf.DUMMYFUNCTION("""COMPUTED_VALUE"""),1.99650456576875)</f>
        <v>1.9965045657687499</v>
      </c>
      <c r="G19" s="8">
        <f ca="1">IFERROR(__xludf.DUMMYFUNCTION("""COMPUTED_VALUE"""),1.54843772670321)</f>
        <v>1.5484377267032099</v>
      </c>
      <c r="H19" s="8">
        <f ca="1">IFERROR(__xludf.DUMMYFUNCTION("""COMPUTED_VALUE"""),1.55679744366806)</f>
        <v>1.5567974436680601</v>
      </c>
      <c r="I19" s="8">
        <f ca="1">IFERROR(__xludf.DUMMYFUNCTION("""COMPUTED_VALUE"""),2.12755273583114)</f>
        <v>2.1275527358311401</v>
      </c>
      <c r="J19" s="8">
        <f ca="1">IFERROR(__xludf.DUMMYFUNCTION("""COMPUTED_VALUE"""),1.47219920607538)</f>
        <v>1.4721992060753799</v>
      </c>
      <c r="K19" s="8">
        <f ca="1">IFERROR(__xludf.DUMMYFUNCTION("""COMPUTED_VALUE"""),1.94606194129808)</f>
        <v>1.94606194129808</v>
      </c>
      <c r="L19" s="8">
        <f ca="1">IFERROR(__xludf.DUMMYFUNCTION("""COMPUTED_VALUE"""),2.57288154809033)</f>
        <v>2.5728815480903302</v>
      </c>
      <c r="M19" s="8">
        <f ca="1">IFERROR(__xludf.DUMMYFUNCTION("""COMPUTED_VALUE"""),1.21599351136258)</f>
        <v>1.2159935113625799</v>
      </c>
      <c r="N19" s="8">
        <f ca="1">IFERROR(__xludf.DUMMYFUNCTION("""COMPUTED_VALUE"""),1.8334019118492)</f>
        <v>1.8334019118492</v>
      </c>
      <c r="O19" s="8">
        <f ca="1">IFERROR(__xludf.DUMMYFUNCTION("""COMPUTED_VALUE"""),1.45961364195262)</f>
        <v>1.45961364195262</v>
      </c>
      <c r="P19" s="8">
        <f ca="1">IFERROR(__xludf.DUMMYFUNCTION("""COMPUTED_VALUE"""),1.79039174353322)</f>
        <v>1.7903917435332199</v>
      </c>
      <c r="Q19" s="8">
        <f ca="1">IFERROR(__xludf.DUMMYFUNCTION("""COMPUTED_VALUE"""),2.14186289015704)</f>
        <v>2.1418628901570398</v>
      </c>
      <c r="R19" s="8">
        <f ca="1">IFERROR(__xludf.DUMMYFUNCTION("""COMPUTED_VALUE"""),1.37865558474837)</f>
        <v>1.3786555847483699</v>
      </c>
      <c r="S19" s="8">
        <f ca="1">IFERROR(__xludf.DUMMYFUNCTION("""COMPUTED_VALUE"""),1.48149751096251)</f>
        <v>1.4814975109625099</v>
      </c>
      <c r="T19" s="8">
        <f ca="1">IFERROR(__xludf.DUMMYFUNCTION("""COMPUTED_VALUE"""),2.21733613590018)</f>
        <v>2.21733613590018</v>
      </c>
      <c r="U19" s="8">
        <f ca="1">IFERROR(__xludf.DUMMYFUNCTION("""COMPUTED_VALUE"""),1.90888526141475)</f>
        <v>1.90888526141475</v>
      </c>
      <c r="V19" s="8">
        <f ca="1">IFERROR(__xludf.DUMMYFUNCTION("""COMPUTED_VALUE"""),0.803859929926728)</f>
        <v>0.80385992992672795</v>
      </c>
      <c r="W19" s="8">
        <f ca="1">IFERROR(__xludf.DUMMYFUNCTION("""COMPUTED_VALUE"""),1.36864138519971)</f>
        <v>1.3686413851997099</v>
      </c>
      <c r="X19" s="8">
        <f ca="1">IFERROR(__xludf.DUMMYFUNCTION("""COMPUTED_VALUE"""),2.57774073994338)</f>
        <v>2.5777407399433798</v>
      </c>
      <c r="Y19" s="8">
        <f ca="1">IFERROR(__xludf.DUMMYFUNCTION("""COMPUTED_VALUE"""),1.56355592902244)</f>
        <v>1.5635559290224399</v>
      </c>
      <c r="Z19" s="8">
        <f ca="1">IFERROR(__xludf.DUMMYFUNCTION("""COMPUTED_VALUE"""),1.97720013322734)</f>
        <v>1.9772001332273399</v>
      </c>
      <c r="AA19" s="8">
        <f ca="1">IFERROR(__xludf.DUMMYFUNCTION("""COMPUTED_VALUE"""),2.01494365110058)</f>
        <v>2.0149436511005798</v>
      </c>
      <c r="AB19" s="8">
        <f ca="1">IFERROR(__xludf.DUMMYFUNCTION("""COMPUTED_VALUE"""),1.55270211465888)</f>
        <v>1.55270211465888</v>
      </c>
      <c r="AC19" s="8">
        <f ca="1">IFERROR(__xludf.DUMMYFUNCTION("""COMPUTED_VALUE"""),1.86378065940931)</f>
        <v>1.86378065940931</v>
      </c>
      <c r="AD19" s="8">
        <f ca="1">IFERROR(__xludf.DUMMYFUNCTION("""COMPUTED_VALUE"""),1.43582262655588)</f>
        <v>1.43582262655588</v>
      </c>
      <c r="AE19" s="8">
        <f ca="1">IFERROR(__xludf.DUMMYFUNCTION("""COMPUTED_VALUE"""),1.40213935588787)</f>
        <v>1.4021393558878701</v>
      </c>
      <c r="AF19" s="8">
        <f ca="1">IFERROR(__xludf.DUMMYFUNCTION("""COMPUTED_VALUE"""),2.73494472444152)</f>
        <v>2.7349447244415201</v>
      </c>
      <c r="AG19" s="8">
        <f ca="1">IFERROR(__xludf.DUMMYFUNCTION("""COMPUTED_VALUE"""),1.73649944075509)</f>
        <v>1.73649944075509</v>
      </c>
      <c r="AH19" s="8">
        <f ca="1">IFERROR(__xludf.DUMMYFUNCTION("""COMPUTED_VALUE"""),1.89172417174803)</f>
        <v>1.89172417174803</v>
      </c>
      <c r="AI19" s="8">
        <f ca="1">IFERROR(__xludf.DUMMYFUNCTION("""COMPUTED_VALUE"""),1.07968954871045)</f>
        <v>1.0796895487104501</v>
      </c>
      <c r="AJ19" s="8">
        <f ca="1">IFERROR(__xludf.DUMMYFUNCTION("""COMPUTED_VALUE"""),1.666185868769)</f>
        <v>1.6661858687690001</v>
      </c>
    </row>
    <row r="20" spans="1:36" ht="15.75" customHeight="1" x14ac:dyDescent="0.3">
      <c r="A20" s="6" t="str">
        <f ca="1">IFERROR(__xludf.DUMMYFUNCTION("""COMPUTED_VALUE"""),"West Ham")</f>
        <v>West Ham</v>
      </c>
      <c r="B20" s="8">
        <f ca="1">IFERROR(__xludf.DUMMYFUNCTION("""COMPUTED_VALUE"""),1.45719265098086)</f>
        <v>1.4571926509808599</v>
      </c>
      <c r="C20" s="8">
        <f ca="1">IFERROR(__xludf.DUMMYFUNCTION("""COMPUTED_VALUE"""),1.10236874703071)</f>
        <v>1.10236874703071</v>
      </c>
      <c r="D20" s="8">
        <f ca="1">IFERROR(__xludf.DUMMYFUNCTION("""COMPUTED_VALUE"""),1.16264855841852)</f>
        <v>1.16264855841852</v>
      </c>
      <c r="E20" s="8">
        <f ca="1">IFERROR(__xludf.DUMMYFUNCTION("""COMPUTED_VALUE"""),1.07513031066918)</f>
        <v>1.0751303106691801</v>
      </c>
      <c r="F20" s="8">
        <f ca="1">IFERROR(__xludf.DUMMYFUNCTION("""COMPUTED_VALUE"""),1.34062828920707)</f>
        <v>1.34062828920707</v>
      </c>
      <c r="G20" s="8">
        <f ca="1">IFERROR(__xludf.DUMMYFUNCTION("""COMPUTED_VALUE"""),1.17077579126248)</f>
        <v>1.1707757912624801</v>
      </c>
      <c r="H20" s="8">
        <f ca="1">IFERROR(__xludf.DUMMYFUNCTION("""COMPUTED_VALUE"""),1.92654920388643)</f>
        <v>1.92654920388643</v>
      </c>
      <c r="I20" s="8">
        <f ca="1">IFERROR(__xludf.DUMMYFUNCTION("""COMPUTED_VALUE"""),1.26396287026288)</f>
        <v>1.26396287026288</v>
      </c>
      <c r="J20" s="8">
        <f ca="1">IFERROR(__xludf.DUMMYFUNCTION("""COMPUTED_VALUE"""),1.48050863259545)</f>
        <v>1.48050863259545</v>
      </c>
      <c r="K20" s="8">
        <f ca="1">IFERROR(__xludf.DUMMYFUNCTION("""COMPUTED_VALUE"""),1.10933122919048)</f>
        <v>1.10933122919048</v>
      </c>
      <c r="L20" s="8">
        <f ca="1">IFERROR(__xludf.DUMMYFUNCTION("""COMPUTED_VALUE"""),1.30859985569438)</f>
        <v>1.3085998556943801</v>
      </c>
      <c r="M20" s="8">
        <f ca="1">IFERROR(__xludf.DUMMYFUNCTION("""COMPUTED_VALUE"""),1.11939471147745)</f>
        <v>1.1193947114774501</v>
      </c>
      <c r="N20" s="8">
        <f ca="1">IFERROR(__xludf.DUMMYFUNCTION("""COMPUTED_VALUE"""),0.768595045916366)</f>
        <v>0.76859504591636596</v>
      </c>
      <c r="O20" s="8">
        <f ca="1">IFERROR(__xludf.DUMMYFUNCTION("""COMPUTED_VALUE"""),1.5116201115797)</f>
        <v>1.5116201115797001</v>
      </c>
      <c r="P20" s="8">
        <f ca="1">IFERROR(__xludf.DUMMYFUNCTION("""COMPUTED_VALUE"""),1.66032018478961)</f>
        <v>1.6603201847896101</v>
      </c>
      <c r="Q20" s="8">
        <f ca="1">IFERROR(__xludf.DUMMYFUNCTION("""COMPUTED_VALUE"""),1.09294479645702)</f>
        <v>1.09294479645702</v>
      </c>
      <c r="R20" s="8">
        <f ca="1">IFERROR(__xludf.DUMMYFUNCTION("""COMPUTED_VALUE"""),1.48850161346841)</f>
        <v>1.4885016134684099</v>
      </c>
      <c r="S20" s="8">
        <f ca="1">IFERROR(__xludf.DUMMYFUNCTION("""COMPUTED_VALUE"""),1.60380653704352)</f>
        <v>1.6038065370435199</v>
      </c>
      <c r="T20" s="8">
        <f ca="1">IFERROR(__xludf.DUMMYFUNCTION("""COMPUTED_VALUE"""),1.03232417411596)</f>
        <v>1.0323241741159599</v>
      </c>
      <c r="U20" s="8">
        <f ca="1">IFERROR(__xludf.DUMMYFUNCTION("""COMPUTED_VALUE"""),0.910524362454794)</f>
        <v>0.91052436245479396</v>
      </c>
      <c r="V20" s="8">
        <f ca="1">IFERROR(__xludf.DUMMYFUNCTION("""COMPUTED_VALUE"""),1.37283389369347)</f>
        <v>1.3728338936934701</v>
      </c>
      <c r="W20" s="8">
        <f ca="1">IFERROR(__xludf.DUMMYFUNCTION("""COMPUTED_VALUE"""),1.40761465308351)</f>
        <v>1.4076146530835101</v>
      </c>
      <c r="X20" s="8">
        <f ca="1">IFERROR(__xludf.DUMMYFUNCTION("""COMPUTED_VALUE"""),1.14119559165233)</f>
        <v>1.14119559165233</v>
      </c>
      <c r="Y20" s="8">
        <f ca="1">IFERROR(__xludf.DUMMYFUNCTION("""COMPUTED_VALUE"""),1.0499085983296)</f>
        <v>1.0499085983295999</v>
      </c>
      <c r="Z20" s="8">
        <f ca="1">IFERROR(__xludf.DUMMYFUNCTION("""COMPUTED_VALUE"""),1.49496360786306)</f>
        <v>1.4949636078630599</v>
      </c>
      <c r="AA20" s="8">
        <f ca="1">IFERROR(__xludf.DUMMYFUNCTION("""COMPUTED_VALUE"""),0.601922661066932)</f>
        <v>0.60192266106693204</v>
      </c>
      <c r="AB20" s="8">
        <f ca="1">IFERROR(__xludf.DUMMYFUNCTION("""COMPUTED_VALUE"""),1.93018772047612)</f>
        <v>1.93018772047612</v>
      </c>
      <c r="AC20" s="8">
        <f ca="1">IFERROR(__xludf.DUMMYFUNCTION("""COMPUTED_VALUE"""),1.42935510708556)</f>
        <v>1.4293551070855599</v>
      </c>
      <c r="AD20" s="8">
        <f ca="1">IFERROR(__xludf.DUMMYFUNCTION("""COMPUTED_VALUE"""),1.02482563685048)</f>
        <v>1.02482563685048</v>
      </c>
      <c r="AE20" s="8">
        <f ca="1">IFERROR(__xludf.DUMMYFUNCTION("""COMPUTED_VALUE"""),1.30027424605655)</f>
        <v>1.30027424605655</v>
      </c>
      <c r="AF20" s="8">
        <f ca="1">IFERROR(__xludf.DUMMYFUNCTION("""COMPUTED_VALUE"""),1.39558121059597)</f>
        <v>1.39558121059597</v>
      </c>
      <c r="AG20" s="8">
        <f ca="1">IFERROR(__xludf.DUMMYFUNCTION("""COMPUTED_VALUE"""),0.808461253125513)</f>
        <v>0.80846125312551298</v>
      </c>
      <c r="AH20" s="8">
        <f ca="1">IFERROR(__xludf.DUMMYFUNCTION("""COMPUTED_VALUE"""),2.04790056715088)</f>
        <v>2.0479005671508799</v>
      </c>
      <c r="AI20" s="8">
        <f ca="1">IFERROR(__xludf.DUMMYFUNCTION("""COMPUTED_VALUE"""),1.16571510178433)</f>
        <v>1.1657151017843299</v>
      </c>
      <c r="AJ20" s="8">
        <f ca="1">IFERROR(__xludf.DUMMYFUNCTION("""COMPUTED_VALUE"""),1.61395418903867)</f>
        <v>1.6139541890386699</v>
      </c>
    </row>
    <row r="21" spans="1:36" ht="15.75" customHeight="1" x14ac:dyDescent="0.3">
      <c r="A21" s="6" t="str">
        <f ca="1">IFERROR(__xludf.DUMMYFUNCTION("""COMPUTED_VALUE"""),"Wolves")</f>
        <v>Wolves</v>
      </c>
      <c r="B21" s="8">
        <f ca="1">IFERROR(__xludf.DUMMYFUNCTION("""COMPUTED_VALUE"""),0.55719972485244)</f>
        <v>0.55719972485243996</v>
      </c>
      <c r="C21" s="8">
        <f ca="1">IFERROR(__xludf.DUMMYFUNCTION("""COMPUTED_VALUE"""),1.24101942357759)</f>
        <v>1.24101942357759</v>
      </c>
      <c r="D21" s="8">
        <f ca="1">IFERROR(__xludf.DUMMYFUNCTION("""COMPUTED_VALUE"""),1.02690776682093)</f>
        <v>1.0269077668209301</v>
      </c>
      <c r="E21" s="8">
        <f ca="1">IFERROR(__xludf.DUMMYFUNCTION("""COMPUTED_VALUE"""),1.32315382672716)</f>
        <v>1.3231538267271601</v>
      </c>
      <c r="F21" s="8">
        <f ca="1">IFERROR(__xludf.DUMMYFUNCTION("""COMPUTED_VALUE"""),1.05640460278466)</f>
        <v>1.0564046027846601</v>
      </c>
      <c r="G21" s="8">
        <f ca="1">IFERROR(__xludf.DUMMYFUNCTION("""COMPUTED_VALUE"""),0.955622346492745)</f>
        <v>0.95562234649274502</v>
      </c>
      <c r="H21" s="8">
        <f ca="1">IFERROR(__xludf.DUMMYFUNCTION("""COMPUTED_VALUE"""),1.08378698950962)</f>
        <v>1.0837869895096199</v>
      </c>
      <c r="I21" s="8">
        <f ca="1">IFERROR(__xludf.DUMMYFUNCTION("""COMPUTED_VALUE"""),1.07626361117986)</f>
        <v>1.07626361117986</v>
      </c>
      <c r="J21" s="8">
        <f ca="1">IFERROR(__xludf.DUMMYFUNCTION("""COMPUTED_VALUE"""),1.0791023099533)</f>
        <v>1.0791023099532999</v>
      </c>
      <c r="K21" s="8">
        <f ca="1">IFERROR(__xludf.DUMMYFUNCTION("""COMPUTED_VALUE"""),1.30302869143712)</f>
        <v>1.3030286914371201</v>
      </c>
      <c r="L21" s="8">
        <f ca="1">IFERROR(__xludf.DUMMYFUNCTION("""COMPUTED_VALUE"""),1.89574127433414)</f>
        <v>1.89574127433414</v>
      </c>
      <c r="M21" s="8">
        <f ca="1">IFERROR(__xludf.DUMMYFUNCTION("""COMPUTED_VALUE"""),0.995247981233209)</f>
        <v>0.99524798123320901</v>
      </c>
      <c r="N21" s="8">
        <f ca="1">IFERROR(__xludf.DUMMYFUNCTION("""COMPUTED_VALUE"""),1.29188933537566)</f>
        <v>1.29188933537566</v>
      </c>
      <c r="O21" s="8">
        <f ca="1">IFERROR(__xludf.DUMMYFUNCTION("""COMPUTED_VALUE"""),0.948680951573806)</f>
        <v>0.94868095157380605</v>
      </c>
      <c r="P21" s="8">
        <f ca="1">IFERROR(__xludf.DUMMYFUNCTION("""COMPUTED_VALUE"""),1.15492547030642)</f>
        <v>1.15492547030642</v>
      </c>
      <c r="Q21" s="8">
        <f ca="1">IFERROR(__xludf.DUMMYFUNCTION("""COMPUTED_VALUE"""),1.7834063339922)</f>
        <v>1.7834063339921999</v>
      </c>
      <c r="R21" s="8">
        <f ca="1">IFERROR(__xludf.DUMMYFUNCTION("""COMPUTED_VALUE"""),1.39930653011245)</f>
        <v>1.3993065301124501</v>
      </c>
      <c r="S21" s="8">
        <f ca="1">IFERROR(__xludf.DUMMYFUNCTION("""COMPUTED_VALUE"""),1.37050663828075)</f>
        <v>1.37050663828075</v>
      </c>
      <c r="T21" s="8">
        <f ca="1">IFERROR(__xludf.DUMMYFUNCTION("""COMPUTED_VALUE"""),1.17005025576843)</f>
        <v>1.17005025576843</v>
      </c>
      <c r="U21" s="8">
        <f ca="1">IFERROR(__xludf.DUMMYFUNCTION("""COMPUTED_VALUE"""),1.31125852745365)</f>
        <v>1.3112585274536499</v>
      </c>
      <c r="V21" s="8">
        <f ca="1">IFERROR(__xludf.DUMMYFUNCTION("""COMPUTED_VALUE"""),1.03622353099472)</f>
        <v>1.0362235309947201</v>
      </c>
      <c r="W21" s="8">
        <f ca="1">IFERROR(__xludf.DUMMYFUNCTION("""COMPUTED_VALUE"""),0.971900245577254)</f>
        <v>0.97190024557725396</v>
      </c>
      <c r="X21" s="8">
        <f ca="1">IFERROR(__xludf.DUMMYFUNCTION("""COMPUTED_VALUE"""),0.711488328664081)</f>
        <v>0.71148832866408096</v>
      </c>
      <c r="Y21" s="8">
        <f ca="1">IFERROR(__xludf.DUMMYFUNCTION("""COMPUTED_VALUE"""),1.34892303729573)</f>
        <v>1.3489230372957299</v>
      </c>
      <c r="Z21" s="8">
        <f ca="1">IFERROR(__xludf.DUMMYFUNCTION("""COMPUTED_VALUE"""),0.748392471213678)</f>
        <v>0.74839247121367802</v>
      </c>
      <c r="AA21" s="8">
        <f ca="1">IFERROR(__xludf.DUMMYFUNCTION("""COMPUTED_VALUE"""),1.01173884828542)</f>
        <v>1.0117388482854199</v>
      </c>
      <c r="AB21" s="8">
        <f ca="1">IFERROR(__xludf.DUMMYFUNCTION("""COMPUTED_VALUE"""),1.27083214723668)</f>
        <v>1.2708321472366799</v>
      </c>
      <c r="AC21" s="8">
        <f ca="1">IFERROR(__xludf.DUMMYFUNCTION("""COMPUTED_VALUE"""),1.21137070706459)</f>
        <v>1.21137070706459</v>
      </c>
      <c r="AD21" s="8">
        <f ca="1">IFERROR(__xludf.DUMMYFUNCTION("""COMPUTED_VALUE"""),1.4846434915296)</f>
        <v>1.4846434915296001</v>
      </c>
      <c r="AE21" s="8">
        <f ca="1">IFERROR(__xludf.DUMMYFUNCTION("""COMPUTED_VALUE"""),1.47472433303426)</f>
        <v>1.4747243330342601</v>
      </c>
      <c r="AF21" s="8">
        <f ca="1">IFERROR(__xludf.DUMMYFUNCTION("""COMPUTED_VALUE"""),1.39666875557381)</f>
        <v>1.39666875557381</v>
      </c>
      <c r="AG21" s="8">
        <f ca="1">IFERROR(__xludf.DUMMYFUNCTION("""COMPUTED_VALUE"""),1.4940371715907)</f>
        <v>1.4940371715906999</v>
      </c>
      <c r="AH21" s="8">
        <f ca="1">IFERROR(__xludf.DUMMYFUNCTION("""COMPUTED_VALUE"""),1.07330772831134)</f>
        <v>1.0733077283113399</v>
      </c>
      <c r="AI21" s="8">
        <f ca="1">IFERROR(__xludf.DUMMYFUNCTION("""COMPUTED_VALUE"""),1.78677450830059)</f>
        <v>1.7867745083005899</v>
      </c>
      <c r="AJ21" s="8">
        <f ca="1">IFERROR(__xludf.DUMMYFUNCTION("""COMPUTED_VALUE"""),0.842872277531413)</f>
        <v>0.84287227753141303</v>
      </c>
    </row>
  </sheetData>
  <pageMargins left="0.7" right="0.7" top="0.75" bottom="0.75" header="0.3" footer="0.3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A7E5-E852-4A7F-BCE6-C8A9996B3082}">
  <sheetPr codeName="Sheet3"/>
  <dimension ref="A1:AJ21"/>
  <sheetViews>
    <sheetView workbookViewId="0">
      <selection activeCell="D15" sqref="D15"/>
    </sheetView>
  </sheetViews>
  <sheetFormatPr defaultRowHeight="14.5" x14ac:dyDescent="0.35"/>
  <cols>
    <col min="1" max="1" width="13.90625" style="4" customWidth="1"/>
    <col min="2" max="16384" width="8.7265625" style="4"/>
  </cols>
  <sheetData>
    <row r="1" spans="1:36" x14ac:dyDescent="0.35">
      <c r="A1" s="4" t="s">
        <v>69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35</v>
      </c>
      <c r="O1" s="10" t="s">
        <v>36</v>
      </c>
      <c r="P1" s="10" t="s">
        <v>37</v>
      </c>
      <c r="Q1" s="10" t="s">
        <v>38</v>
      </c>
      <c r="R1" s="10" t="s">
        <v>39</v>
      </c>
      <c r="S1" s="10" t="s">
        <v>40</v>
      </c>
      <c r="T1" s="10" t="s">
        <v>41</v>
      </c>
      <c r="U1" s="10" t="s">
        <v>42</v>
      </c>
      <c r="V1" s="10" t="s">
        <v>43</v>
      </c>
      <c r="W1" s="10" t="s">
        <v>44</v>
      </c>
      <c r="X1" s="10" t="s">
        <v>45</v>
      </c>
      <c r="Y1" s="10" t="s">
        <v>46</v>
      </c>
      <c r="Z1" s="10" t="s">
        <v>47</v>
      </c>
      <c r="AA1" s="10" t="s">
        <v>48</v>
      </c>
      <c r="AB1" s="10" t="s">
        <v>49</v>
      </c>
      <c r="AC1" s="10" t="s">
        <v>50</v>
      </c>
      <c r="AD1" s="10" t="s">
        <v>51</v>
      </c>
      <c r="AE1" s="10" t="s">
        <v>52</v>
      </c>
      <c r="AF1" s="10" t="s">
        <v>53</v>
      </c>
      <c r="AG1" s="10" t="s">
        <v>54</v>
      </c>
      <c r="AH1" s="10" t="s">
        <v>55</v>
      </c>
      <c r="AI1" s="10" t="s">
        <v>56</v>
      </c>
      <c r="AJ1" s="10" t="s">
        <v>57</v>
      </c>
    </row>
    <row r="2" spans="1:36" x14ac:dyDescent="0.35">
      <c r="A2" s="6" t="s">
        <v>0</v>
      </c>
      <c r="B2" s="8">
        <v>2.3929262161254878</v>
      </c>
      <c r="C2" s="8">
        <v>1.5644546747207639</v>
      </c>
      <c r="D2" s="8">
        <v>1.8797316551208501</v>
      </c>
      <c r="E2" s="8">
        <v>1.073670029640198</v>
      </c>
      <c r="F2" s="8">
        <v>0.68791991472244263</v>
      </c>
      <c r="G2" s="8">
        <v>1.9146132469177251</v>
      </c>
      <c r="H2" s="8">
        <v>1.8995140790939331</v>
      </c>
      <c r="I2" s="8">
        <v>1.9421031475067141</v>
      </c>
      <c r="J2" s="8">
        <v>1.1463663578033449</v>
      </c>
      <c r="K2" s="8">
        <v>1.368282198905945</v>
      </c>
      <c r="L2" s="8">
        <v>1.3238228559494021</v>
      </c>
      <c r="M2" s="8">
        <v>2.0881586074829102</v>
      </c>
      <c r="N2" s="8">
        <v>1.8834999799728389</v>
      </c>
      <c r="O2" s="8">
        <v>2.135240793228149</v>
      </c>
      <c r="P2" s="8">
        <v>1.628772020339966</v>
      </c>
      <c r="Q2" s="8">
        <v>2.0962879657745361</v>
      </c>
      <c r="R2" s="8">
        <v>1.554719805717468</v>
      </c>
      <c r="S2" s="8">
        <v>1.2153360843658449</v>
      </c>
      <c r="T2" s="8">
        <v>1.6189684867858889</v>
      </c>
      <c r="U2" s="8">
        <v>1.6996386051177981</v>
      </c>
      <c r="V2" s="8">
        <v>1.9883649349212651</v>
      </c>
      <c r="W2" s="8">
        <v>2.1270477771759029</v>
      </c>
      <c r="X2" s="8">
        <v>1.4787852764129641</v>
      </c>
      <c r="Y2" s="8">
        <v>0.9388081431388855</v>
      </c>
      <c r="Z2" s="8">
        <v>1.31885290145874</v>
      </c>
      <c r="AA2" s="8">
        <v>2.051314115524292</v>
      </c>
      <c r="AB2" s="8">
        <v>1.24741530418396</v>
      </c>
      <c r="AC2" s="8">
        <v>1.3694115877151489</v>
      </c>
      <c r="AD2" s="8">
        <v>2.213140726089478</v>
      </c>
      <c r="AE2" s="8">
        <v>2.449286937713623</v>
      </c>
      <c r="AF2" s="8">
        <v>1.393734455108643</v>
      </c>
      <c r="AG2" s="8">
        <v>1.877512574195862</v>
      </c>
      <c r="AH2" s="8">
        <v>1.941145658493042</v>
      </c>
      <c r="AI2" s="8">
        <v>1.79546594619751</v>
      </c>
      <c r="AJ2" s="8">
        <v>2.6410412788391109</v>
      </c>
    </row>
    <row r="3" spans="1:36" x14ac:dyDescent="0.35">
      <c r="A3" s="6" t="s">
        <v>1</v>
      </c>
      <c r="B3" s="8">
        <v>1.348790764808655</v>
      </c>
      <c r="C3" s="8">
        <v>0.80629712343215942</v>
      </c>
      <c r="D3" s="8">
        <v>1.2507035732269289</v>
      </c>
      <c r="E3" s="8">
        <v>1.5181658267974849</v>
      </c>
      <c r="F3" s="8">
        <v>1.3640284538269041</v>
      </c>
      <c r="G3" s="8">
        <v>2.1125979423522949</v>
      </c>
      <c r="H3" s="8">
        <v>1.5067237615585329</v>
      </c>
      <c r="I3" s="8">
        <v>1.2443475723266599</v>
      </c>
      <c r="J3" s="8">
        <v>1.6887505054473879</v>
      </c>
      <c r="K3" s="8">
        <v>1.2552366256713869</v>
      </c>
      <c r="L3" s="8">
        <v>0.77909010648727417</v>
      </c>
      <c r="M3" s="8">
        <v>1.719778418540955</v>
      </c>
      <c r="N3" s="8">
        <v>1.160969614982605</v>
      </c>
      <c r="O3" s="8">
        <v>1.495518684387207</v>
      </c>
      <c r="P3" s="8">
        <v>1.7913070917129521</v>
      </c>
      <c r="Q3" s="8">
        <v>1.2843655347824099</v>
      </c>
      <c r="R3" s="8">
        <v>1.1088523864746089</v>
      </c>
      <c r="S3" s="8">
        <v>1.102280378341675</v>
      </c>
      <c r="T3" s="8">
        <v>1.6938879489898679</v>
      </c>
      <c r="U3" s="8">
        <v>1.4668112993240361</v>
      </c>
      <c r="V3" s="8">
        <v>1.3621500730514531</v>
      </c>
      <c r="W3" s="8">
        <v>1.1020528078079219</v>
      </c>
      <c r="X3" s="8">
        <v>1.566805243492126</v>
      </c>
      <c r="Y3" s="8">
        <v>1.481817364692688</v>
      </c>
      <c r="Z3" s="8">
        <v>2.2243728637695308</v>
      </c>
      <c r="AA3" s="8">
        <v>1.2669520378112791</v>
      </c>
      <c r="AB3" s="8">
        <v>1.133498072624207</v>
      </c>
      <c r="AC3" s="8">
        <v>1.0663843154907231</v>
      </c>
      <c r="AD3" s="8">
        <v>1.8818643093109131</v>
      </c>
      <c r="AE3" s="8">
        <v>1.092712879180908</v>
      </c>
      <c r="AF3" s="8">
        <v>1.7694170475006099</v>
      </c>
      <c r="AG3" s="8">
        <v>1.516769647598267</v>
      </c>
      <c r="AH3" s="8">
        <v>1.3514530658721919</v>
      </c>
      <c r="AI3" s="8">
        <v>0.5906720757484436</v>
      </c>
      <c r="AJ3" s="8">
        <v>1.7497026920318599</v>
      </c>
    </row>
    <row r="4" spans="1:36" x14ac:dyDescent="0.35">
      <c r="A4" s="6" t="s">
        <v>2</v>
      </c>
      <c r="B4" s="8">
        <v>1.3064602613449099</v>
      </c>
      <c r="C4" s="8">
        <v>1.360747337341309</v>
      </c>
      <c r="D4" s="8">
        <v>1.1341450214385991</v>
      </c>
      <c r="E4" s="8">
        <v>1.2589104175567629</v>
      </c>
      <c r="F4" s="8">
        <v>0.74219685792922974</v>
      </c>
      <c r="G4" s="8">
        <v>1.5606386661529541</v>
      </c>
      <c r="H4" s="8">
        <v>1.011543750762939</v>
      </c>
      <c r="I4" s="8">
        <v>0.77833092212677002</v>
      </c>
      <c r="J4" s="8">
        <v>1.1624013185501101</v>
      </c>
      <c r="K4" s="8">
        <v>0.74216264486312866</v>
      </c>
      <c r="L4" s="8">
        <v>1.1334570646286011</v>
      </c>
      <c r="M4" s="8">
        <v>1.578647255897522</v>
      </c>
      <c r="N4" s="8">
        <v>1.1879914999008181</v>
      </c>
      <c r="O4" s="8">
        <v>0.9848819375038147</v>
      </c>
      <c r="P4" s="8">
        <v>1.4507541656494141</v>
      </c>
      <c r="Q4" s="8">
        <v>1.5136972665786741</v>
      </c>
      <c r="R4" s="8">
        <v>0.96253538131713867</v>
      </c>
      <c r="S4" s="8">
        <v>1.6594066619873049</v>
      </c>
      <c r="T4" s="8">
        <v>1.122737050056458</v>
      </c>
      <c r="U4" s="8">
        <v>1.799859881401062</v>
      </c>
      <c r="V4" s="8">
        <v>0.88975679874420166</v>
      </c>
      <c r="W4" s="8">
        <v>1.1858257055282591</v>
      </c>
      <c r="X4" s="8">
        <v>1.586115717887878</v>
      </c>
      <c r="Y4" s="8">
        <v>1.6863557100296021</v>
      </c>
      <c r="Z4" s="8">
        <v>1.69713819026947</v>
      </c>
      <c r="AA4" s="8">
        <v>0.99130308628082275</v>
      </c>
      <c r="AB4" s="8">
        <v>1.1231627464294429</v>
      </c>
      <c r="AC4" s="8">
        <v>1.282966256141663</v>
      </c>
      <c r="AD4" s="8">
        <v>1.26953649520874</v>
      </c>
      <c r="AE4" s="8">
        <v>2.65944504737854</v>
      </c>
      <c r="AF4" s="8">
        <v>1.1781038045883181</v>
      </c>
      <c r="AG4" s="8">
        <v>1.46902072429657</v>
      </c>
      <c r="AH4" s="8">
        <v>1.073251366615295</v>
      </c>
      <c r="AI4" s="8">
        <v>1.578492999076843</v>
      </c>
      <c r="AJ4" s="8">
        <v>0.7648504376411438</v>
      </c>
    </row>
    <row r="5" spans="1:36" x14ac:dyDescent="0.35">
      <c r="A5" s="6" t="s">
        <v>3</v>
      </c>
      <c r="B5" s="8">
        <v>1.270194530487061</v>
      </c>
      <c r="C5" s="8">
        <v>0.72787696123123169</v>
      </c>
      <c r="D5" s="8">
        <v>2.1938643455505371</v>
      </c>
      <c r="E5" s="8">
        <v>0.66743969917297363</v>
      </c>
      <c r="F5" s="8">
        <v>1.153160452842712</v>
      </c>
      <c r="G5" s="8">
        <v>1.5154522657394409</v>
      </c>
      <c r="H5" s="8">
        <v>1.539165854454041</v>
      </c>
      <c r="I5" s="8">
        <v>1.221028685569763</v>
      </c>
      <c r="J5" s="8">
        <v>2.3335199356079102</v>
      </c>
      <c r="K5" s="8">
        <v>1.7355693578720091</v>
      </c>
      <c r="L5" s="8">
        <v>1.948560357093811</v>
      </c>
      <c r="M5" s="8">
        <v>1.169450044631958</v>
      </c>
      <c r="N5" s="8">
        <v>1.244113445281982</v>
      </c>
      <c r="O5" s="8">
        <v>1.066195487976074</v>
      </c>
      <c r="P5" s="8">
        <v>1.6434023380279541</v>
      </c>
      <c r="Q5" s="8">
        <v>1.3247169256210329</v>
      </c>
      <c r="R5" s="8">
        <v>1.570867776870728</v>
      </c>
      <c r="S5" s="8">
        <v>1.1595005989074709</v>
      </c>
      <c r="T5" s="8">
        <v>0.94255262613296509</v>
      </c>
      <c r="U5" s="8">
        <v>1.533316493034363</v>
      </c>
      <c r="V5" s="8">
        <v>0.99423658847808838</v>
      </c>
      <c r="W5" s="8">
        <v>1.485055804252625</v>
      </c>
      <c r="X5" s="8">
        <v>1.201058149337769</v>
      </c>
      <c r="Y5" s="8">
        <v>1.614291191101074</v>
      </c>
      <c r="Z5" s="8">
        <v>1.321176171302795</v>
      </c>
      <c r="AA5" s="8">
        <v>1.3359237909317021</v>
      </c>
      <c r="AB5" s="8">
        <v>1.5667986869812009</v>
      </c>
      <c r="AC5" s="8">
        <v>1.6016737222671511</v>
      </c>
      <c r="AD5" s="8">
        <v>0.95380574464797974</v>
      </c>
      <c r="AE5" s="8">
        <v>1.153110146522522</v>
      </c>
      <c r="AF5" s="8">
        <v>1.746267437934875</v>
      </c>
      <c r="AG5" s="8">
        <v>0.99331188201904297</v>
      </c>
      <c r="AH5" s="8">
        <v>1.27821946144104</v>
      </c>
      <c r="AI5" s="8">
        <v>1.571117162704468</v>
      </c>
      <c r="AJ5" s="8">
        <v>1.358351349830627</v>
      </c>
    </row>
    <row r="6" spans="1:36" x14ac:dyDescent="0.35">
      <c r="A6" s="6" t="s">
        <v>4</v>
      </c>
      <c r="B6" s="8">
        <v>1.3786683082580571</v>
      </c>
      <c r="C6" s="8">
        <v>2.1739742755889888</v>
      </c>
      <c r="D6" s="8">
        <v>0.95240509510040283</v>
      </c>
      <c r="E6" s="8">
        <v>1.8747144937515261</v>
      </c>
      <c r="F6" s="8">
        <v>1.4708948135375981</v>
      </c>
      <c r="G6" s="8">
        <v>1.3284568786621089</v>
      </c>
      <c r="H6" s="8">
        <v>1.711880564689636</v>
      </c>
      <c r="I6" s="8">
        <v>1.2294918298721309</v>
      </c>
      <c r="J6" s="8">
        <v>2.0287826061248779</v>
      </c>
      <c r="K6" s="8">
        <v>0.9369317889213562</v>
      </c>
      <c r="L6" s="8">
        <v>1.201663136482239</v>
      </c>
      <c r="M6" s="8">
        <v>1.3298487663269041</v>
      </c>
      <c r="N6" s="8">
        <v>2.0291697978973389</v>
      </c>
      <c r="O6" s="8">
        <v>1.179579019546509</v>
      </c>
      <c r="P6" s="8">
        <v>1.3290801048278811</v>
      </c>
      <c r="Q6" s="8">
        <v>1.767544627189636</v>
      </c>
      <c r="R6" s="8">
        <v>1.4917494058609011</v>
      </c>
      <c r="S6" s="8">
        <v>2.191407442092896</v>
      </c>
      <c r="T6" s="8">
        <v>1.228216171264648</v>
      </c>
      <c r="U6" s="8">
        <v>0.94272845983505249</v>
      </c>
      <c r="V6" s="8">
        <v>1.086585164070129</v>
      </c>
      <c r="W6" s="8">
        <v>1.2968790531158449</v>
      </c>
      <c r="X6" s="8">
        <v>1.731486439704895</v>
      </c>
      <c r="Y6" s="8">
        <v>1.4491754770278931</v>
      </c>
      <c r="Z6" s="8">
        <v>1.405316233634949</v>
      </c>
      <c r="AA6" s="8">
        <v>1.1777669191360469</v>
      </c>
      <c r="AB6" s="8">
        <v>1.772046685218811</v>
      </c>
      <c r="AC6" s="8">
        <v>1.7778778076171879</v>
      </c>
      <c r="AD6" s="8">
        <v>0.3864617645740509</v>
      </c>
      <c r="AE6" s="8">
        <v>2.0624582767486568</v>
      </c>
      <c r="AF6" s="8">
        <v>1.564889550209045</v>
      </c>
      <c r="AG6" s="8">
        <v>1.326916575431824</v>
      </c>
      <c r="AH6" s="8">
        <v>1.307400107383728</v>
      </c>
      <c r="AI6" s="8">
        <v>1.33961009979248</v>
      </c>
      <c r="AJ6" s="8">
        <v>1.4878247976303101</v>
      </c>
    </row>
    <row r="7" spans="1:36" x14ac:dyDescent="0.35">
      <c r="A7" s="6" t="s">
        <v>5</v>
      </c>
      <c r="B7" s="8">
        <v>1.358801960945129</v>
      </c>
      <c r="C7" s="8">
        <v>1.311506986618042</v>
      </c>
      <c r="D7" s="8">
        <v>1.8937902450561519</v>
      </c>
      <c r="E7" s="8">
        <v>1.472344756126404</v>
      </c>
      <c r="F7" s="8">
        <v>1.7437634468078611</v>
      </c>
      <c r="G7" s="8">
        <v>1.4372497797012329</v>
      </c>
      <c r="H7" s="8">
        <v>2.129759550094604</v>
      </c>
      <c r="I7" s="8">
        <v>0.87258529663085938</v>
      </c>
      <c r="J7" s="8">
        <v>1.88089382648468</v>
      </c>
      <c r="K7" s="8">
        <v>1.605970144271851</v>
      </c>
      <c r="L7" s="8">
        <v>1.1261695623397829</v>
      </c>
      <c r="M7" s="8">
        <v>1.4159901142120359</v>
      </c>
      <c r="N7" s="8">
        <v>1.6230317354202271</v>
      </c>
      <c r="O7" s="8">
        <v>2.0954303741455078</v>
      </c>
      <c r="P7" s="8">
        <v>2.3697092533111568</v>
      </c>
      <c r="Q7" s="8">
        <v>1.5488543510437009</v>
      </c>
      <c r="R7" s="8">
        <v>1.0950386524200439</v>
      </c>
      <c r="S7" s="8">
        <v>1.90753710269928</v>
      </c>
      <c r="T7" s="8">
        <v>1.8790880441665649</v>
      </c>
      <c r="U7" s="8">
        <v>1.32543957233429</v>
      </c>
      <c r="V7" s="8">
        <v>1.8156701326370239</v>
      </c>
      <c r="W7" s="8">
        <v>1.770001173019409</v>
      </c>
      <c r="X7" s="8">
        <v>0.76323246955871582</v>
      </c>
      <c r="Y7" s="8">
        <v>2.354912281036377</v>
      </c>
      <c r="Z7" s="8">
        <v>1.432894825935364</v>
      </c>
      <c r="AA7" s="8">
        <v>2.0032930374145508</v>
      </c>
      <c r="AB7" s="8">
        <v>2.1312003135681148</v>
      </c>
      <c r="AC7" s="8">
        <v>2.0490481853485112</v>
      </c>
      <c r="AD7" s="8">
        <v>1.636508464813232</v>
      </c>
      <c r="AE7" s="8">
        <v>1.673733115196228</v>
      </c>
      <c r="AF7" s="8">
        <v>1.40624463558197</v>
      </c>
      <c r="AG7" s="8">
        <v>2.4244966506958008</v>
      </c>
      <c r="AH7" s="8">
        <v>1.486256957054138</v>
      </c>
      <c r="AI7" s="8">
        <v>2.1936428546905522</v>
      </c>
      <c r="AJ7" s="8">
        <v>1.462334990501404</v>
      </c>
    </row>
    <row r="8" spans="1:36" x14ac:dyDescent="0.35">
      <c r="A8" s="6" t="s">
        <v>6</v>
      </c>
      <c r="B8" s="8">
        <v>1.077095031738281</v>
      </c>
      <c r="C8" s="8">
        <v>1.574870228767395</v>
      </c>
      <c r="D8" s="8">
        <v>0.79498946666717529</v>
      </c>
      <c r="E8" s="8">
        <v>1.565240740776062</v>
      </c>
      <c r="F8" s="8">
        <v>1.2065144777297969</v>
      </c>
      <c r="G8" s="8">
        <v>1.089632511138916</v>
      </c>
      <c r="H8" s="8">
        <v>1.296294689178467</v>
      </c>
      <c r="I8" s="8">
        <v>1.2471809387207029</v>
      </c>
      <c r="J8" s="8">
        <v>1.209376215934753</v>
      </c>
      <c r="K8" s="8">
        <v>1.6092090606689451</v>
      </c>
      <c r="L8" s="8">
        <v>1.027592539787292</v>
      </c>
      <c r="M8" s="8">
        <v>1.139960408210754</v>
      </c>
      <c r="N8" s="8">
        <v>1.3058451414108281</v>
      </c>
      <c r="O8" s="8">
        <v>1.468616127967834</v>
      </c>
      <c r="P8" s="8">
        <v>0.76304751634597778</v>
      </c>
      <c r="Q8" s="8">
        <v>0.79898685216903687</v>
      </c>
      <c r="R8" s="8">
        <v>0.99175256490707397</v>
      </c>
      <c r="S8" s="8">
        <v>1.1310633420944209</v>
      </c>
      <c r="T8" s="8">
        <v>1.338193535804749</v>
      </c>
      <c r="U8" s="8">
        <v>0.93363398313522339</v>
      </c>
      <c r="V8" s="8">
        <v>1.025170683860779</v>
      </c>
      <c r="W8" s="8">
        <v>1.1130861043930049</v>
      </c>
      <c r="X8" s="8">
        <v>1.353171825408936</v>
      </c>
      <c r="Y8" s="8">
        <v>1.1431398391723631</v>
      </c>
      <c r="Z8" s="8">
        <v>1.441969037055969</v>
      </c>
      <c r="AA8" s="8">
        <v>1.429099559783936</v>
      </c>
      <c r="AB8" s="8">
        <v>1.633111834526062</v>
      </c>
      <c r="AC8" s="8">
        <v>1.7034957408905029</v>
      </c>
      <c r="AD8" s="8">
        <v>1.007204055786133</v>
      </c>
      <c r="AE8" s="8">
        <v>1.2265892028808589</v>
      </c>
      <c r="AF8" s="8">
        <v>1.2873600721359251</v>
      </c>
      <c r="AG8" s="8">
        <v>0.48649817705154419</v>
      </c>
      <c r="AH8" s="8">
        <v>1.632905960083008</v>
      </c>
      <c r="AI8" s="8">
        <v>0.75497746467590332</v>
      </c>
      <c r="AJ8" s="8">
        <v>1.5334141254425051</v>
      </c>
    </row>
    <row r="9" spans="1:36" x14ac:dyDescent="0.35">
      <c r="A9" s="6" t="s">
        <v>7</v>
      </c>
      <c r="B9" s="8">
        <v>1.1402162313461299</v>
      </c>
      <c r="C9" s="8">
        <v>0.93155348300933838</v>
      </c>
      <c r="D9" s="8">
        <v>1.5713125467300419</v>
      </c>
      <c r="E9" s="8">
        <v>1.0284321308135991</v>
      </c>
      <c r="F9" s="8">
        <v>1.6676557064056401</v>
      </c>
      <c r="G9" s="8">
        <v>1.433870792388916</v>
      </c>
      <c r="H9" s="8">
        <v>1.425654292106628</v>
      </c>
      <c r="I9" s="8">
        <v>1.0507216453552251</v>
      </c>
      <c r="J9" s="8">
        <v>1.137391090393066</v>
      </c>
      <c r="K9" s="8">
        <v>1.048341631889343</v>
      </c>
      <c r="L9" s="8">
        <v>1.0411001443862919</v>
      </c>
      <c r="M9" s="8">
        <v>1.2257182598114009</v>
      </c>
      <c r="N9" s="8">
        <v>1.242974638938904</v>
      </c>
      <c r="O9" s="8">
        <v>1.2785049676895139</v>
      </c>
      <c r="P9" s="8">
        <v>1.0176988840103149</v>
      </c>
      <c r="Q9" s="8">
        <v>0.82854437828063965</v>
      </c>
      <c r="R9" s="8">
        <v>1.16849672794342</v>
      </c>
      <c r="S9" s="8">
        <v>0.54335010051727295</v>
      </c>
      <c r="T9" s="8">
        <v>1.155275821685791</v>
      </c>
      <c r="U9" s="8">
        <v>1.1050339937210081</v>
      </c>
      <c r="V9" s="8">
        <v>1.521004915237427</v>
      </c>
      <c r="W9" s="8">
        <v>1.3522722721099849</v>
      </c>
      <c r="X9" s="8">
        <v>1.0933793783187871</v>
      </c>
      <c r="Y9" s="8">
        <v>1.3551551103591919</v>
      </c>
      <c r="Z9" s="8">
        <v>1.2238864898681641</v>
      </c>
      <c r="AA9" s="8">
        <v>1.2885949611663821</v>
      </c>
      <c r="AB9" s="8">
        <v>1.214758992195129</v>
      </c>
      <c r="AC9" s="8">
        <v>1.41802990436554</v>
      </c>
      <c r="AD9" s="8">
        <v>1.3588910102844241</v>
      </c>
      <c r="AE9" s="8">
        <v>0.79038751125335693</v>
      </c>
      <c r="AF9" s="8">
        <v>0.9505542516708374</v>
      </c>
      <c r="AG9" s="8">
        <v>1.2883725166320801</v>
      </c>
      <c r="AH9" s="8">
        <v>0.85014420747756958</v>
      </c>
      <c r="AI9" s="8">
        <v>0.95100557804107666</v>
      </c>
      <c r="AJ9" s="8">
        <v>2.7889683246612549</v>
      </c>
    </row>
    <row r="10" spans="1:36" x14ac:dyDescent="0.35">
      <c r="A10" s="6" t="s">
        <v>8</v>
      </c>
      <c r="B10" s="8">
        <v>1.2293746471405029</v>
      </c>
      <c r="C10" s="8">
        <v>1.158592700958252</v>
      </c>
      <c r="D10" s="8">
        <v>1.097521305084229</v>
      </c>
      <c r="E10" s="8">
        <v>1.59110963344574</v>
      </c>
      <c r="F10" s="8">
        <v>1.063407778739929</v>
      </c>
      <c r="G10" s="8">
        <v>1.0728186368942261</v>
      </c>
      <c r="H10" s="8">
        <v>0.8388856053352356</v>
      </c>
      <c r="I10" s="8">
        <v>1.2972844839096069</v>
      </c>
      <c r="J10" s="8">
        <v>1.500888347625732</v>
      </c>
      <c r="K10" s="8">
        <v>1.2608709335327151</v>
      </c>
      <c r="L10" s="8">
        <v>1.243739128112793</v>
      </c>
      <c r="M10" s="8">
        <v>1.584093332290649</v>
      </c>
      <c r="N10" s="8">
        <v>0.96531343460083008</v>
      </c>
      <c r="O10" s="8">
        <v>1.255969882011414</v>
      </c>
      <c r="P10" s="8">
        <v>0.74698585271835327</v>
      </c>
      <c r="Q10" s="8">
        <v>0.91984099149703979</v>
      </c>
      <c r="R10" s="8">
        <v>1.3750342130661011</v>
      </c>
      <c r="S10" s="8">
        <v>0.8203389048576355</v>
      </c>
      <c r="T10" s="8">
        <v>1.5816279649734499</v>
      </c>
      <c r="U10" s="8">
        <v>2.903443336486816</v>
      </c>
      <c r="V10" s="8">
        <v>1.512860178947449</v>
      </c>
      <c r="W10" s="8">
        <v>1.554218173027039</v>
      </c>
      <c r="X10" s="8">
        <v>1.376510858535767</v>
      </c>
      <c r="Y10" s="8">
        <v>0.98939806222915649</v>
      </c>
      <c r="Z10" s="8">
        <v>1.3743200302124019</v>
      </c>
      <c r="AA10" s="8">
        <v>1.2669357061386111</v>
      </c>
      <c r="AB10" s="8">
        <v>1.4971659183502199</v>
      </c>
      <c r="AC10" s="8">
        <v>0.96014976501464844</v>
      </c>
      <c r="AD10" s="8">
        <v>1.216704726219177</v>
      </c>
      <c r="AE10" s="8">
        <v>0.89109325408935547</v>
      </c>
      <c r="AF10" s="8">
        <v>1.280702471733093</v>
      </c>
      <c r="AG10" s="8">
        <v>1.2393277883529661</v>
      </c>
      <c r="AH10" s="8">
        <v>1.1254187822341919</v>
      </c>
      <c r="AI10" s="8">
        <v>1.78328001499176</v>
      </c>
      <c r="AJ10" s="8">
        <v>0.87685859203338623</v>
      </c>
    </row>
    <row r="11" spans="1:36" x14ac:dyDescent="0.35">
      <c r="A11" s="6" t="s">
        <v>9</v>
      </c>
      <c r="B11" s="8">
        <v>1.082216739654541</v>
      </c>
      <c r="C11" s="8">
        <v>0.62773770093917847</v>
      </c>
      <c r="D11" s="8">
        <v>1.12408459186554</v>
      </c>
      <c r="E11" s="8">
        <v>0.855904221534729</v>
      </c>
      <c r="F11" s="8">
        <v>0.92809027433395386</v>
      </c>
      <c r="G11" s="8">
        <v>1.391598582267761</v>
      </c>
      <c r="H11" s="8">
        <v>0.72495138645172119</v>
      </c>
      <c r="I11" s="8">
        <v>0.98344600200653076</v>
      </c>
      <c r="J11" s="8">
        <v>0.62628960609436035</v>
      </c>
      <c r="K11" s="8">
        <v>1.163049459457397</v>
      </c>
      <c r="L11" s="8">
        <v>1.106145977973938</v>
      </c>
      <c r="M11" s="8">
        <v>0.99437671899795532</v>
      </c>
      <c r="N11" s="8">
        <v>0.71055573225021362</v>
      </c>
      <c r="O11" s="8">
        <v>0.87524878978729248</v>
      </c>
      <c r="P11" s="8">
        <v>1.1399375200271611</v>
      </c>
      <c r="Q11" s="8">
        <v>1.0409412384033201</v>
      </c>
      <c r="R11" s="8">
        <v>0.76333940029144287</v>
      </c>
      <c r="S11" s="8">
        <v>0.58034908771514893</v>
      </c>
      <c r="T11" s="8">
        <v>0.92204636335372925</v>
      </c>
      <c r="U11" s="8">
        <v>0.75140392780303955</v>
      </c>
      <c r="V11" s="8">
        <v>1.10801112651825</v>
      </c>
      <c r="W11" s="8">
        <v>0.78705018758773804</v>
      </c>
      <c r="X11" s="8">
        <v>0.6973077654838562</v>
      </c>
      <c r="Y11" s="8">
        <v>2.0857832431793208</v>
      </c>
      <c r="Z11" s="8">
        <v>0.96793669462203979</v>
      </c>
      <c r="AA11" s="8">
        <v>1.1665997505187991</v>
      </c>
      <c r="AB11" s="8">
        <v>1.4547945261001589</v>
      </c>
      <c r="AC11" s="8">
        <v>0.82387906312942505</v>
      </c>
      <c r="AD11" s="8">
        <v>1.038490772247314</v>
      </c>
      <c r="AE11" s="8">
        <v>1.065601229667664</v>
      </c>
      <c r="AF11" s="8">
        <v>0.89859467744827271</v>
      </c>
      <c r="AG11" s="8">
        <v>0.67210417985916138</v>
      </c>
      <c r="AH11" s="8">
        <v>0.64252197742462158</v>
      </c>
      <c r="AI11" s="8">
        <v>0.78906559944152832</v>
      </c>
      <c r="AJ11" s="8">
        <v>0.81265389919281006</v>
      </c>
    </row>
    <row r="12" spans="1:36" x14ac:dyDescent="0.35">
      <c r="A12" s="6" t="s">
        <v>10</v>
      </c>
      <c r="B12" s="8">
        <v>1.472630620002747</v>
      </c>
      <c r="C12" s="8">
        <v>1.6348040103912349</v>
      </c>
      <c r="D12" s="8">
        <v>1.1534373760223391</v>
      </c>
      <c r="E12" s="8">
        <v>1.175451278686523</v>
      </c>
      <c r="F12" s="8">
        <v>1.732568025588989</v>
      </c>
      <c r="G12" s="8">
        <v>0.77336382865905762</v>
      </c>
      <c r="H12" s="8">
        <v>1.851236939430237</v>
      </c>
      <c r="I12" s="8">
        <v>1.8764408826828001</v>
      </c>
      <c r="J12" s="8">
        <v>1.4903653860092161</v>
      </c>
      <c r="K12" s="8">
        <v>1.3342857360839839</v>
      </c>
      <c r="L12" s="8">
        <v>1.153674840927124</v>
      </c>
      <c r="M12" s="8">
        <v>1.4253420829772949</v>
      </c>
      <c r="N12" s="8">
        <v>1.347842693328857</v>
      </c>
      <c r="O12" s="8">
        <v>1.3593719005584719</v>
      </c>
      <c r="P12" s="8">
        <v>1.567245721817017</v>
      </c>
      <c r="Q12" s="8">
        <v>0.71466726064682007</v>
      </c>
      <c r="R12" s="8">
        <v>1.6528429985046389</v>
      </c>
      <c r="S12" s="8">
        <v>0.96206492185592651</v>
      </c>
      <c r="T12" s="8">
        <v>0.70628196001052856</v>
      </c>
      <c r="U12" s="8">
        <v>1.185465335845947</v>
      </c>
      <c r="V12" s="8">
        <v>1.3478596210479741</v>
      </c>
      <c r="W12" s="8">
        <v>1.4827084541320801</v>
      </c>
      <c r="X12" s="8">
        <v>1.35966956615448</v>
      </c>
      <c r="Y12" s="8">
        <v>1.3864670991897581</v>
      </c>
      <c r="Z12" s="8">
        <v>0.71801406145095825</v>
      </c>
      <c r="AA12" s="8">
        <v>1.04174792766571</v>
      </c>
      <c r="AB12" s="8">
        <v>1.3350372314453121</v>
      </c>
      <c r="AC12" s="8">
        <v>1.171932578086853</v>
      </c>
      <c r="AD12" s="8">
        <v>1.391845107078552</v>
      </c>
      <c r="AE12" s="8">
        <v>1.7104722261428831</v>
      </c>
      <c r="AF12" s="8">
        <v>1.3256993293762209</v>
      </c>
      <c r="AG12" s="8">
        <v>0.8326689600944519</v>
      </c>
      <c r="AH12" s="8">
        <v>0.91060256958007813</v>
      </c>
      <c r="AI12" s="8">
        <v>0.9634239673614502</v>
      </c>
      <c r="AJ12" s="8">
        <v>1.340015053749084</v>
      </c>
    </row>
    <row r="13" spans="1:36" x14ac:dyDescent="0.35">
      <c r="A13" s="6" t="s">
        <v>11</v>
      </c>
      <c r="B13" s="8">
        <v>1.8566199541091919</v>
      </c>
      <c r="C13" s="8">
        <v>2.238118171691895</v>
      </c>
      <c r="D13" s="8">
        <v>2.486784934997559</v>
      </c>
      <c r="E13" s="8">
        <v>2.7393310070037842</v>
      </c>
      <c r="F13" s="8">
        <v>2.6046042442321782</v>
      </c>
      <c r="G13" s="8">
        <v>2.1100368499755859</v>
      </c>
      <c r="H13" s="8">
        <v>1.810400724411011</v>
      </c>
      <c r="I13" s="8">
        <v>1.908769965171814</v>
      </c>
      <c r="J13" s="8">
        <v>1.4528733491897581</v>
      </c>
      <c r="K13" s="8">
        <v>1.828703761100769</v>
      </c>
      <c r="L13" s="8">
        <v>2.013385534286499</v>
      </c>
      <c r="M13" s="8">
        <v>2.4111061096191411</v>
      </c>
      <c r="N13" s="8">
        <v>1.7033141851425171</v>
      </c>
      <c r="O13" s="8">
        <v>1.5662586688995359</v>
      </c>
      <c r="P13" s="8">
        <v>2.2800054550170898</v>
      </c>
      <c r="Q13" s="8">
        <v>2.1361680030822749</v>
      </c>
      <c r="R13" s="8">
        <v>1.66782546043396</v>
      </c>
      <c r="S13" s="8">
        <v>2.4078981876373291</v>
      </c>
      <c r="T13" s="8">
        <v>1.5869846343994141</v>
      </c>
      <c r="U13" s="8">
        <v>2.0374610424041748</v>
      </c>
      <c r="V13" s="8">
        <v>1.8228651285171511</v>
      </c>
      <c r="W13" s="8">
        <v>2.0773360729217529</v>
      </c>
      <c r="X13" s="8">
        <v>3.0163180828094478</v>
      </c>
      <c r="Y13" s="8">
        <v>1.9230597019195561</v>
      </c>
      <c r="Z13" s="8">
        <v>2.206148624420166</v>
      </c>
      <c r="AA13" s="8">
        <v>1.037015318870544</v>
      </c>
      <c r="AB13" s="8">
        <v>3.0200626850128169</v>
      </c>
      <c r="AC13" s="8">
        <v>2.153834342956543</v>
      </c>
      <c r="AD13" s="8">
        <v>2.156186580657959</v>
      </c>
      <c r="AE13" s="8">
        <v>2.1093041896820068</v>
      </c>
      <c r="AF13" s="8">
        <v>1.8072401285171511</v>
      </c>
      <c r="AG13" s="8">
        <v>2.3446145057678218</v>
      </c>
      <c r="AH13" s="8">
        <v>2.1959588527679439</v>
      </c>
      <c r="AI13" s="8">
        <v>2.304385662078857</v>
      </c>
      <c r="AJ13" s="8">
        <v>1.2161968946456909</v>
      </c>
    </row>
    <row r="14" spans="1:36" x14ac:dyDescent="0.35">
      <c r="A14" s="6" t="s">
        <v>12</v>
      </c>
      <c r="B14" s="8">
        <v>2.3581159114837651</v>
      </c>
      <c r="C14" s="8">
        <v>2.7032706737518311</v>
      </c>
      <c r="D14" s="8">
        <v>2.394019603729248</v>
      </c>
      <c r="E14" s="8">
        <v>2.2763996124267578</v>
      </c>
      <c r="F14" s="8">
        <v>2.187080860137939</v>
      </c>
      <c r="G14" s="8">
        <v>2.4470772743225102</v>
      </c>
      <c r="H14" s="8">
        <v>1.940568089485168</v>
      </c>
      <c r="I14" s="8">
        <v>1.9174150228500371</v>
      </c>
      <c r="J14" s="8">
        <v>1.9702684879302981</v>
      </c>
      <c r="K14" s="8">
        <v>2.0730020999908452</v>
      </c>
      <c r="L14" s="8">
        <v>1.9066363573074341</v>
      </c>
      <c r="M14" s="8">
        <v>2.2591004371643071</v>
      </c>
      <c r="N14" s="8">
        <v>1.802762985229492</v>
      </c>
      <c r="O14" s="8">
        <v>1.982011079788208</v>
      </c>
      <c r="P14" s="8">
        <v>2.1870725154876709</v>
      </c>
      <c r="Q14" s="8">
        <v>2.7959105968475342</v>
      </c>
      <c r="R14" s="8">
        <v>1.5506840944290159</v>
      </c>
      <c r="S14" s="8">
        <v>2.0243363380432129</v>
      </c>
      <c r="T14" s="8">
        <v>1.992811799049377</v>
      </c>
      <c r="U14" s="8">
        <v>1.847583532333374</v>
      </c>
      <c r="V14" s="8">
        <v>1.4994686841964719</v>
      </c>
      <c r="W14" s="8">
        <v>3.9519650936126709</v>
      </c>
      <c r="X14" s="8">
        <v>1.7942206859588621</v>
      </c>
      <c r="Y14" s="8">
        <v>1.4619584083557129</v>
      </c>
      <c r="Z14" s="8">
        <v>2.0513396263122559</v>
      </c>
      <c r="AA14" s="8">
        <v>1.3210405111312871</v>
      </c>
      <c r="AB14" s="8">
        <v>1.783692479133606</v>
      </c>
      <c r="AC14" s="8">
        <v>1.7837092876434331</v>
      </c>
      <c r="AD14" s="8">
        <v>1.6991474628448491</v>
      </c>
      <c r="AE14" s="8">
        <v>1.6638526916503911</v>
      </c>
      <c r="AF14" s="8">
        <v>1.3933379650115969</v>
      </c>
      <c r="AG14" s="8">
        <v>1.4377856254577639</v>
      </c>
      <c r="AH14" s="8">
        <v>1.6818723678588869</v>
      </c>
      <c r="AI14" s="8">
        <v>3.065041065216064</v>
      </c>
      <c r="AJ14" s="8">
        <v>2.808948278427124</v>
      </c>
    </row>
    <row r="15" spans="1:36" x14ac:dyDescent="0.35">
      <c r="A15" s="6" t="s">
        <v>13</v>
      </c>
      <c r="B15" s="8">
        <v>1.5964978933334351</v>
      </c>
      <c r="C15" s="8">
        <v>1.201033234596252</v>
      </c>
      <c r="D15" s="8">
        <v>1.399904251098633</v>
      </c>
      <c r="E15" s="8">
        <v>1.5410773754119871</v>
      </c>
      <c r="F15" s="8">
        <v>1.1873335838317871</v>
      </c>
      <c r="G15" s="8">
        <v>1.1708143949508669</v>
      </c>
      <c r="H15" s="8">
        <v>1.314858555793762</v>
      </c>
      <c r="I15" s="8">
        <v>1.2916111946105959</v>
      </c>
      <c r="J15" s="8">
        <v>1.1624013185501101</v>
      </c>
      <c r="K15" s="8">
        <v>2.3608143329620361</v>
      </c>
      <c r="L15" s="8">
        <v>1.5381671190261841</v>
      </c>
      <c r="M15" s="8">
        <v>2.0201196670532231</v>
      </c>
      <c r="N15" s="8">
        <v>1.524198532104492</v>
      </c>
      <c r="O15" s="8">
        <v>1.135291218757629</v>
      </c>
      <c r="P15" s="8">
        <v>1.8622323274612429</v>
      </c>
      <c r="Q15" s="8">
        <v>0.59908777475357056</v>
      </c>
      <c r="R15" s="8">
        <v>1.694149494171143</v>
      </c>
      <c r="S15" s="8">
        <v>1.7038567066192629</v>
      </c>
      <c r="T15" s="8">
        <v>1.484158396720886</v>
      </c>
      <c r="U15" s="8">
        <v>0.76646119356155396</v>
      </c>
      <c r="V15" s="8">
        <v>2.3948297500610352</v>
      </c>
      <c r="W15" s="8">
        <v>1.4946926832199099</v>
      </c>
      <c r="X15" s="8">
        <v>1.1804943084716799</v>
      </c>
      <c r="Y15" s="8">
        <v>1.569720983505249</v>
      </c>
      <c r="Z15" s="8">
        <v>1.5811642408370969</v>
      </c>
      <c r="AA15" s="8">
        <v>1.373952984809875</v>
      </c>
      <c r="AB15" s="8">
        <v>2.2264986038208008</v>
      </c>
      <c r="AC15" s="8">
        <v>0.85398375988006592</v>
      </c>
      <c r="AD15" s="8">
        <v>1.423442482948303</v>
      </c>
      <c r="AE15" s="8">
        <v>1.3841860294342041</v>
      </c>
      <c r="AF15" s="8">
        <v>1.1730455160140989</v>
      </c>
      <c r="AG15" s="8">
        <v>1.302610516548157</v>
      </c>
      <c r="AH15" s="8">
        <v>2.077325582504272</v>
      </c>
      <c r="AI15" s="8">
        <v>1.363089442253113</v>
      </c>
      <c r="AJ15" s="8">
        <v>1.141839861869812</v>
      </c>
    </row>
    <row r="16" spans="1:36" x14ac:dyDescent="0.35">
      <c r="A16" s="6" t="s">
        <v>14</v>
      </c>
      <c r="B16" s="8">
        <v>1.641333222389221</v>
      </c>
      <c r="C16" s="8">
        <v>1.3569750785827639</v>
      </c>
      <c r="D16" s="8">
        <v>2.4413716793060298</v>
      </c>
      <c r="E16" s="8">
        <v>1.297576308250427</v>
      </c>
      <c r="F16" s="8">
        <v>1.5653325319290159</v>
      </c>
      <c r="G16" s="8">
        <v>0.94948190450668335</v>
      </c>
      <c r="H16" s="8">
        <v>1.5746409893035891</v>
      </c>
      <c r="I16" s="8">
        <v>1.8800415992736821</v>
      </c>
      <c r="J16" s="8">
        <v>1.0220011472702031</v>
      </c>
      <c r="K16" s="8">
        <v>0.89206111431121826</v>
      </c>
      <c r="L16" s="8">
        <v>1.0327328443527219</v>
      </c>
      <c r="M16" s="8">
        <v>1.994516968727112</v>
      </c>
      <c r="N16" s="8">
        <v>1.072803735733032</v>
      </c>
      <c r="O16" s="8">
        <v>1.095718145370483</v>
      </c>
      <c r="P16" s="8">
        <v>1.4914577007293699</v>
      </c>
      <c r="Q16" s="8">
        <v>1.604506731033325</v>
      </c>
      <c r="R16" s="8">
        <v>1.679097652435303</v>
      </c>
      <c r="S16" s="8">
        <v>2.4737963676452641</v>
      </c>
      <c r="T16" s="8">
        <v>1.0891571044921879</v>
      </c>
      <c r="U16" s="8">
        <v>1.225002765655518</v>
      </c>
      <c r="V16" s="8">
        <v>1.747550487518311</v>
      </c>
      <c r="W16" s="8">
        <v>2.1432487964630131</v>
      </c>
      <c r="X16" s="8">
        <v>1.138511657714844</v>
      </c>
      <c r="Y16" s="8">
        <v>2.242706298828125</v>
      </c>
      <c r="Z16" s="8">
        <v>0.51678144931793213</v>
      </c>
      <c r="AA16" s="8">
        <v>2.040267705917358</v>
      </c>
      <c r="AB16" s="8">
        <v>0.79855519533157349</v>
      </c>
      <c r="AC16" s="8">
        <v>1.591834545135498</v>
      </c>
      <c r="AD16" s="8">
        <v>1.879514813423157</v>
      </c>
      <c r="AE16" s="8">
        <v>1.878929615020752</v>
      </c>
      <c r="AF16" s="8">
        <v>2.2271726131439209</v>
      </c>
      <c r="AG16" s="8">
        <v>2.1010346412658691</v>
      </c>
      <c r="AH16" s="8">
        <v>1.538000822067261</v>
      </c>
      <c r="AI16" s="8">
        <v>1.993748784065247</v>
      </c>
      <c r="AJ16" s="8">
        <v>0.82584965229034424</v>
      </c>
    </row>
    <row r="17" spans="1:36" x14ac:dyDescent="0.35">
      <c r="A17" s="6" t="s">
        <v>15</v>
      </c>
      <c r="B17" s="8">
        <v>1.5116086006164551</v>
      </c>
      <c r="C17" s="8">
        <v>1.394527673721313</v>
      </c>
      <c r="D17" s="8">
        <v>1.619987368583679</v>
      </c>
      <c r="E17" s="8">
        <v>0.77818173170089722</v>
      </c>
      <c r="F17" s="8">
        <v>0.69331187009811401</v>
      </c>
      <c r="G17" s="8">
        <v>1.433870792388916</v>
      </c>
      <c r="H17" s="8">
        <v>0.82587432861328125</v>
      </c>
      <c r="I17" s="8">
        <v>1.268871665000916</v>
      </c>
      <c r="J17" s="8">
        <v>1.189869284629822</v>
      </c>
      <c r="K17" s="8">
        <v>1.584806442260742</v>
      </c>
      <c r="L17" s="8">
        <v>1.2761267423629761</v>
      </c>
      <c r="M17" s="8">
        <v>0.81220000982284546</v>
      </c>
      <c r="N17" s="8">
        <v>2.45344066619873</v>
      </c>
      <c r="O17" s="8">
        <v>0.79787600040435791</v>
      </c>
      <c r="P17" s="8">
        <v>0.95621627569198608</v>
      </c>
      <c r="Q17" s="8">
        <v>0.98936516046524048</v>
      </c>
      <c r="R17" s="8">
        <v>1.074120879173279</v>
      </c>
      <c r="S17" s="8">
        <v>1.145511150360107</v>
      </c>
      <c r="T17" s="8">
        <v>1.106220960617065</v>
      </c>
      <c r="U17" s="8">
        <v>1.6052641868591311</v>
      </c>
      <c r="V17" s="8">
        <v>1.045042037963867</v>
      </c>
      <c r="W17" s="8">
        <v>1.473637580871582</v>
      </c>
      <c r="X17" s="8">
        <v>1.45586109161377</v>
      </c>
      <c r="Y17" s="8">
        <v>1.2879699468612671</v>
      </c>
      <c r="Z17" s="8">
        <v>0.86510592699050903</v>
      </c>
      <c r="AA17" s="8">
        <v>1.393847703933716</v>
      </c>
      <c r="AB17" s="8">
        <v>0.89309084415435791</v>
      </c>
      <c r="AC17" s="8">
        <v>0.89106881618499756</v>
      </c>
      <c r="AD17" s="8">
        <v>1.469708919525146</v>
      </c>
      <c r="AE17" s="8">
        <v>1.1549638509750371</v>
      </c>
      <c r="AF17" s="8">
        <v>1.2548457384109499</v>
      </c>
      <c r="AG17" s="8">
        <v>1.247487425804138</v>
      </c>
      <c r="AH17" s="8">
        <v>0.96091306209564209</v>
      </c>
      <c r="AI17" s="8">
        <v>1.2640314102172849</v>
      </c>
      <c r="AJ17" s="8">
        <v>1.109449625015259</v>
      </c>
    </row>
    <row r="18" spans="1:36" x14ac:dyDescent="0.35">
      <c r="A18" s="6" t="s">
        <v>16</v>
      </c>
      <c r="B18" s="8">
        <v>1.497326016426086</v>
      </c>
      <c r="C18" s="8">
        <v>1.083452463150024</v>
      </c>
      <c r="D18" s="8">
        <v>1.0389958620071409</v>
      </c>
      <c r="E18" s="8">
        <v>0.8983619213104248</v>
      </c>
      <c r="F18" s="8">
        <v>1.609276294708252</v>
      </c>
      <c r="G18" s="8">
        <v>0.87682104110717773</v>
      </c>
      <c r="H18" s="8">
        <v>0.9227750301361084</v>
      </c>
      <c r="I18" s="8">
        <v>1.2288858890533449</v>
      </c>
      <c r="J18" s="8">
        <v>0.52679872512817383</v>
      </c>
      <c r="K18" s="8">
        <v>1.4070115089416499</v>
      </c>
      <c r="L18" s="8">
        <v>0.96797871589660645</v>
      </c>
      <c r="M18" s="8">
        <v>0.9142189621925354</v>
      </c>
      <c r="N18" s="8">
        <v>1.1352914571762081</v>
      </c>
      <c r="O18" s="8">
        <v>0.96663910150527954</v>
      </c>
      <c r="P18" s="8">
        <v>0.8176085352897644</v>
      </c>
      <c r="Q18" s="8">
        <v>1.5052318572998049</v>
      </c>
      <c r="R18" s="8">
        <v>1.085856080055237</v>
      </c>
      <c r="S18" s="8">
        <v>0.71469712257385254</v>
      </c>
      <c r="T18" s="8">
        <v>1.0913246870040889</v>
      </c>
      <c r="U18" s="8">
        <v>1.054115414619446</v>
      </c>
      <c r="V18" s="8">
        <v>0.85695737600326538</v>
      </c>
      <c r="W18" s="8">
        <v>1.644986629486084</v>
      </c>
      <c r="X18" s="8">
        <v>1.3815333843231199</v>
      </c>
      <c r="Y18" s="8">
        <v>1.4244674444198611</v>
      </c>
      <c r="Z18" s="8">
        <v>1.039519190788269</v>
      </c>
      <c r="AA18" s="8">
        <v>1.225723505020142</v>
      </c>
      <c r="AB18" s="8">
        <v>1.405785441398621</v>
      </c>
      <c r="AC18" s="8">
        <v>0.92322498559951782</v>
      </c>
      <c r="AD18" s="8">
        <v>1.04196560382843</v>
      </c>
      <c r="AE18" s="8">
        <v>0.95480966567993164</v>
      </c>
      <c r="AF18" s="8">
        <v>1.0535445213317871</v>
      </c>
      <c r="AG18" s="8">
        <v>1.105613708496094</v>
      </c>
      <c r="AH18" s="8">
        <v>0.88777905702590942</v>
      </c>
      <c r="AI18" s="8">
        <v>1.210912227630615</v>
      </c>
      <c r="AJ18" s="8">
        <v>0.90368616580963135</v>
      </c>
    </row>
    <row r="19" spans="1:36" x14ac:dyDescent="0.35">
      <c r="A19" s="6" t="s">
        <v>17</v>
      </c>
      <c r="B19" s="8">
        <v>1.6929600238800051</v>
      </c>
      <c r="C19" s="8">
        <v>1.7317876815795901</v>
      </c>
      <c r="D19" s="8">
        <v>1.4687767028808589</v>
      </c>
      <c r="E19" s="8">
        <v>1.3514471054077151</v>
      </c>
      <c r="F19" s="8">
        <v>2.1364281177520752</v>
      </c>
      <c r="G19" s="8">
        <v>1.4195655584335329</v>
      </c>
      <c r="H19" s="8">
        <v>1.645074248313904</v>
      </c>
      <c r="I19" s="8">
        <v>2.1344821453094478</v>
      </c>
      <c r="J19" s="8">
        <v>1.0354657173156741</v>
      </c>
      <c r="K19" s="8">
        <v>1.825876712799072</v>
      </c>
      <c r="L19" s="8">
        <v>1.7248086929321289</v>
      </c>
      <c r="M19" s="8">
        <v>0.55674415826797485</v>
      </c>
      <c r="N19" s="8">
        <v>1.8871196508407591</v>
      </c>
      <c r="O19" s="8">
        <v>1.593575239181519</v>
      </c>
      <c r="P19" s="8">
        <v>1.1893303394317629</v>
      </c>
      <c r="Q19" s="8">
        <v>1.9428539276123049</v>
      </c>
      <c r="R19" s="8">
        <v>1.275937557220459</v>
      </c>
      <c r="S19" s="8">
        <v>1.647257804870605</v>
      </c>
      <c r="T19" s="8">
        <v>1.642277717590332</v>
      </c>
      <c r="U19" s="8">
        <v>2.4718976020812988</v>
      </c>
      <c r="V19" s="8">
        <v>1.019640445709229</v>
      </c>
      <c r="W19" s="8">
        <v>1.3037958145141599</v>
      </c>
      <c r="X19" s="8">
        <v>1.42838990688324</v>
      </c>
      <c r="Y19" s="8">
        <v>1.119983434677124</v>
      </c>
      <c r="Z19" s="8">
        <v>1.800101161003113</v>
      </c>
      <c r="AA19" s="8">
        <v>1.904738187789917</v>
      </c>
      <c r="AB19" s="8">
        <v>1.130046606063843</v>
      </c>
      <c r="AC19" s="8">
        <v>1.8563098907470701</v>
      </c>
      <c r="AD19" s="8">
        <v>1.211712241172791</v>
      </c>
      <c r="AE19" s="8">
        <v>0.97480010986328125</v>
      </c>
      <c r="AF19" s="8">
        <v>1.9011270999908449</v>
      </c>
      <c r="AG19" s="8">
        <v>1.170370936393738</v>
      </c>
      <c r="AH19" s="8">
        <v>1.924249053001404</v>
      </c>
      <c r="AI19" s="8">
        <v>0.80934286117553711</v>
      </c>
      <c r="AJ19" s="8">
        <v>1.079556465148926</v>
      </c>
    </row>
    <row r="20" spans="1:36" x14ac:dyDescent="0.35">
      <c r="A20" s="6" t="s">
        <v>18</v>
      </c>
      <c r="B20" s="8">
        <v>1.437487006187439</v>
      </c>
      <c r="C20" s="8">
        <v>1.484406471252441</v>
      </c>
      <c r="D20" s="8">
        <v>0.82158315181732178</v>
      </c>
      <c r="E20" s="8">
        <v>1.5819211006164551</v>
      </c>
      <c r="F20" s="8">
        <v>1.1998904943466191</v>
      </c>
      <c r="G20" s="8">
        <v>1.354226350784302</v>
      </c>
      <c r="H20" s="8">
        <v>2.4786243438720699</v>
      </c>
      <c r="I20" s="8">
        <v>1.042975544929504</v>
      </c>
      <c r="J20" s="8">
        <v>1.372811079025269</v>
      </c>
      <c r="K20" s="8">
        <v>1.2770067453384399</v>
      </c>
      <c r="L20" s="8">
        <v>1.4749816656112671</v>
      </c>
      <c r="M20" s="8">
        <v>1.231170773506165</v>
      </c>
      <c r="N20" s="8">
        <v>1.157543897628784</v>
      </c>
      <c r="O20" s="8">
        <v>1.327570796012878</v>
      </c>
      <c r="P20" s="8">
        <v>1.536518812179565</v>
      </c>
      <c r="Q20" s="8">
        <v>1.3297410011291499</v>
      </c>
      <c r="R20" s="8">
        <v>1.342149615287781</v>
      </c>
      <c r="S20" s="8">
        <v>1.3240377902984619</v>
      </c>
      <c r="T20" s="8">
        <v>0.8665352463722229</v>
      </c>
      <c r="U20" s="8">
        <v>0.70616728067398071</v>
      </c>
      <c r="V20" s="8">
        <v>1.4393612146377559</v>
      </c>
      <c r="W20" s="8">
        <v>1.164652347564697</v>
      </c>
      <c r="X20" s="8">
        <v>1.139926075935364</v>
      </c>
      <c r="Y20" s="8">
        <v>0.82059955596923828</v>
      </c>
      <c r="Z20" s="8">
        <v>1.3674196004867549</v>
      </c>
      <c r="AA20" s="8">
        <v>0.99080508947372437</v>
      </c>
      <c r="AB20" s="8">
        <v>1.84721314907074</v>
      </c>
      <c r="AC20" s="8">
        <v>1.080218553543091</v>
      </c>
      <c r="AD20" s="8">
        <v>1.2218765020370479</v>
      </c>
      <c r="AE20" s="8">
        <v>0.99653065204620361</v>
      </c>
      <c r="AF20" s="8">
        <v>1.340625524520874</v>
      </c>
      <c r="AG20" s="8">
        <v>0.79210573434829712</v>
      </c>
      <c r="AH20" s="8">
        <v>1.5587542057037349</v>
      </c>
      <c r="AI20" s="8">
        <v>1.024778366088867</v>
      </c>
      <c r="AJ20" s="8">
        <v>1.32340395450592</v>
      </c>
    </row>
    <row r="21" spans="1:36" x14ac:dyDescent="0.35">
      <c r="A21" s="6" t="s">
        <v>19</v>
      </c>
      <c r="B21" s="8">
        <v>0.9194977879524231</v>
      </c>
      <c r="C21" s="8">
        <v>0.81077355146408081</v>
      </c>
      <c r="D21" s="8">
        <v>1.1287157535552981</v>
      </c>
      <c r="E21" s="8">
        <v>1.1401268243789671</v>
      </c>
      <c r="F21" s="8">
        <v>1.198950529098511</v>
      </c>
      <c r="G21" s="8">
        <v>0.85419052839279175</v>
      </c>
      <c r="H21" s="8">
        <v>1.118755102157593</v>
      </c>
      <c r="I21" s="8">
        <v>0.68282955884933472</v>
      </c>
      <c r="J21" s="8">
        <v>1.165559649467468</v>
      </c>
      <c r="K21" s="8">
        <v>1.0280123949050901</v>
      </c>
      <c r="L21" s="8">
        <v>1.8003324270248411</v>
      </c>
      <c r="M21" s="8">
        <v>1.101659297943115</v>
      </c>
      <c r="N21" s="8">
        <v>1.146901488304138</v>
      </c>
      <c r="O21" s="8">
        <v>0.73301321268081665</v>
      </c>
      <c r="P21" s="8">
        <v>0.8283001184463501</v>
      </c>
      <c r="Q21" s="8">
        <v>1.3558288812637329</v>
      </c>
      <c r="R21" s="8">
        <v>0.9380912184715271</v>
      </c>
      <c r="S21" s="8">
        <v>1.3458505868911741</v>
      </c>
      <c r="T21" s="8">
        <v>1.0377098321914671</v>
      </c>
      <c r="U21" s="8">
        <v>1.3984746932983401</v>
      </c>
      <c r="V21" s="8">
        <v>0.90401172637939453</v>
      </c>
      <c r="W21" s="8">
        <v>1.193138599395752</v>
      </c>
      <c r="X21" s="8">
        <v>0.84694027900695801</v>
      </c>
      <c r="Y21" s="8">
        <v>1.3058650493621831</v>
      </c>
      <c r="Z21" s="8">
        <v>0.84637266397476196</v>
      </c>
      <c r="AA21" s="8">
        <v>1.549329876899719</v>
      </c>
      <c r="AB21" s="8">
        <v>1.2367346286773679</v>
      </c>
      <c r="AC21" s="8">
        <v>1.45846951007843</v>
      </c>
      <c r="AD21" s="8">
        <v>1.1093543767929079</v>
      </c>
      <c r="AE21" s="8">
        <v>1.445438504219055</v>
      </c>
      <c r="AF21" s="8">
        <v>1.6766208410263059</v>
      </c>
      <c r="AG21" s="8">
        <v>1.6255326271057129</v>
      </c>
      <c r="AH21" s="8">
        <v>1.1100031137466431</v>
      </c>
      <c r="AI21" s="8">
        <v>1.2294726371765139</v>
      </c>
      <c r="AJ21" s="8">
        <v>0.50493776798248291</v>
      </c>
    </row>
  </sheetData>
  <pageMargins left="0.75" right="0.75" top="1" bottom="1" header="0.5" footer="0.5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434C-2B2F-4982-863B-10EAC72A338B}">
  <sheetPr codeName="Sheet5"/>
  <dimension ref="A1:AJ21"/>
  <sheetViews>
    <sheetView workbookViewId="0">
      <selection activeCell="H16" sqref="H16"/>
    </sheetView>
  </sheetViews>
  <sheetFormatPr defaultRowHeight="14.5" x14ac:dyDescent="0.35"/>
  <cols>
    <col min="1" max="1" width="21.08984375" style="4" customWidth="1"/>
    <col min="2" max="16384" width="8.7265625" style="4"/>
  </cols>
  <sheetData>
    <row r="1" spans="1:36" x14ac:dyDescent="0.35">
      <c r="A1" s="4" t="s">
        <v>69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  <c r="N1" s="10" t="s">
        <v>35</v>
      </c>
      <c r="O1" s="10" t="s">
        <v>36</v>
      </c>
      <c r="P1" s="10" t="s">
        <v>37</v>
      </c>
      <c r="Q1" s="10" t="s">
        <v>38</v>
      </c>
      <c r="R1" s="10" t="s">
        <v>39</v>
      </c>
      <c r="S1" s="10" t="s">
        <v>40</v>
      </c>
      <c r="T1" s="10" t="s">
        <v>41</v>
      </c>
      <c r="U1" s="10" t="s">
        <v>42</v>
      </c>
      <c r="V1" s="10" t="s">
        <v>43</v>
      </c>
      <c r="W1" s="10" t="s">
        <v>44</v>
      </c>
      <c r="X1" s="10" t="s">
        <v>45</v>
      </c>
      <c r="Y1" s="10" t="s">
        <v>46</v>
      </c>
      <c r="Z1" s="10" t="s">
        <v>47</v>
      </c>
      <c r="AA1" s="10" t="s">
        <v>48</v>
      </c>
      <c r="AB1" s="10" t="s">
        <v>49</v>
      </c>
      <c r="AC1" s="10" t="s">
        <v>50</v>
      </c>
      <c r="AD1" s="10" t="s">
        <v>51</v>
      </c>
      <c r="AE1" s="10" t="s">
        <v>52</v>
      </c>
      <c r="AF1" s="10" t="s">
        <v>53</v>
      </c>
      <c r="AG1" s="10" t="s">
        <v>54</v>
      </c>
      <c r="AH1" s="10" t="s">
        <v>55</v>
      </c>
      <c r="AI1" s="10" t="s">
        <v>56</v>
      </c>
      <c r="AJ1" s="10" t="s">
        <v>57</v>
      </c>
    </row>
    <row r="2" spans="1:36" x14ac:dyDescent="0.35">
      <c r="A2" s="6" t="s">
        <v>0</v>
      </c>
      <c r="B2" s="8">
        <v>1.2</v>
      </c>
      <c r="C2" s="8">
        <v>0.9</v>
      </c>
      <c r="D2" s="8">
        <v>2.1</v>
      </c>
      <c r="E2" s="8">
        <v>0.7</v>
      </c>
      <c r="F2" s="8">
        <v>0.7</v>
      </c>
      <c r="G2" s="8">
        <v>4.4000000000000004</v>
      </c>
      <c r="H2" s="8">
        <v>2.8</v>
      </c>
      <c r="I2" s="8">
        <v>0.7</v>
      </c>
      <c r="J2" s="8">
        <v>0.9</v>
      </c>
      <c r="K2" s="8">
        <v>1.1000000000000001</v>
      </c>
      <c r="L2" s="8">
        <v>1.5</v>
      </c>
      <c r="M2" s="8">
        <v>1.2</v>
      </c>
      <c r="N2" s="8">
        <v>3.5</v>
      </c>
      <c r="O2" s="8">
        <v>2.1</v>
      </c>
      <c r="P2" s="8">
        <v>1.8</v>
      </c>
      <c r="Q2" s="8">
        <v>1.2</v>
      </c>
      <c r="R2" s="8">
        <v>2.5</v>
      </c>
      <c r="S2" s="8">
        <v>1.8</v>
      </c>
      <c r="T2" s="8">
        <v>1.9</v>
      </c>
      <c r="U2" s="8">
        <v>0.9</v>
      </c>
      <c r="V2" s="8">
        <v>1.4</v>
      </c>
      <c r="W2" s="8">
        <v>1.3</v>
      </c>
      <c r="X2" s="8">
        <v>1</v>
      </c>
      <c r="Y2" s="8">
        <v>1</v>
      </c>
      <c r="Z2" s="8">
        <v>1.4</v>
      </c>
      <c r="AA2" s="8">
        <v>1.2</v>
      </c>
      <c r="AB2" s="8">
        <v>1</v>
      </c>
      <c r="AC2" s="8">
        <v>1.6</v>
      </c>
      <c r="AD2" s="8">
        <v>0.7</v>
      </c>
      <c r="AE2" s="8">
        <v>2.2000000000000002</v>
      </c>
      <c r="AF2" s="8">
        <v>1.8</v>
      </c>
      <c r="AG2" s="8">
        <v>1</v>
      </c>
      <c r="AH2" s="8">
        <v>2.4</v>
      </c>
      <c r="AI2" s="8">
        <v>1.2</v>
      </c>
      <c r="AJ2" s="8">
        <v>1.4</v>
      </c>
    </row>
    <row r="3" spans="1:36" x14ac:dyDescent="0.35">
      <c r="A3" s="6" t="s">
        <v>1</v>
      </c>
      <c r="B3" s="8">
        <v>2</v>
      </c>
      <c r="C3" s="8">
        <v>1.2</v>
      </c>
      <c r="D3" s="8">
        <v>1.4</v>
      </c>
      <c r="E3" s="8">
        <v>2.1</v>
      </c>
      <c r="F3" s="8">
        <v>1.7</v>
      </c>
      <c r="G3" s="8">
        <v>0.8</v>
      </c>
      <c r="H3" s="8">
        <v>0.5</v>
      </c>
      <c r="I3" s="8">
        <v>1.6</v>
      </c>
      <c r="J3" s="8">
        <v>1.8</v>
      </c>
      <c r="K3" s="8">
        <v>1.8</v>
      </c>
      <c r="L3" s="8">
        <v>1.2</v>
      </c>
      <c r="M3" s="8">
        <v>3</v>
      </c>
      <c r="N3" s="8">
        <v>1.2</v>
      </c>
      <c r="O3" s="8">
        <v>2.4</v>
      </c>
      <c r="P3" s="8">
        <v>2.2999999999999998</v>
      </c>
      <c r="Q3" s="8">
        <v>0.4</v>
      </c>
      <c r="R3" s="8">
        <v>1.6</v>
      </c>
      <c r="S3" s="8">
        <v>0.3</v>
      </c>
      <c r="T3" s="8">
        <v>1.8</v>
      </c>
      <c r="U3" s="8">
        <v>1.4</v>
      </c>
      <c r="V3" s="8">
        <v>1.2</v>
      </c>
      <c r="W3" s="8">
        <v>1</v>
      </c>
      <c r="X3" s="8">
        <v>0.9</v>
      </c>
      <c r="Y3" s="8">
        <v>0.4</v>
      </c>
      <c r="Z3" s="8">
        <v>2.4</v>
      </c>
      <c r="AA3" s="8">
        <v>2.2999999999999998</v>
      </c>
      <c r="AB3" s="8">
        <v>0.4</v>
      </c>
      <c r="AC3" s="8">
        <v>1.3</v>
      </c>
      <c r="AD3" s="8">
        <v>0.6</v>
      </c>
      <c r="AE3" s="8">
        <v>1.2</v>
      </c>
      <c r="AF3" s="8">
        <v>3</v>
      </c>
      <c r="AG3" s="8">
        <v>3</v>
      </c>
      <c r="AH3" s="8">
        <v>2.2000000000000002</v>
      </c>
      <c r="AI3" s="8">
        <v>1.8</v>
      </c>
      <c r="AJ3" s="8">
        <v>1</v>
      </c>
    </row>
    <row r="4" spans="1:36" x14ac:dyDescent="0.35">
      <c r="A4" s="6" t="s">
        <v>2</v>
      </c>
      <c r="B4" s="8">
        <v>1.2</v>
      </c>
      <c r="C4" s="8">
        <v>2.2000000000000002</v>
      </c>
      <c r="D4" s="8">
        <v>2.4</v>
      </c>
      <c r="E4" s="8">
        <v>1.7</v>
      </c>
      <c r="F4" s="8">
        <v>1.1000000000000001</v>
      </c>
      <c r="G4" s="8">
        <v>1.3</v>
      </c>
      <c r="H4" s="8">
        <v>2.1</v>
      </c>
      <c r="I4" s="8">
        <v>1.8</v>
      </c>
      <c r="J4" s="8">
        <v>0.3</v>
      </c>
      <c r="K4" s="8">
        <v>2</v>
      </c>
      <c r="L4" s="8">
        <v>2.6</v>
      </c>
      <c r="M4" s="8">
        <v>1.6</v>
      </c>
      <c r="N4" s="8">
        <v>3.3</v>
      </c>
      <c r="O4" s="8">
        <v>3.5</v>
      </c>
      <c r="P4" s="8">
        <v>3.2</v>
      </c>
      <c r="Q4" s="8">
        <v>1.9</v>
      </c>
      <c r="R4" s="8">
        <v>1.6</v>
      </c>
      <c r="S4" s="8">
        <v>1.4</v>
      </c>
      <c r="T4" s="8">
        <v>2</v>
      </c>
      <c r="U4" s="8">
        <v>1.8</v>
      </c>
      <c r="V4" s="8">
        <v>1.2</v>
      </c>
      <c r="W4" s="8">
        <v>2</v>
      </c>
      <c r="X4" s="8">
        <v>1.7</v>
      </c>
      <c r="Y4" s="8">
        <v>1.6</v>
      </c>
      <c r="Z4" s="8">
        <v>1.2</v>
      </c>
      <c r="AA4" s="8">
        <v>0.9</v>
      </c>
      <c r="AB4" s="8">
        <v>1.5</v>
      </c>
      <c r="AC4" s="8">
        <v>2.2000000000000002</v>
      </c>
      <c r="AD4" s="8">
        <v>1.6</v>
      </c>
      <c r="AE4" s="8">
        <v>1.8</v>
      </c>
      <c r="AF4" s="8">
        <v>2.1</v>
      </c>
      <c r="AG4" s="8">
        <v>1.4</v>
      </c>
      <c r="AH4" s="8">
        <v>0.7</v>
      </c>
      <c r="AI4" s="8">
        <v>0.5</v>
      </c>
      <c r="AJ4" s="8">
        <v>0.9</v>
      </c>
    </row>
    <row r="5" spans="1:36" x14ac:dyDescent="0.35">
      <c r="A5" s="6" t="s">
        <v>3</v>
      </c>
      <c r="B5" s="8">
        <v>1.6</v>
      </c>
      <c r="C5" s="8">
        <v>0.5</v>
      </c>
      <c r="D5" s="8">
        <v>2.8</v>
      </c>
      <c r="E5" s="8">
        <v>1</v>
      </c>
      <c r="F5" s="8">
        <v>0.8</v>
      </c>
      <c r="G5" s="8">
        <v>0.4</v>
      </c>
      <c r="H5" s="8">
        <v>4.2</v>
      </c>
      <c r="I5" s="8">
        <v>0.9</v>
      </c>
      <c r="J5" s="8">
        <v>4</v>
      </c>
      <c r="K5" s="8">
        <v>0.6</v>
      </c>
      <c r="L5" s="8">
        <v>1.5</v>
      </c>
      <c r="M5" s="8">
        <v>1.1000000000000001</v>
      </c>
      <c r="N5" s="8">
        <v>2.4</v>
      </c>
      <c r="O5" s="8">
        <v>0.9</v>
      </c>
      <c r="P5" s="8">
        <v>1.2</v>
      </c>
      <c r="Q5" s="8">
        <v>1.6</v>
      </c>
      <c r="R5" s="8">
        <v>0.7</v>
      </c>
      <c r="S5" s="8">
        <v>1.1000000000000001</v>
      </c>
      <c r="T5" s="8">
        <v>0.3</v>
      </c>
      <c r="U5" s="8">
        <v>4.4000000000000004</v>
      </c>
      <c r="V5" s="8">
        <v>2.5</v>
      </c>
      <c r="W5" s="8">
        <v>0.7</v>
      </c>
      <c r="X5" s="8">
        <v>1.3</v>
      </c>
      <c r="Y5" s="8">
        <v>2.1</v>
      </c>
      <c r="Z5" s="8">
        <v>1.6</v>
      </c>
      <c r="AA5" s="8">
        <v>1.5</v>
      </c>
      <c r="AB5" s="8">
        <v>1.4</v>
      </c>
      <c r="AC5" s="8">
        <v>0.8</v>
      </c>
      <c r="AD5" s="8">
        <v>0.8</v>
      </c>
      <c r="AE5" s="8">
        <v>1.5</v>
      </c>
      <c r="AF5" s="8">
        <v>1.1000000000000001</v>
      </c>
      <c r="AG5" s="8">
        <v>0.2</v>
      </c>
      <c r="AH5" s="8">
        <v>2.1</v>
      </c>
      <c r="AI5" s="8">
        <v>1.3</v>
      </c>
      <c r="AJ5" s="8">
        <v>2.8</v>
      </c>
    </row>
    <row r="6" spans="1:36" x14ac:dyDescent="0.35">
      <c r="A6" s="6" t="s">
        <v>4</v>
      </c>
      <c r="B6" s="8">
        <v>1.4</v>
      </c>
      <c r="C6" s="8">
        <v>2.1</v>
      </c>
      <c r="D6" s="8">
        <v>1.7</v>
      </c>
      <c r="E6" s="8">
        <v>1.6</v>
      </c>
      <c r="F6" s="8">
        <v>1</v>
      </c>
      <c r="G6" s="8">
        <v>1.1000000000000001</v>
      </c>
      <c r="H6" s="8">
        <v>1.8</v>
      </c>
      <c r="I6" s="8">
        <v>1.1000000000000001</v>
      </c>
      <c r="J6" s="8">
        <v>1.3</v>
      </c>
      <c r="K6" s="8">
        <v>1</v>
      </c>
      <c r="L6" s="8">
        <v>2.2999999999999998</v>
      </c>
      <c r="M6" s="8">
        <v>0.9</v>
      </c>
      <c r="N6" s="8">
        <v>1.7</v>
      </c>
      <c r="O6" s="8">
        <v>1.4</v>
      </c>
      <c r="P6" s="8">
        <v>1.5</v>
      </c>
      <c r="Q6" s="8">
        <v>1</v>
      </c>
      <c r="R6" s="8">
        <v>0.9</v>
      </c>
      <c r="S6" s="8">
        <v>1.3</v>
      </c>
      <c r="T6" s="8">
        <v>1.1000000000000001</v>
      </c>
      <c r="U6" s="8">
        <v>1.5</v>
      </c>
      <c r="V6" s="8">
        <v>1</v>
      </c>
      <c r="W6" s="8">
        <v>1.9</v>
      </c>
      <c r="X6" s="8">
        <v>0.7</v>
      </c>
      <c r="Y6" s="8">
        <v>0.9</v>
      </c>
      <c r="Z6" s="8">
        <v>1.4</v>
      </c>
      <c r="AA6" s="8">
        <v>3.9</v>
      </c>
      <c r="AB6" s="8">
        <v>2.4</v>
      </c>
      <c r="AC6" s="8">
        <v>1.5</v>
      </c>
      <c r="AD6" s="8">
        <v>2</v>
      </c>
      <c r="AE6" s="8">
        <v>0.9</v>
      </c>
      <c r="AF6" s="8">
        <v>1</v>
      </c>
      <c r="AG6" s="8">
        <v>3.8</v>
      </c>
      <c r="AH6" s="8">
        <v>1.4</v>
      </c>
      <c r="AI6" s="8">
        <v>1.3</v>
      </c>
      <c r="AJ6" s="8">
        <v>0.7</v>
      </c>
    </row>
    <row r="7" spans="1:36" x14ac:dyDescent="0.35">
      <c r="A7" s="6" t="s">
        <v>5</v>
      </c>
      <c r="B7" s="8">
        <v>1</v>
      </c>
      <c r="C7" s="8">
        <v>1.6</v>
      </c>
      <c r="D7" s="8">
        <v>2.4</v>
      </c>
      <c r="E7" s="8">
        <v>0.8</v>
      </c>
      <c r="F7" s="8">
        <v>2.2000000000000002</v>
      </c>
      <c r="G7" s="8">
        <v>4.2</v>
      </c>
      <c r="H7" s="8">
        <v>2.2999999999999998</v>
      </c>
      <c r="I7" s="8">
        <v>1</v>
      </c>
      <c r="J7" s="8">
        <v>1.6</v>
      </c>
      <c r="K7" s="8">
        <v>1.1000000000000001</v>
      </c>
      <c r="L7" s="8">
        <v>1.5</v>
      </c>
      <c r="M7" s="8">
        <v>2.7</v>
      </c>
      <c r="N7" s="8">
        <v>1.6</v>
      </c>
      <c r="O7" s="8">
        <v>5.2</v>
      </c>
      <c r="P7" s="8">
        <v>2.8</v>
      </c>
      <c r="Q7" s="8">
        <v>2.2000000000000002</v>
      </c>
      <c r="R7" s="8">
        <v>1.2</v>
      </c>
      <c r="S7" s="8">
        <v>1.1000000000000001</v>
      </c>
      <c r="T7" s="8">
        <v>2</v>
      </c>
      <c r="U7" s="8">
        <v>1.2</v>
      </c>
      <c r="V7" s="8">
        <v>2.5</v>
      </c>
      <c r="W7" s="8">
        <v>3.1</v>
      </c>
      <c r="X7" s="8">
        <v>1.8</v>
      </c>
      <c r="Y7" s="8">
        <v>1.6</v>
      </c>
      <c r="Z7" s="8">
        <v>0.5</v>
      </c>
      <c r="AA7" s="8">
        <v>2.2999999999999998</v>
      </c>
      <c r="AB7" s="8">
        <v>2.4</v>
      </c>
      <c r="AC7" s="8">
        <v>1.7</v>
      </c>
      <c r="AD7" s="8">
        <v>0.4</v>
      </c>
      <c r="AE7" s="8">
        <v>1</v>
      </c>
      <c r="AF7" s="8">
        <v>1.2</v>
      </c>
      <c r="AG7" s="8">
        <v>2.2000000000000002</v>
      </c>
      <c r="AH7" s="8">
        <v>0.9</v>
      </c>
      <c r="AI7" s="8">
        <v>0.8</v>
      </c>
      <c r="AJ7" s="8">
        <v>3.1</v>
      </c>
    </row>
    <row r="8" spans="1:36" x14ac:dyDescent="0.35">
      <c r="A8" s="6" t="s">
        <v>6</v>
      </c>
      <c r="B8" s="8">
        <v>1.2</v>
      </c>
      <c r="C8" s="8">
        <v>1.3</v>
      </c>
      <c r="D8" s="8">
        <v>0.5</v>
      </c>
      <c r="E8" s="8">
        <v>2.5</v>
      </c>
      <c r="F8" s="8">
        <v>1</v>
      </c>
      <c r="G8" s="8">
        <v>0.9</v>
      </c>
      <c r="H8" s="8">
        <v>0.6</v>
      </c>
      <c r="I8" s="8">
        <v>1</v>
      </c>
      <c r="J8" s="8">
        <v>0.8</v>
      </c>
      <c r="K8" s="8">
        <v>2.4</v>
      </c>
      <c r="L8" s="8">
        <v>1.5</v>
      </c>
      <c r="M8" s="8">
        <v>1.3</v>
      </c>
      <c r="N8" s="8">
        <v>1.7</v>
      </c>
      <c r="O8" s="8">
        <v>1.6</v>
      </c>
      <c r="P8" s="8">
        <v>1.3</v>
      </c>
      <c r="Q8" s="8">
        <v>2.2000000000000002</v>
      </c>
      <c r="R8" s="8">
        <v>1.6</v>
      </c>
      <c r="S8" s="8">
        <v>0.4</v>
      </c>
      <c r="T8" s="8">
        <v>2</v>
      </c>
      <c r="U8" s="8">
        <v>1.1000000000000001</v>
      </c>
      <c r="V8" s="8">
        <v>1.8</v>
      </c>
      <c r="W8" s="8">
        <v>1.3</v>
      </c>
      <c r="X8" s="8">
        <v>1.1000000000000001</v>
      </c>
      <c r="Y8" s="8">
        <v>2.6</v>
      </c>
      <c r="Z8" s="8">
        <v>1.6</v>
      </c>
      <c r="AA8" s="8">
        <v>1.3</v>
      </c>
      <c r="AB8" s="8">
        <v>4.3</v>
      </c>
      <c r="AC8" s="8">
        <v>3.2</v>
      </c>
      <c r="AD8" s="8">
        <v>2</v>
      </c>
      <c r="AE8" s="8">
        <v>0.7</v>
      </c>
      <c r="AF8" s="8">
        <v>0.6</v>
      </c>
      <c r="AG8" s="8">
        <v>1.8</v>
      </c>
      <c r="AH8" s="8">
        <v>0.4</v>
      </c>
      <c r="AI8" s="8">
        <v>1.7</v>
      </c>
      <c r="AJ8" s="8">
        <v>2.2999999999999998</v>
      </c>
    </row>
    <row r="9" spans="1:36" x14ac:dyDescent="0.35">
      <c r="A9" s="6" t="s">
        <v>7</v>
      </c>
      <c r="B9" s="8">
        <v>0.5</v>
      </c>
      <c r="C9" s="8">
        <v>1</v>
      </c>
      <c r="D9" s="8">
        <v>1.8</v>
      </c>
      <c r="E9" s="8">
        <v>0.9</v>
      </c>
      <c r="F9" s="8">
        <v>1.1000000000000001</v>
      </c>
      <c r="G9" s="8">
        <v>0.9</v>
      </c>
      <c r="H9" s="8">
        <v>0.7</v>
      </c>
      <c r="I9" s="8">
        <v>1.7</v>
      </c>
      <c r="J9" s="8">
        <v>0.8</v>
      </c>
      <c r="K9" s="8">
        <v>1.6</v>
      </c>
      <c r="L9" s="8">
        <v>1.1000000000000001</v>
      </c>
      <c r="M9" s="8">
        <v>1.2</v>
      </c>
      <c r="N9" s="8">
        <v>0.6</v>
      </c>
      <c r="O9" s="8">
        <v>1</v>
      </c>
      <c r="P9" s="8">
        <v>1</v>
      </c>
      <c r="Q9" s="8">
        <v>0.1</v>
      </c>
      <c r="R9" s="8">
        <v>1</v>
      </c>
      <c r="S9" s="8">
        <v>0.7</v>
      </c>
      <c r="T9" s="8">
        <v>0.9</v>
      </c>
      <c r="U9" s="8">
        <v>0.7</v>
      </c>
      <c r="V9" s="8">
        <v>1.1000000000000001</v>
      </c>
      <c r="W9" s="8">
        <v>1.8</v>
      </c>
      <c r="X9" s="8">
        <v>0.8</v>
      </c>
      <c r="Y9" s="8">
        <v>2.5</v>
      </c>
      <c r="Z9" s="8">
        <v>0.9</v>
      </c>
      <c r="AA9" s="8">
        <v>1.6</v>
      </c>
      <c r="AB9" s="8">
        <v>1.5</v>
      </c>
      <c r="AC9" s="8">
        <v>1.2</v>
      </c>
      <c r="AD9" s="8">
        <v>1</v>
      </c>
      <c r="AE9" s="8">
        <v>0.9</v>
      </c>
      <c r="AF9" s="8">
        <v>1.1000000000000001</v>
      </c>
      <c r="AG9" s="8">
        <v>1.4</v>
      </c>
      <c r="AH9" s="8">
        <v>0.9</v>
      </c>
      <c r="AI9" s="8">
        <v>0.4</v>
      </c>
      <c r="AJ9" s="8">
        <v>0.6</v>
      </c>
    </row>
    <row r="10" spans="1:36" x14ac:dyDescent="0.35">
      <c r="A10" s="6" t="s">
        <v>8</v>
      </c>
      <c r="B10" s="8">
        <v>0.4</v>
      </c>
      <c r="C10" s="8">
        <v>1.8</v>
      </c>
      <c r="D10" s="8">
        <v>0.9</v>
      </c>
      <c r="E10" s="8">
        <v>1.5</v>
      </c>
      <c r="F10" s="8">
        <v>2.2000000000000002</v>
      </c>
      <c r="G10" s="8">
        <v>1.3</v>
      </c>
      <c r="H10" s="8">
        <v>2.6</v>
      </c>
      <c r="I10" s="8">
        <v>1.8</v>
      </c>
      <c r="J10" s="8">
        <v>1.2</v>
      </c>
      <c r="K10" s="8">
        <v>1.3</v>
      </c>
      <c r="L10" s="8">
        <v>1.8</v>
      </c>
      <c r="M10" s="8">
        <v>1</v>
      </c>
      <c r="N10" s="8">
        <v>1.5</v>
      </c>
      <c r="O10" s="8">
        <v>1.1000000000000001</v>
      </c>
      <c r="P10" s="8">
        <v>0.2</v>
      </c>
      <c r="Q10" s="8">
        <v>1.2</v>
      </c>
      <c r="R10" s="8">
        <v>0.9</v>
      </c>
      <c r="S10" s="8">
        <v>1.8</v>
      </c>
      <c r="T10" s="8">
        <v>1.1000000000000001</v>
      </c>
      <c r="U10" s="8">
        <v>2.2000000000000002</v>
      </c>
      <c r="V10" s="8">
        <v>1.7</v>
      </c>
      <c r="W10" s="8">
        <v>2</v>
      </c>
      <c r="X10" s="8">
        <v>0.7</v>
      </c>
      <c r="Y10" s="8">
        <v>1.6</v>
      </c>
      <c r="Z10" s="8">
        <v>2.1</v>
      </c>
      <c r="AA10" s="8">
        <v>0.2</v>
      </c>
      <c r="AB10" s="8">
        <v>1.7</v>
      </c>
      <c r="AC10" s="8">
        <v>0.9</v>
      </c>
      <c r="AD10" s="8">
        <v>1</v>
      </c>
      <c r="AE10" s="8">
        <v>1</v>
      </c>
      <c r="AF10" s="8">
        <v>0.7</v>
      </c>
      <c r="AG10" s="8">
        <v>1</v>
      </c>
      <c r="AH10" s="8">
        <v>0.3</v>
      </c>
      <c r="AI10" s="8">
        <v>2.4</v>
      </c>
      <c r="AJ10" s="8">
        <v>0.9</v>
      </c>
    </row>
    <row r="11" spans="1:36" x14ac:dyDescent="0.35">
      <c r="A11" s="6" t="s">
        <v>9</v>
      </c>
      <c r="B11" s="8">
        <v>0.5</v>
      </c>
      <c r="C11" s="8">
        <v>0.3</v>
      </c>
      <c r="D11" s="8">
        <v>0.4</v>
      </c>
      <c r="E11" s="8">
        <v>0.3</v>
      </c>
      <c r="F11" s="8">
        <v>1.6</v>
      </c>
      <c r="G11" s="8">
        <v>1.2</v>
      </c>
      <c r="H11" s="8">
        <v>0.6</v>
      </c>
      <c r="I11" s="8">
        <v>1.3</v>
      </c>
      <c r="J11" s="8">
        <v>1.3</v>
      </c>
      <c r="K11" s="8">
        <v>1</v>
      </c>
      <c r="L11" s="8">
        <v>1.6</v>
      </c>
      <c r="M11" s="8">
        <v>1.6</v>
      </c>
      <c r="N11" s="8">
        <v>0.6</v>
      </c>
      <c r="O11" s="8">
        <v>0.5</v>
      </c>
      <c r="P11" s="8">
        <v>1.3</v>
      </c>
      <c r="Q11" s="8">
        <v>1.1000000000000001</v>
      </c>
      <c r="R11" s="8">
        <v>0.7</v>
      </c>
      <c r="S11" s="8">
        <v>0.2</v>
      </c>
      <c r="T11" s="8">
        <v>1.6</v>
      </c>
      <c r="U11" s="8">
        <v>1.5</v>
      </c>
      <c r="V11" s="8">
        <v>0.3</v>
      </c>
      <c r="W11" s="8">
        <v>0.5</v>
      </c>
      <c r="X11" s="8">
        <v>0.5</v>
      </c>
      <c r="Y11" s="8">
        <v>1.8</v>
      </c>
      <c r="Z11" s="8">
        <v>0.4</v>
      </c>
      <c r="AA11" s="8">
        <v>1.1000000000000001</v>
      </c>
      <c r="AB11" s="8">
        <v>1.4</v>
      </c>
      <c r="AC11" s="8">
        <v>1.5</v>
      </c>
      <c r="AD11" s="8">
        <v>0.4</v>
      </c>
      <c r="AE11" s="8">
        <v>1.2</v>
      </c>
      <c r="AF11" s="8">
        <v>0.8</v>
      </c>
      <c r="AG11" s="8">
        <v>1.1000000000000001</v>
      </c>
      <c r="AH11" s="8">
        <v>0.2</v>
      </c>
      <c r="AI11" s="8">
        <v>0.1</v>
      </c>
      <c r="AJ11" s="8">
        <v>0.8</v>
      </c>
    </row>
    <row r="12" spans="1:36" x14ac:dyDescent="0.35">
      <c r="A12" s="6" t="s">
        <v>10</v>
      </c>
      <c r="B12" s="8">
        <v>1</v>
      </c>
      <c r="C12" s="8">
        <v>0.6</v>
      </c>
      <c r="D12" s="8">
        <v>0.4</v>
      </c>
      <c r="E12" s="8">
        <v>1.2</v>
      </c>
      <c r="F12" s="8">
        <v>0.7</v>
      </c>
      <c r="G12" s="8">
        <v>0.3</v>
      </c>
      <c r="H12" s="8">
        <v>0.8</v>
      </c>
      <c r="I12" s="8">
        <v>3.1</v>
      </c>
      <c r="J12" s="8">
        <v>0.8</v>
      </c>
      <c r="K12" s="8">
        <v>1.5</v>
      </c>
      <c r="L12" s="8">
        <v>0.6</v>
      </c>
      <c r="M12" s="8">
        <v>1.1000000000000001</v>
      </c>
      <c r="N12" s="8">
        <v>1.1000000000000001</v>
      </c>
      <c r="O12" s="8">
        <v>1.7</v>
      </c>
      <c r="P12" s="8">
        <v>1.3</v>
      </c>
      <c r="Q12" s="8">
        <v>0.2</v>
      </c>
      <c r="R12" s="8">
        <v>0.8</v>
      </c>
      <c r="S12" s="8">
        <v>0.3</v>
      </c>
      <c r="T12" s="8">
        <v>1.3</v>
      </c>
      <c r="U12" s="8">
        <v>0.4</v>
      </c>
      <c r="V12" s="8">
        <v>1.7</v>
      </c>
      <c r="W12" s="8">
        <v>0.6</v>
      </c>
      <c r="X12" s="8">
        <v>1.6</v>
      </c>
      <c r="Y12" s="8">
        <v>0.3</v>
      </c>
      <c r="Z12" s="8">
        <v>0.2</v>
      </c>
      <c r="AA12" s="8">
        <v>0.5</v>
      </c>
      <c r="AB12" s="8">
        <v>0.4</v>
      </c>
      <c r="AC12" s="8">
        <v>0.1</v>
      </c>
      <c r="AD12" s="8">
        <v>1</v>
      </c>
      <c r="AE12" s="8">
        <v>0.1</v>
      </c>
      <c r="AF12" s="8">
        <v>0.5</v>
      </c>
      <c r="AG12" s="8">
        <v>1.5</v>
      </c>
      <c r="AH12" s="8">
        <v>0.3</v>
      </c>
      <c r="AI12" s="8">
        <v>1.1000000000000001</v>
      </c>
      <c r="AJ12" s="8">
        <v>1.4</v>
      </c>
    </row>
    <row r="13" spans="1:36" x14ac:dyDescent="0.35">
      <c r="A13" s="6" t="s">
        <v>11</v>
      </c>
      <c r="B13" s="8">
        <v>2.6</v>
      </c>
      <c r="C13" s="8">
        <v>2.5</v>
      </c>
      <c r="D13" s="8">
        <v>1.8</v>
      </c>
      <c r="E13" s="8">
        <v>0.9</v>
      </c>
      <c r="F13" s="8">
        <v>2</v>
      </c>
      <c r="G13" s="8">
        <v>2.5</v>
      </c>
      <c r="H13" s="8">
        <v>1.4</v>
      </c>
      <c r="I13" s="8">
        <v>1.9</v>
      </c>
      <c r="J13" s="8">
        <v>0.8</v>
      </c>
      <c r="K13" s="8">
        <v>1.6</v>
      </c>
      <c r="L13" s="8">
        <v>2</v>
      </c>
      <c r="M13" s="8">
        <v>3.1</v>
      </c>
      <c r="N13" s="8">
        <v>3.4</v>
      </c>
      <c r="O13" s="8">
        <v>1.9</v>
      </c>
      <c r="P13" s="8">
        <v>0.6</v>
      </c>
      <c r="Q13" s="8">
        <v>2.1</v>
      </c>
      <c r="R13" s="8">
        <v>5.6</v>
      </c>
      <c r="S13" s="8">
        <v>2</v>
      </c>
      <c r="T13" s="8">
        <v>3.1</v>
      </c>
      <c r="U13" s="8">
        <v>2.7</v>
      </c>
      <c r="V13" s="8">
        <v>2</v>
      </c>
      <c r="W13" s="8">
        <v>3.4</v>
      </c>
      <c r="X13" s="8">
        <v>2</v>
      </c>
      <c r="Y13" s="8">
        <v>2.5</v>
      </c>
      <c r="Z13" s="8">
        <v>1.7</v>
      </c>
      <c r="AA13" s="8">
        <v>0.7</v>
      </c>
      <c r="AB13" s="8">
        <v>1.7</v>
      </c>
      <c r="AC13" s="8">
        <v>3.9</v>
      </c>
      <c r="AD13" s="8">
        <v>2.5</v>
      </c>
      <c r="AE13" s="8">
        <v>1.5</v>
      </c>
      <c r="AF13" s="8">
        <v>1.5</v>
      </c>
      <c r="AG13" s="8">
        <v>1.8</v>
      </c>
      <c r="AH13" s="8">
        <v>2.5</v>
      </c>
      <c r="AI13" s="8">
        <v>2.2000000000000002</v>
      </c>
      <c r="AJ13" s="8">
        <v>1</v>
      </c>
    </row>
    <row r="14" spans="1:36" x14ac:dyDescent="0.35">
      <c r="A14" s="6" t="s">
        <v>12</v>
      </c>
      <c r="B14" s="8">
        <v>0.8</v>
      </c>
      <c r="C14" s="8">
        <v>3.3</v>
      </c>
      <c r="D14" s="8">
        <v>3</v>
      </c>
      <c r="E14" s="8">
        <v>2.1</v>
      </c>
      <c r="F14" s="8">
        <v>2.1</v>
      </c>
      <c r="G14" s="8">
        <v>0.9</v>
      </c>
      <c r="H14" s="8">
        <v>1.6</v>
      </c>
      <c r="I14" s="8">
        <v>1.6</v>
      </c>
      <c r="J14" s="8">
        <v>2.9</v>
      </c>
      <c r="K14" s="8">
        <v>1.6</v>
      </c>
      <c r="L14" s="8">
        <v>2.1</v>
      </c>
      <c r="M14" s="8">
        <v>2.1</v>
      </c>
      <c r="N14" s="8">
        <v>0.8</v>
      </c>
      <c r="O14" s="8">
        <v>2.4</v>
      </c>
      <c r="P14" s="8">
        <v>1.4</v>
      </c>
      <c r="Q14" s="8">
        <v>0.9</v>
      </c>
      <c r="R14" s="8">
        <v>1</v>
      </c>
      <c r="S14" s="8">
        <v>2.1</v>
      </c>
      <c r="T14" s="8">
        <v>1.3</v>
      </c>
      <c r="U14" s="8">
        <v>1.9</v>
      </c>
      <c r="V14" s="8">
        <v>2.2000000000000002</v>
      </c>
      <c r="W14" s="8">
        <v>3</v>
      </c>
      <c r="X14" s="8">
        <v>2.2000000000000002</v>
      </c>
      <c r="Y14" s="8">
        <v>0.8</v>
      </c>
      <c r="Z14" s="8">
        <v>1.9</v>
      </c>
      <c r="AA14" s="8">
        <v>0.6</v>
      </c>
      <c r="AB14" s="8">
        <v>2.1</v>
      </c>
      <c r="AC14" s="8">
        <v>0.9</v>
      </c>
      <c r="AD14" s="8">
        <v>1.7</v>
      </c>
      <c r="AE14" s="8">
        <v>2.2000000000000002</v>
      </c>
      <c r="AF14" s="8">
        <v>0.5</v>
      </c>
      <c r="AG14" s="8">
        <v>3.7</v>
      </c>
      <c r="AH14" s="8">
        <v>2</v>
      </c>
      <c r="AI14" s="8">
        <v>1.3</v>
      </c>
      <c r="AJ14" s="8">
        <v>0.7</v>
      </c>
    </row>
    <row r="15" spans="1:36" x14ac:dyDescent="0.35">
      <c r="A15" s="6" t="s">
        <v>13</v>
      </c>
      <c r="B15" s="8">
        <v>2.4</v>
      </c>
      <c r="C15" s="8">
        <v>1.4</v>
      </c>
      <c r="D15" s="8">
        <v>1.4</v>
      </c>
      <c r="E15" s="8">
        <v>2.6</v>
      </c>
      <c r="F15" s="8">
        <v>1.6</v>
      </c>
      <c r="G15" s="8">
        <v>1</v>
      </c>
      <c r="H15" s="8">
        <v>0.6</v>
      </c>
      <c r="I15" s="8">
        <v>1.3</v>
      </c>
      <c r="J15" s="8">
        <v>2.2999999999999998</v>
      </c>
      <c r="K15" s="8">
        <v>2</v>
      </c>
      <c r="L15" s="8">
        <v>0.8</v>
      </c>
      <c r="M15" s="8">
        <v>0.8</v>
      </c>
      <c r="N15" s="8">
        <v>1.1000000000000001</v>
      </c>
      <c r="O15" s="8">
        <v>0.2</v>
      </c>
      <c r="P15" s="8">
        <v>1.6</v>
      </c>
      <c r="Q15" s="8">
        <v>2.1</v>
      </c>
      <c r="R15" s="8">
        <v>2.2000000000000002</v>
      </c>
      <c r="S15" s="8">
        <v>0.4</v>
      </c>
      <c r="T15" s="8">
        <v>0.8</v>
      </c>
      <c r="U15" s="8">
        <v>1</v>
      </c>
      <c r="V15" s="8">
        <v>3.4</v>
      </c>
      <c r="W15" s="8">
        <v>1.5</v>
      </c>
      <c r="X15" s="8">
        <v>0.3</v>
      </c>
      <c r="Y15" s="8">
        <v>1.1000000000000001</v>
      </c>
      <c r="Z15" s="8">
        <v>1.5</v>
      </c>
      <c r="AA15" s="8">
        <v>0.4</v>
      </c>
      <c r="AB15" s="8">
        <v>0.7</v>
      </c>
      <c r="AC15" s="8">
        <v>1.5</v>
      </c>
      <c r="AD15" s="8">
        <v>0.9</v>
      </c>
      <c r="AE15" s="8">
        <v>1.6</v>
      </c>
      <c r="AF15" s="8">
        <v>0.9</v>
      </c>
      <c r="AG15" s="8">
        <v>0.7</v>
      </c>
      <c r="AH15" s="8">
        <v>1.3</v>
      </c>
      <c r="AI15" s="8">
        <v>2.2999999999999998</v>
      </c>
      <c r="AJ15" s="8">
        <v>1.5</v>
      </c>
    </row>
    <row r="16" spans="1:36" x14ac:dyDescent="0.35">
      <c r="A16" s="6" t="s">
        <v>14</v>
      </c>
      <c r="B16" s="8">
        <v>0.3</v>
      </c>
      <c r="C16" s="8">
        <v>1.6</v>
      </c>
      <c r="D16" s="8">
        <v>1.8</v>
      </c>
      <c r="E16" s="8">
        <v>1.5</v>
      </c>
      <c r="F16" s="8">
        <v>1.5</v>
      </c>
      <c r="G16" s="8">
        <v>1.6</v>
      </c>
      <c r="H16" s="8">
        <v>2.1</v>
      </c>
      <c r="I16" s="8">
        <v>2</v>
      </c>
      <c r="J16" s="8">
        <v>1.8</v>
      </c>
      <c r="K16" s="8">
        <v>0.5</v>
      </c>
      <c r="L16" s="8">
        <v>1.6</v>
      </c>
      <c r="M16" s="8">
        <v>1.6</v>
      </c>
      <c r="N16" s="8">
        <v>0</v>
      </c>
      <c r="O16" s="8">
        <v>2.1</v>
      </c>
      <c r="P16" s="8">
        <v>1.5</v>
      </c>
      <c r="Q16" s="8">
        <v>3.8</v>
      </c>
      <c r="R16" s="8">
        <v>2.2999999999999998</v>
      </c>
      <c r="S16" s="8">
        <v>2.7</v>
      </c>
      <c r="T16" s="8">
        <v>1.9</v>
      </c>
      <c r="U16" s="8">
        <v>2.5</v>
      </c>
      <c r="V16" s="8">
        <v>2.1</v>
      </c>
      <c r="W16" s="8">
        <v>0.8</v>
      </c>
      <c r="X16" s="8">
        <v>2.9</v>
      </c>
      <c r="Y16" s="8">
        <v>0.8</v>
      </c>
      <c r="Z16" s="8">
        <v>0.5</v>
      </c>
      <c r="AA16" s="8">
        <v>2.9</v>
      </c>
      <c r="AB16" s="8">
        <v>0.2</v>
      </c>
      <c r="AC16" s="8">
        <v>1.4</v>
      </c>
      <c r="AD16" s="8">
        <v>1.5</v>
      </c>
      <c r="AE16" s="8">
        <v>1.3</v>
      </c>
      <c r="AF16" s="8">
        <v>3.2</v>
      </c>
      <c r="AG16" s="8">
        <v>2.2000000000000002</v>
      </c>
      <c r="AH16" s="8">
        <v>1</v>
      </c>
      <c r="AI16" s="8">
        <v>2.4</v>
      </c>
      <c r="AJ16" s="8">
        <v>1.7</v>
      </c>
    </row>
    <row r="17" spans="1:36" x14ac:dyDescent="0.35">
      <c r="A17" s="6" t="s">
        <v>15</v>
      </c>
      <c r="B17" s="8">
        <v>1.3</v>
      </c>
      <c r="C17" s="8">
        <v>2.2000000000000002</v>
      </c>
      <c r="D17" s="8">
        <v>1</v>
      </c>
      <c r="E17" s="8">
        <v>0.4</v>
      </c>
      <c r="F17" s="8">
        <v>1.4</v>
      </c>
      <c r="G17" s="8">
        <v>0.8</v>
      </c>
      <c r="H17" s="8">
        <v>0.9</v>
      </c>
      <c r="I17" s="8">
        <v>1.7</v>
      </c>
      <c r="J17" s="8">
        <v>1.7</v>
      </c>
      <c r="K17" s="8">
        <v>2.2000000000000002</v>
      </c>
      <c r="L17" s="8">
        <v>0.6</v>
      </c>
      <c r="M17" s="8">
        <v>0.3</v>
      </c>
      <c r="N17" s="8">
        <v>1.6</v>
      </c>
      <c r="O17" s="8">
        <v>1</v>
      </c>
      <c r="P17" s="8">
        <v>0.8</v>
      </c>
      <c r="Q17" s="8">
        <v>1.7</v>
      </c>
      <c r="R17" s="8">
        <v>0.9</v>
      </c>
      <c r="S17" s="8">
        <v>1.1000000000000001</v>
      </c>
      <c r="T17" s="8">
        <v>1.5</v>
      </c>
      <c r="U17" s="8">
        <v>2.1</v>
      </c>
      <c r="V17" s="8">
        <v>0.3</v>
      </c>
      <c r="W17" s="8">
        <v>1.8</v>
      </c>
      <c r="X17" s="8">
        <v>1</v>
      </c>
      <c r="Y17" s="8">
        <v>3.3</v>
      </c>
      <c r="Z17" s="8">
        <v>0.4</v>
      </c>
      <c r="AA17" s="8">
        <v>1.7</v>
      </c>
      <c r="AB17" s="8">
        <v>0.4</v>
      </c>
      <c r="AC17" s="8">
        <v>0.7</v>
      </c>
      <c r="AD17" s="8">
        <v>1.5</v>
      </c>
      <c r="AE17" s="8">
        <v>0.5</v>
      </c>
      <c r="AF17" s="8">
        <v>1.5</v>
      </c>
      <c r="AG17" s="8">
        <v>0.5</v>
      </c>
      <c r="AH17" s="8">
        <v>0.5</v>
      </c>
      <c r="AI17" s="8">
        <v>0.9</v>
      </c>
      <c r="AJ17" s="8">
        <v>0.7</v>
      </c>
    </row>
    <row r="18" spans="1:36" x14ac:dyDescent="0.35">
      <c r="A18" s="6" t="s">
        <v>16</v>
      </c>
      <c r="B18" s="8">
        <v>1.8</v>
      </c>
      <c r="C18" s="8">
        <v>0.1</v>
      </c>
      <c r="D18" s="8">
        <v>1.5</v>
      </c>
      <c r="E18" s="8">
        <v>1.1000000000000001</v>
      </c>
      <c r="F18" s="8">
        <v>2.4</v>
      </c>
      <c r="G18" s="8">
        <v>0.6</v>
      </c>
      <c r="H18" s="8">
        <v>0.6</v>
      </c>
      <c r="I18" s="8">
        <v>2.1</v>
      </c>
      <c r="J18" s="8">
        <v>0.2</v>
      </c>
      <c r="K18" s="8">
        <v>0.7</v>
      </c>
      <c r="L18" s="8">
        <v>0.6</v>
      </c>
      <c r="M18" s="8">
        <v>1.3</v>
      </c>
      <c r="N18" s="8">
        <v>1</v>
      </c>
      <c r="O18" s="8">
        <v>1.6</v>
      </c>
      <c r="P18" s="8">
        <v>0.3</v>
      </c>
      <c r="Q18" s="8">
        <v>0.8</v>
      </c>
      <c r="R18" s="8">
        <v>0.3</v>
      </c>
      <c r="S18" s="8">
        <v>1.4</v>
      </c>
      <c r="T18" s="8">
        <v>0.9</v>
      </c>
      <c r="U18" s="8">
        <v>0.3</v>
      </c>
      <c r="V18" s="8">
        <v>1.4</v>
      </c>
      <c r="W18" s="8">
        <v>0.9</v>
      </c>
      <c r="X18" s="8">
        <v>0.8</v>
      </c>
      <c r="Y18" s="8">
        <v>0.9</v>
      </c>
      <c r="Z18" s="8">
        <v>0.8</v>
      </c>
      <c r="AA18" s="8">
        <v>0.1</v>
      </c>
      <c r="AB18" s="8">
        <v>0.7</v>
      </c>
      <c r="AC18" s="8">
        <v>0.4</v>
      </c>
      <c r="AD18" s="8">
        <v>1.3</v>
      </c>
      <c r="AE18" s="8">
        <v>0.7</v>
      </c>
      <c r="AF18" s="8">
        <v>1</v>
      </c>
      <c r="AG18" s="8">
        <v>0.3</v>
      </c>
      <c r="AH18" s="8">
        <v>0.6</v>
      </c>
      <c r="AI18" s="8">
        <v>0.6</v>
      </c>
      <c r="AJ18" s="8">
        <v>0.5</v>
      </c>
    </row>
    <row r="19" spans="1:36" x14ac:dyDescent="0.35">
      <c r="A19" s="6" t="s">
        <v>17</v>
      </c>
      <c r="B19" s="8">
        <v>1.2</v>
      </c>
      <c r="C19" s="8">
        <v>2.4</v>
      </c>
      <c r="D19" s="8">
        <v>1.2</v>
      </c>
      <c r="E19" s="8">
        <v>0.7</v>
      </c>
      <c r="F19" s="8">
        <v>3.5</v>
      </c>
      <c r="G19" s="8">
        <v>4.4000000000000004</v>
      </c>
      <c r="H19" s="8">
        <v>1.3</v>
      </c>
      <c r="I19" s="8">
        <v>1.9</v>
      </c>
      <c r="J19" s="8">
        <v>0.7</v>
      </c>
      <c r="K19" s="8">
        <v>2.4</v>
      </c>
      <c r="L19" s="8">
        <v>1.5</v>
      </c>
      <c r="M19" s="8">
        <v>2.5</v>
      </c>
      <c r="N19" s="8">
        <v>0.8</v>
      </c>
      <c r="O19" s="8">
        <v>0.9</v>
      </c>
      <c r="P19" s="8">
        <v>2.8</v>
      </c>
      <c r="Q19" s="8">
        <v>2.2999999999999998</v>
      </c>
      <c r="R19" s="8">
        <v>1.3</v>
      </c>
      <c r="S19" s="8">
        <v>0.9</v>
      </c>
      <c r="T19" s="8">
        <v>2.2000000000000002</v>
      </c>
      <c r="U19" s="8">
        <v>0.9</v>
      </c>
      <c r="V19" s="8">
        <v>0.8</v>
      </c>
      <c r="W19" s="8">
        <v>1.1000000000000001</v>
      </c>
      <c r="X19" s="8">
        <v>1</v>
      </c>
      <c r="Y19" s="8">
        <v>0.8</v>
      </c>
      <c r="Z19" s="8">
        <v>2.2000000000000002</v>
      </c>
      <c r="AA19" s="8">
        <v>1.7</v>
      </c>
      <c r="AB19" s="8">
        <v>1.3</v>
      </c>
      <c r="AC19" s="8">
        <v>1.5</v>
      </c>
      <c r="AD19" s="8">
        <v>0.9</v>
      </c>
      <c r="AE19" s="8">
        <v>0.9</v>
      </c>
      <c r="AF19" s="8">
        <v>2.1</v>
      </c>
      <c r="AG19" s="8">
        <v>2</v>
      </c>
      <c r="AH19" s="8">
        <v>2.1</v>
      </c>
      <c r="AI19" s="8">
        <v>0.5</v>
      </c>
      <c r="AJ19" s="8">
        <v>0.8</v>
      </c>
    </row>
    <row r="20" spans="1:36" ht="16" customHeight="1" x14ac:dyDescent="0.35">
      <c r="A20" s="6" t="s">
        <v>18</v>
      </c>
      <c r="B20" s="8">
        <v>2.2999999999999998</v>
      </c>
      <c r="C20" s="8">
        <v>1.4</v>
      </c>
      <c r="D20" s="8">
        <v>0.7</v>
      </c>
      <c r="E20" s="8">
        <v>0.8</v>
      </c>
      <c r="F20" s="8">
        <v>0.9</v>
      </c>
      <c r="G20" s="8">
        <v>1</v>
      </c>
      <c r="H20" s="8">
        <v>3.6</v>
      </c>
      <c r="I20" s="8">
        <v>0.8</v>
      </c>
      <c r="J20" s="8">
        <v>2.8</v>
      </c>
      <c r="K20" s="8">
        <v>0.1</v>
      </c>
      <c r="L20" s="8">
        <v>0.8</v>
      </c>
      <c r="M20" s="8">
        <v>0.9</v>
      </c>
      <c r="N20" s="8">
        <v>1.5</v>
      </c>
      <c r="O20" s="8">
        <v>3</v>
      </c>
      <c r="P20" s="8">
        <v>1</v>
      </c>
      <c r="Q20" s="8">
        <v>2.1</v>
      </c>
      <c r="R20" s="8">
        <v>1.2</v>
      </c>
      <c r="S20" s="8">
        <v>1.7</v>
      </c>
      <c r="T20" s="8">
        <v>0.4</v>
      </c>
      <c r="U20" s="8">
        <v>1.4</v>
      </c>
      <c r="V20" s="8">
        <v>1</v>
      </c>
      <c r="W20" s="8">
        <v>0.3</v>
      </c>
      <c r="X20" s="8">
        <v>1.3</v>
      </c>
      <c r="Y20" s="8">
        <v>1.2</v>
      </c>
      <c r="Z20" s="8">
        <v>0.8</v>
      </c>
      <c r="AA20" s="8">
        <v>1.1000000000000001</v>
      </c>
      <c r="AB20" s="8">
        <v>1.3</v>
      </c>
      <c r="AC20" s="8">
        <v>0.7</v>
      </c>
      <c r="AD20" s="8">
        <v>0.8</v>
      </c>
      <c r="AE20" s="8">
        <v>1.3</v>
      </c>
      <c r="AF20" s="8">
        <v>0.7</v>
      </c>
      <c r="AG20" s="8">
        <v>1.4</v>
      </c>
      <c r="AH20" s="8">
        <v>0.9</v>
      </c>
      <c r="AI20" s="8">
        <v>1.3</v>
      </c>
      <c r="AJ20" s="8">
        <v>0.8</v>
      </c>
    </row>
    <row r="21" spans="1:36" x14ac:dyDescent="0.35">
      <c r="A21" s="6" t="s">
        <v>19</v>
      </c>
      <c r="B21" s="8">
        <v>0.5</v>
      </c>
      <c r="C21" s="8">
        <v>1.9</v>
      </c>
      <c r="D21" s="8">
        <v>0.7</v>
      </c>
      <c r="E21" s="8">
        <v>1.2</v>
      </c>
      <c r="F21" s="8">
        <v>0.5</v>
      </c>
      <c r="G21" s="8">
        <v>0.6</v>
      </c>
      <c r="H21" s="8">
        <v>1</v>
      </c>
      <c r="I21" s="8">
        <v>0.8</v>
      </c>
      <c r="J21" s="8">
        <v>1.3</v>
      </c>
      <c r="K21" s="8">
        <v>1.5</v>
      </c>
      <c r="L21" s="8">
        <v>1.3</v>
      </c>
      <c r="M21" s="8">
        <v>1.3</v>
      </c>
      <c r="N21" s="8">
        <v>0.5</v>
      </c>
      <c r="O21" s="8">
        <v>0.8</v>
      </c>
      <c r="P21" s="8">
        <v>1.4</v>
      </c>
      <c r="Q21" s="8">
        <v>1.3</v>
      </c>
      <c r="R21" s="8">
        <v>1.1000000000000001</v>
      </c>
      <c r="S21" s="8">
        <v>0.9</v>
      </c>
      <c r="T21" s="8">
        <v>0.7</v>
      </c>
      <c r="U21" s="8">
        <v>1.5</v>
      </c>
      <c r="V21" s="8">
        <v>1.6</v>
      </c>
      <c r="W21" s="8">
        <v>0.8</v>
      </c>
      <c r="X21" s="8">
        <v>0.7</v>
      </c>
      <c r="Y21" s="8">
        <v>1.6</v>
      </c>
      <c r="Z21" s="8">
        <v>1.5</v>
      </c>
      <c r="AA21" s="8">
        <v>2</v>
      </c>
      <c r="AB21" s="8">
        <v>1.3</v>
      </c>
      <c r="AC21" s="8">
        <v>0.8</v>
      </c>
      <c r="AD21" s="8">
        <v>0.4</v>
      </c>
      <c r="AE21" s="8">
        <v>1.2</v>
      </c>
      <c r="AF21" s="8">
        <v>2.6</v>
      </c>
      <c r="AG21" s="8">
        <v>2.4</v>
      </c>
      <c r="AH21" s="8">
        <v>0.2</v>
      </c>
      <c r="AI21" s="8">
        <v>2</v>
      </c>
      <c r="AJ21" s="8">
        <v>0.4</v>
      </c>
    </row>
  </sheetData>
  <pageMargins left="0.75" right="0.75" top="1" bottom="1" header="0.5" footer="0.5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8C30-D0CD-4DAC-AF9E-8CE84BF55D2B}">
  <sheetPr codeName="Sheet4"/>
  <dimension ref="A1:AJ21"/>
  <sheetViews>
    <sheetView workbookViewId="0">
      <selection activeCell="F22" sqref="F22"/>
    </sheetView>
  </sheetViews>
  <sheetFormatPr defaultRowHeight="14.5" x14ac:dyDescent="0.35"/>
  <cols>
    <col min="1" max="1" width="18.26953125" style="4" customWidth="1"/>
    <col min="2" max="16384" width="8.7265625" style="4"/>
  </cols>
  <sheetData>
    <row r="1" spans="1:36" x14ac:dyDescent="0.35">
      <c r="A1" s="4" t="s">
        <v>69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</row>
    <row r="2" spans="1:36" x14ac:dyDescent="0.35">
      <c r="A2" s="6" t="s">
        <v>0</v>
      </c>
      <c r="B2" s="9">
        <v>2</v>
      </c>
      <c r="C2" s="9">
        <v>2</v>
      </c>
      <c r="D2" s="9">
        <v>1</v>
      </c>
      <c r="E2" s="9">
        <v>1</v>
      </c>
      <c r="F2" s="9">
        <v>2</v>
      </c>
      <c r="G2" s="9">
        <v>4</v>
      </c>
      <c r="H2" s="9">
        <v>3</v>
      </c>
      <c r="I2" s="9">
        <v>0</v>
      </c>
      <c r="J2" s="9">
        <v>2</v>
      </c>
      <c r="K2" s="9">
        <v>0</v>
      </c>
      <c r="L2" s="9">
        <v>1</v>
      </c>
      <c r="M2" s="9">
        <v>3</v>
      </c>
      <c r="N2" s="9">
        <v>5</v>
      </c>
      <c r="O2" s="9">
        <v>2</v>
      </c>
      <c r="P2" s="9">
        <v>1</v>
      </c>
      <c r="Q2" s="9">
        <v>0</v>
      </c>
      <c r="R2" s="9">
        <v>5</v>
      </c>
      <c r="S2" s="9">
        <v>1</v>
      </c>
      <c r="T2" s="9">
        <v>3</v>
      </c>
      <c r="U2" s="9">
        <v>1</v>
      </c>
      <c r="V2" s="9">
        <v>2</v>
      </c>
      <c r="W2" s="9">
        <v>2</v>
      </c>
      <c r="X2" s="9">
        <v>1</v>
      </c>
      <c r="Y2" s="9">
        <v>5</v>
      </c>
      <c r="Z2" s="9">
        <v>2</v>
      </c>
      <c r="AA2" s="9">
        <v>0</v>
      </c>
      <c r="AB2" s="9">
        <v>0</v>
      </c>
      <c r="AC2" s="9">
        <v>1</v>
      </c>
      <c r="AD2" s="9">
        <v>1</v>
      </c>
      <c r="AE2" s="9">
        <v>2</v>
      </c>
      <c r="AF2" s="9">
        <v>1</v>
      </c>
      <c r="AG2" s="9">
        <v>1</v>
      </c>
      <c r="AH2" s="9">
        <v>4</v>
      </c>
      <c r="AI2" s="9">
        <v>2</v>
      </c>
      <c r="AJ2" s="9">
        <v>1</v>
      </c>
    </row>
    <row r="3" spans="1:36" x14ac:dyDescent="0.35">
      <c r="A3" s="6" t="s">
        <v>1</v>
      </c>
      <c r="B3" s="9">
        <v>2</v>
      </c>
      <c r="C3" s="9">
        <v>0</v>
      </c>
      <c r="D3" s="9">
        <v>2</v>
      </c>
      <c r="E3" s="9">
        <v>3</v>
      </c>
      <c r="F3" s="9">
        <v>3</v>
      </c>
      <c r="G3" s="9">
        <v>2</v>
      </c>
      <c r="H3" s="9">
        <v>0</v>
      </c>
      <c r="I3" s="9">
        <v>3</v>
      </c>
      <c r="J3" s="9">
        <v>1</v>
      </c>
      <c r="K3" s="9">
        <v>1</v>
      </c>
      <c r="L3" s="9">
        <v>0</v>
      </c>
      <c r="M3" s="9">
        <v>2</v>
      </c>
      <c r="N3" s="9">
        <v>0</v>
      </c>
      <c r="O3" s="9">
        <v>3</v>
      </c>
      <c r="P3" s="9">
        <v>1</v>
      </c>
      <c r="Q3" s="9">
        <v>1</v>
      </c>
      <c r="R3" s="9">
        <v>2</v>
      </c>
      <c r="S3" s="9">
        <v>0</v>
      </c>
      <c r="T3" s="9">
        <v>2</v>
      </c>
      <c r="U3" s="9">
        <v>2</v>
      </c>
      <c r="V3" s="9">
        <v>1</v>
      </c>
      <c r="W3" s="9">
        <v>2</v>
      </c>
      <c r="X3" s="9">
        <v>1</v>
      </c>
      <c r="Y3" s="9">
        <v>0</v>
      </c>
      <c r="Z3" s="9">
        <v>1</v>
      </c>
      <c r="AA3" s="9">
        <v>2</v>
      </c>
      <c r="AB3" s="9">
        <v>1</v>
      </c>
      <c r="AC3" s="9">
        <v>1</v>
      </c>
      <c r="AD3" s="9">
        <v>2</v>
      </c>
      <c r="AE3" s="9">
        <v>3</v>
      </c>
      <c r="AF3" s="9">
        <v>2</v>
      </c>
      <c r="AG3" s="9">
        <v>3</v>
      </c>
      <c r="AH3" s="9">
        <v>4</v>
      </c>
      <c r="AI3" s="9">
        <v>1</v>
      </c>
      <c r="AJ3" s="9">
        <v>1</v>
      </c>
    </row>
    <row r="4" spans="1:36" x14ac:dyDescent="0.35">
      <c r="A4" s="6" t="s">
        <v>2</v>
      </c>
      <c r="B4" s="9">
        <v>1</v>
      </c>
      <c r="C4" s="9">
        <v>1</v>
      </c>
      <c r="D4" s="9">
        <v>3</v>
      </c>
      <c r="E4" s="9">
        <v>0</v>
      </c>
      <c r="F4" s="9">
        <v>0</v>
      </c>
      <c r="G4" s="9">
        <v>3</v>
      </c>
      <c r="H4" s="9">
        <v>0</v>
      </c>
      <c r="I4" s="9">
        <v>2</v>
      </c>
      <c r="J4" s="9">
        <v>1</v>
      </c>
      <c r="K4" s="9">
        <v>2</v>
      </c>
      <c r="L4" s="9">
        <v>2</v>
      </c>
      <c r="M4" s="9">
        <v>1</v>
      </c>
      <c r="N4" s="9">
        <v>4</v>
      </c>
      <c r="O4" s="9">
        <v>1</v>
      </c>
      <c r="P4" s="9">
        <v>2</v>
      </c>
      <c r="Q4" s="9">
        <v>1</v>
      </c>
      <c r="R4" s="9">
        <v>3</v>
      </c>
      <c r="S4" s="9">
        <v>0</v>
      </c>
      <c r="T4" s="9">
        <v>2</v>
      </c>
      <c r="U4" s="9">
        <v>1</v>
      </c>
      <c r="V4" s="9">
        <v>2</v>
      </c>
      <c r="W4" s="9">
        <v>4</v>
      </c>
      <c r="X4" s="9">
        <v>5</v>
      </c>
      <c r="Y4" s="9">
        <v>0</v>
      </c>
      <c r="Z4" s="9">
        <v>3</v>
      </c>
      <c r="AA4" s="9">
        <v>0</v>
      </c>
      <c r="AB4" s="9">
        <v>1</v>
      </c>
      <c r="AC4" s="9">
        <v>2</v>
      </c>
      <c r="AD4" s="9">
        <v>1</v>
      </c>
      <c r="AE4" s="9">
        <v>1</v>
      </c>
      <c r="AF4" s="9">
        <v>2</v>
      </c>
      <c r="AG4" s="9">
        <v>1</v>
      </c>
      <c r="AH4" s="9">
        <v>0</v>
      </c>
      <c r="AI4" s="9">
        <v>1</v>
      </c>
      <c r="AJ4" s="9">
        <v>2</v>
      </c>
    </row>
    <row r="5" spans="1:36" x14ac:dyDescent="0.35">
      <c r="A5" s="6" t="s">
        <v>3</v>
      </c>
      <c r="B5" s="9">
        <v>2</v>
      </c>
      <c r="C5" s="9">
        <v>0</v>
      </c>
      <c r="D5" s="9">
        <v>3</v>
      </c>
      <c r="E5" s="9">
        <v>1</v>
      </c>
      <c r="F5" s="9">
        <v>1</v>
      </c>
      <c r="G5" s="9">
        <v>1</v>
      </c>
      <c r="H5" s="9">
        <v>5</v>
      </c>
      <c r="I5" s="9">
        <v>1</v>
      </c>
      <c r="J5" s="9">
        <v>4</v>
      </c>
      <c r="K5" s="9">
        <v>1</v>
      </c>
      <c r="L5" s="9">
        <v>3</v>
      </c>
      <c r="M5" s="9">
        <v>0</v>
      </c>
      <c r="N5" s="9">
        <v>4</v>
      </c>
      <c r="O5" s="9">
        <v>1</v>
      </c>
      <c r="P5" s="9">
        <v>4</v>
      </c>
      <c r="Q5" s="9">
        <v>1</v>
      </c>
      <c r="R5" s="9">
        <v>0</v>
      </c>
      <c r="S5" s="9">
        <v>0</v>
      </c>
      <c r="T5" s="9">
        <v>1</v>
      </c>
      <c r="U5" s="9">
        <v>5</v>
      </c>
      <c r="V5" s="9">
        <v>2</v>
      </c>
      <c r="W5" s="9">
        <v>0</v>
      </c>
      <c r="X5" s="9">
        <v>2</v>
      </c>
      <c r="Y5" s="9">
        <v>0</v>
      </c>
      <c r="Z5" s="9">
        <v>1</v>
      </c>
      <c r="AA5" s="9">
        <v>4</v>
      </c>
      <c r="AB5" s="9">
        <v>1</v>
      </c>
      <c r="AC5" s="9">
        <v>0</v>
      </c>
      <c r="AD5" s="9">
        <v>2</v>
      </c>
      <c r="AE5" s="9">
        <v>1</v>
      </c>
      <c r="AF5" s="9">
        <v>0</v>
      </c>
      <c r="AG5" s="9">
        <v>1</v>
      </c>
      <c r="AH5" s="9">
        <v>4</v>
      </c>
      <c r="AI5" s="9">
        <v>2</v>
      </c>
      <c r="AJ5" s="9">
        <v>4</v>
      </c>
    </row>
    <row r="6" spans="1:36" x14ac:dyDescent="0.35">
      <c r="A6" s="6" t="s">
        <v>68</v>
      </c>
      <c r="B6" s="9">
        <v>0</v>
      </c>
      <c r="C6" s="9">
        <v>2</v>
      </c>
      <c r="D6" s="9">
        <v>1</v>
      </c>
      <c r="E6" s="9">
        <v>2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9">
        <v>1</v>
      </c>
      <c r="L6" s="9">
        <v>0</v>
      </c>
      <c r="M6" s="9">
        <v>1</v>
      </c>
      <c r="N6" s="9">
        <v>1</v>
      </c>
      <c r="O6" s="9">
        <v>5</v>
      </c>
      <c r="P6" s="9">
        <v>0</v>
      </c>
      <c r="Q6" s="9">
        <v>1</v>
      </c>
      <c r="R6" s="9">
        <v>0</v>
      </c>
      <c r="S6" s="9">
        <v>2</v>
      </c>
      <c r="T6" s="9">
        <v>0</v>
      </c>
      <c r="U6" s="9">
        <v>2</v>
      </c>
      <c r="V6" s="9">
        <v>1</v>
      </c>
      <c r="W6" s="9">
        <v>1</v>
      </c>
      <c r="X6" s="9">
        <v>2</v>
      </c>
      <c r="Y6" s="9">
        <v>1</v>
      </c>
      <c r="Z6" s="9">
        <v>0</v>
      </c>
      <c r="AA6" s="9">
        <v>0</v>
      </c>
      <c r="AB6" s="9">
        <v>0</v>
      </c>
      <c r="AC6" s="9">
        <v>2</v>
      </c>
      <c r="AD6" s="9">
        <v>2</v>
      </c>
      <c r="AE6" s="9">
        <v>2</v>
      </c>
      <c r="AF6" s="9">
        <v>1</v>
      </c>
      <c r="AG6" s="9">
        <v>0</v>
      </c>
      <c r="AH6" s="9">
        <v>1</v>
      </c>
      <c r="AI6" s="9">
        <v>4</v>
      </c>
      <c r="AJ6" s="9">
        <v>1</v>
      </c>
    </row>
    <row r="7" spans="1:36" x14ac:dyDescent="0.35">
      <c r="A7" s="6" t="s">
        <v>5</v>
      </c>
      <c r="B7" s="9">
        <v>0</v>
      </c>
      <c r="C7" s="9">
        <v>6</v>
      </c>
      <c r="D7" s="9">
        <v>1</v>
      </c>
      <c r="E7" s="9">
        <v>1</v>
      </c>
      <c r="F7" s="9">
        <v>3</v>
      </c>
      <c r="G7" s="9">
        <v>4</v>
      </c>
      <c r="H7" s="9">
        <v>1</v>
      </c>
      <c r="I7" s="9">
        <v>1</v>
      </c>
      <c r="J7" s="9">
        <v>2</v>
      </c>
      <c r="K7" s="9">
        <v>1</v>
      </c>
      <c r="L7" s="9">
        <v>1</v>
      </c>
      <c r="M7" s="9">
        <v>2</v>
      </c>
      <c r="N7" s="9">
        <v>3</v>
      </c>
      <c r="O7" s="9">
        <v>5</v>
      </c>
      <c r="P7" s="9">
        <v>4</v>
      </c>
      <c r="Q7" s="9">
        <v>2</v>
      </c>
      <c r="R7" s="9">
        <v>0</v>
      </c>
      <c r="S7" s="9">
        <v>1</v>
      </c>
      <c r="T7" s="9">
        <v>0</v>
      </c>
      <c r="U7" s="9">
        <v>1</v>
      </c>
      <c r="V7" s="9">
        <v>2</v>
      </c>
      <c r="W7" s="9">
        <v>3</v>
      </c>
      <c r="X7" s="9">
        <v>1</v>
      </c>
      <c r="Y7" s="9">
        <v>2</v>
      </c>
      <c r="Z7" s="9">
        <v>0</v>
      </c>
      <c r="AA7" s="9">
        <v>1</v>
      </c>
      <c r="AB7" s="9">
        <v>4</v>
      </c>
      <c r="AC7" s="9">
        <v>1</v>
      </c>
      <c r="AD7" s="9">
        <v>0</v>
      </c>
      <c r="AE7" s="9">
        <v>1</v>
      </c>
      <c r="AF7" s="9">
        <v>0</v>
      </c>
      <c r="AG7" s="9">
        <v>2</v>
      </c>
      <c r="AH7" s="9">
        <v>2</v>
      </c>
      <c r="AI7" s="9">
        <v>1</v>
      </c>
      <c r="AJ7" s="9">
        <v>3</v>
      </c>
    </row>
    <row r="8" spans="1:36" x14ac:dyDescent="0.35">
      <c r="A8" s="6" t="s">
        <v>6</v>
      </c>
      <c r="B8" s="9">
        <v>1</v>
      </c>
      <c r="C8" s="9">
        <v>0</v>
      </c>
      <c r="D8" s="9">
        <v>1</v>
      </c>
      <c r="E8" s="9">
        <v>2</v>
      </c>
      <c r="F8" s="9">
        <v>0</v>
      </c>
      <c r="G8" s="9">
        <v>1</v>
      </c>
      <c r="H8" s="9">
        <v>0</v>
      </c>
      <c r="I8" s="9">
        <v>0</v>
      </c>
      <c r="J8" s="9">
        <v>1</v>
      </c>
      <c r="K8" s="9">
        <v>2</v>
      </c>
      <c r="L8" s="9">
        <v>0</v>
      </c>
      <c r="M8" s="9">
        <v>2</v>
      </c>
      <c r="N8" s="9">
        <v>1</v>
      </c>
      <c r="O8" s="9">
        <v>1</v>
      </c>
      <c r="P8" s="9">
        <v>2</v>
      </c>
      <c r="Q8" s="9">
        <v>3</v>
      </c>
      <c r="R8" s="9">
        <v>1</v>
      </c>
      <c r="S8" s="9">
        <v>0</v>
      </c>
      <c r="T8" s="9">
        <v>2</v>
      </c>
      <c r="U8" s="9">
        <v>1</v>
      </c>
      <c r="V8" s="9">
        <v>2</v>
      </c>
      <c r="W8" s="9">
        <v>2</v>
      </c>
      <c r="X8" s="9">
        <v>1</v>
      </c>
      <c r="Y8" s="9">
        <v>2</v>
      </c>
      <c r="Z8" s="9">
        <v>1</v>
      </c>
      <c r="AA8" s="9">
        <v>2</v>
      </c>
      <c r="AB8" s="9">
        <v>4</v>
      </c>
      <c r="AC8" s="9">
        <v>1</v>
      </c>
      <c r="AD8" s="9">
        <v>0</v>
      </c>
      <c r="AE8" s="9">
        <v>1</v>
      </c>
      <c r="AF8" s="9">
        <v>2</v>
      </c>
      <c r="AG8" s="9">
        <v>2</v>
      </c>
      <c r="AH8" s="9">
        <v>0</v>
      </c>
      <c r="AI8" s="9">
        <v>2</v>
      </c>
      <c r="AJ8" s="9">
        <v>1</v>
      </c>
    </row>
    <row r="9" spans="1:36" x14ac:dyDescent="0.35">
      <c r="A9" s="6" t="s">
        <v>7</v>
      </c>
      <c r="B9" s="9">
        <v>0</v>
      </c>
      <c r="C9" s="9">
        <v>0</v>
      </c>
      <c r="D9" s="9">
        <v>2</v>
      </c>
      <c r="E9" s="9">
        <v>2</v>
      </c>
      <c r="F9" s="9">
        <v>1</v>
      </c>
      <c r="G9" s="9">
        <v>2</v>
      </c>
      <c r="H9" s="9">
        <v>0</v>
      </c>
      <c r="I9" s="9">
        <v>2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4</v>
      </c>
      <c r="P9" s="9">
        <v>2</v>
      </c>
      <c r="Q9" s="9">
        <v>0</v>
      </c>
      <c r="R9" s="9">
        <v>0</v>
      </c>
      <c r="S9" s="9">
        <v>1</v>
      </c>
      <c r="T9" s="9">
        <v>0</v>
      </c>
      <c r="U9" s="9">
        <v>0</v>
      </c>
      <c r="V9" s="9">
        <v>0</v>
      </c>
      <c r="W9" s="9">
        <v>3</v>
      </c>
      <c r="X9" s="9">
        <v>1</v>
      </c>
      <c r="Y9" s="9">
        <v>4</v>
      </c>
      <c r="Z9" s="9">
        <v>2</v>
      </c>
      <c r="AA9" s="9">
        <v>2</v>
      </c>
      <c r="AB9" s="9">
        <v>1</v>
      </c>
      <c r="AC9" s="9">
        <v>1</v>
      </c>
      <c r="AD9" s="9">
        <v>1</v>
      </c>
      <c r="AE9" s="9">
        <v>0</v>
      </c>
      <c r="AF9" s="9">
        <v>1</v>
      </c>
      <c r="AG9" s="9">
        <v>1</v>
      </c>
      <c r="AH9" s="9">
        <v>0</v>
      </c>
      <c r="AI9" s="9">
        <v>0</v>
      </c>
      <c r="AJ9" s="9">
        <v>2</v>
      </c>
    </row>
    <row r="10" spans="1:36" x14ac:dyDescent="0.35">
      <c r="A10" s="6" t="s">
        <v>8</v>
      </c>
      <c r="B10" s="9">
        <v>0</v>
      </c>
      <c r="C10" s="9">
        <v>2</v>
      </c>
      <c r="D10" s="9">
        <v>1</v>
      </c>
      <c r="E10" s="9">
        <v>1</v>
      </c>
      <c r="F10" s="9">
        <v>3</v>
      </c>
      <c r="G10" s="9">
        <v>1</v>
      </c>
      <c r="H10" s="9">
        <v>2</v>
      </c>
      <c r="I10" s="9">
        <v>1</v>
      </c>
      <c r="J10" s="9">
        <v>1</v>
      </c>
      <c r="K10" s="9">
        <v>2</v>
      </c>
      <c r="L10" s="9">
        <v>2</v>
      </c>
      <c r="M10" s="9">
        <v>1</v>
      </c>
      <c r="N10" s="9">
        <v>1</v>
      </c>
      <c r="O10" s="9">
        <v>3</v>
      </c>
      <c r="P10" s="9">
        <v>1</v>
      </c>
      <c r="Q10" s="9">
        <v>2</v>
      </c>
      <c r="R10" s="9">
        <v>0</v>
      </c>
      <c r="S10" s="9">
        <v>2</v>
      </c>
      <c r="T10" s="9">
        <v>2</v>
      </c>
      <c r="U10" s="9">
        <v>2</v>
      </c>
      <c r="V10" s="9">
        <v>2</v>
      </c>
      <c r="W10" s="9">
        <v>2</v>
      </c>
      <c r="X10" s="9">
        <v>0</v>
      </c>
      <c r="Y10" s="9">
        <v>2</v>
      </c>
      <c r="Z10" s="9">
        <v>2</v>
      </c>
      <c r="AA10" s="9">
        <v>0</v>
      </c>
      <c r="AB10" s="9">
        <v>2</v>
      </c>
      <c r="AC10" s="9">
        <v>1</v>
      </c>
      <c r="AD10" s="9">
        <v>2</v>
      </c>
      <c r="AE10" s="9">
        <v>1</v>
      </c>
      <c r="AF10" s="9">
        <v>3</v>
      </c>
      <c r="AG10" s="9">
        <v>0</v>
      </c>
      <c r="AH10" s="9">
        <v>1</v>
      </c>
      <c r="AI10" s="9">
        <v>2</v>
      </c>
      <c r="AJ10" s="9">
        <v>0</v>
      </c>
    </row>
    <row r="11" spans="1:36" x14ac:dyDescent="0.35">
      <c r="A11" s="6" t="s">
        <v>9</v>
      </c>
      <c r="B11" s="9">
        <v>0</v>
      </c>
      <c r="C11" s="9">
        <v>1</v>
      </c>
      <c r="D11" s="9">
        <v>1</v>
      </c>
      <c r="E11" s="9">
        <v>0</v>
      </c>
      <c r="F11" s="9">
        <v>1</v>
      </c>
      <c r="G11" s="9">
        <v>2</v>
      </c>
      <c r="H11" s="9">
        <v>1</v>
      </c>
      <c r="I11" s="9">
        <v>0</v>
      </c>
      <c r="J11" s="9">
        <v>3</v>
      </c>
      <c r="K11" s="9">
        <v>1</v>
      </c>
      <c r="L11" s="9">
        <v>2</v>
      </c>
      <c r="M11" s="9">
        <v>1</v>
      </c>
      <c r="N11" s="9">
        <v>0</v>
      </c>
      <c r="O11" s="9">
        <v>0</v>
      </c>
      <c r="P11" s="9">
        <v>1</v>
      </c>
      <c r="Q11" s="9">
        <v>2</v>
      </c>
      <c r="R11" s="9">
        <v>0</v>
      </c>
      <c r="S11" s="9">
        <v>0</v>
      </c>
      <c r="T11" s="9">
        <v>2</v>
      </c>
      <c r="U11" s="9">
        <v>2</v>
      </c>
      <c r="V11" s="9">
        <v>0</v>
      </c>
      <c r="W11" s="9">
        <v>0</v>
      </c>
      <c r="X11" s="9">
        <v>1</v>
      </c>
      <c r="Y11" s="9">
        <v>1</v>
      </c>
      <c r="Z11" s="9">
        <v>1</v>
      </c>
      <c r="AA11" s="9">
        <v>1</v>
      </c>
      <c r="AB11" s="9">
        <v>2</v>
      </c>
      <c r="AC11" s="9">
        <v>0</v>
      </c>
      <c r="AD11" s="9">
        <v>2</v>
      </c>
      <c r="AE11" s="9">
        <v>2</v>
      </c>
      <c r="AF11" s="9">
        <v>1</v>
      </c>
      <c r="AG11" s="9">
        <v>2</v>
      </c>
      <c r="AH11" s="9">
        <v>0</v>
      </c>
      <c r="AI11" s="9">
        <v>0</v>
      </c>
      <c r="AJ11" s="9">
        <v>2</v>
      </c>
    </row>
    <row r="12" spans="1:36" x14ac:dyDescent="0.35">
      <c r="A12" s="6" t="s">
        <v>10</v>
      </c>
      <c r="B12" s="9">
        <v>1</v>
      </c>
      <c r="C12" s="9">
        <v>1</v>
      </c>
      <c r="D12" s="9">
        <v>1</v>
      </c>
      <c r="E12" s="9">
        <v>2</v>
      </c>
      <c r="F12" s="9">
        <v>1</v>
      </c>
      <c r="G12" s="9">
        <v>2</v>
      </c>
      <c r="H12" s="9">
        <v>1</v>
      </c>
      <c r="I12" s="9">
        <v>3</v>
      </c>
      <c r="J12" s="9">
        <v>1</v>
      </c>
      <c r="K12" s="9">
        <v>1</v>
      </c>
      <c r="L12" s="9">
        <v>0</v>
      </c>
      <c r="M12" s="9">
        <v>1</v>
      </c>
      <c r="N12" s="9">
        <v>1</v>
      </c>
      <c r="O12" s="9">
        <v>3</v>
      </c>
      <c r="P12" s="9">
        <v>2</v>
      </c>
      <c r="Q12" s="9">
        <v>0</v>
      </c>
      <c r="R12" s="9">
        <v>0</v>
      </c>
      <c r="S12" s="9">
        <v>1</v>
      </c>
      <c r="T12" s="9">
        <v>0</v>
      </c>
      <c r="U12" s="9">
        <v>1</v>
      </c>
      <c r="V12" s="9">
        <v>0</v>
      </c>
      <c r="W12" s="9">
        <v>0</v>
      </c>
      <c r="X12" s="9">
        <v>2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2</v>
      </c>
      <c r="AH12" s="9">
        <v>0</v>
      </c>
      <c r="AI12" s="9">
        <v>0</v>
      </c>
      <c r="AJ12" s="9">
        <v>2</v>
      </c>
    </row>
    <row r="13" spans="1:36" x14ac:dyDescent="0.35">
      <c r="A13" s="6" t="s">
        <v>11</v>
      </c>
      <c r="B13" s="9">
        <v>2</v>
      </c>
      <c r="C13" s="9">
        <v>2</v>
      </c>
      <c r="D13" s="9">
        <v>3</v>
      </c>
      <c r="E13" s="9">
        <v>0</v>
      </c>
      <c r="F13" s="9">
        <v>3</v>
      </c>
      <c r="G13" s="9">
        <v>2</v>
      </c>
      <c r="H13" s="9">
        <v>1</v>
      </c>
      <c r="I13" s="9">
        <v>2</v>
      </c>
      <c r="J13" s="9">
        <v>2</v>
      </c>
      <c r="K13" s="9">
        <v>2</v>
      </c>
      <c r="L13" s="9">
        <v>2</v>
      </c>
      <c r="M13" s="9">
        <v>3</v>
      </c>
      <c r="N13" s="9">
        <v>2</v>
      </c>
      <c r="O13" s="9">
        <v>3</v>
      </c>
      <c r="P13" s="9">
        <v>2</v>
      </c>
      <c r="Q13" s="9">
        <v>2</v>
      </c>
      <c r="R13" s="9">
        <v>6</v>
      </c>
      <c r="S13" s="9">
        <v>3</v>
      </c>
      <c r="T13" s="9">
        <v>5</v>
      </c>
      <c r="U13" s="9">
        <v>2</v>
      </c>
      <c r="V13" s="9">
        <v>1</v>
      </c>
      <c r="W13" s="9">
        <v>2</v>
      </c>
      <c r="X13" s="9">
        <v>4</v>
      </c>
      <c r="Y13" s="9">
        <v>2</v>
      </c>
      <c r="Z13" s="9">
        <v>2</v>
      </c>
      <c r="AA13" s="9">
        <v>2</v>
      </c>
      <c r="AB13" s="9">
        <v>2</v>
      </c>
      <c r="AC13" s="9">
        <v>3</v>
      </c>
      <c r="AD13" s="9">
        <v>2</v>
      </c>
      <c r="AE13" s="9">
        <v>1</v>
      </c>
      <c r="AF13" s="9">
        <v>2</v>
      </c>
      <c r="AG13" s="9">
        <v>2</v>
      </c>
      <c r="AH13" s="9">
        <v>1</v>
      </c>
      <c r="AI13" s="9">
        <v>5</v>
      </c>
      <c r="AJ13" s="9">
        <v>1</v>
      </c>
    </row>
    <row r="14" spans="1:36" x14ac:dyDescent="0.35">
      <c r="A14" s="6" t="s">
        <v>12</v>
      </c>
      <c r="B14" s="9">
        <v>2</v>
      </c>
      <c r="C14" s="9">
        <v>4</v>
      </c>
      <c r="D14" s="9">
        <v>3</v>
      </c>
      <c r="E14" s="9">
        <v>2</v>
      </c>
      <c r="F14" s="9">
        <v>2</v>
      </c>
      <c r="G14" s="9">
        <v>1</v>
      </c>
      <c r="H14" s="9">
        <v>3</v>
      </c>
      <c r="I14" s="9">
        <v>2</v>
      </c>
      <c r="J14" s="9">
        <v>1</v>
      </c>
      <c r="K14" s="9">
        <v>1</v>
      </c>
      <c r="L14" s="9">
        <v>1</v>
      </c>
      <c r="M14" s="9">
        <v>0</v>
      </c>
      <c r="N14" s="9">
        <v>0</v>
      </c>
      <c r="O14" s="9">
        <v>3</v>
      </c>
      <c r="P14" s="9">
        <v>2</v>
      </c>
      <c r="Q14" s="9">
        <v>1</v>
      </c>
      <c r="R14" s="9">
        <v>1</v>
      </c>
      <c r="S14" s="9">
        <v>1</v>
      </c>
      <c r="T14" s="9">
        <v>2</v>
      </c>
      <c r="U14" s="9">
        <v>4</v>
      </c>
      <c r="V14" s="9">
        <v>2</v>
      </c>
      <c r="W14" s="9">
        <v>6</v>
      </c>
      <c r="X14" s="9">
        <v>3</v>
      </c>
      <c r="Y14" s="9">
        <v>1</v>
      </c>
      <c r="Z14" s="9">
        <v>4</v>
      </c>
      <c r="AA14" s="9">
        <v>0</v>
      </c>
      <c r="AB14" s="9">
        <v>1</v>
      </c>
      <c r="AC14" s="9">
        <v>0</v>
      </c>
      <c r="AD14" s="9">
        <v>2</v>
      </c>
      <c r="AE14" s="9">
        <v>2</v>
      </c>
      <c r="AF14" s="9">
        <v>0</v>
      </c>
      <c r="AG14" s="9">
        <v>5</v>
      </c>
      <c r="AH14" s="9">
        <v>2</v>
      </c>
      <c r="AI14" s="9">
        <v>2</v>
      </c>
      <c r="AJ14" s="9">
        <v>1</v>
      </c>
    </row>
    <row r="15" spans="1:36" x14ac:dyDescent="0.35">
      <c r="A15" s="6" t="s">
        <v>13</v>
      </c>
      <c r="B15" s="9">
        <v>1</v>
      </c>
      <c r="C15" s="9">
        <v>1</v>
      </c>
      <c r="D15" s="9">
        <v>0</v>
      </c>
      <c r="E15" s="9">
        <v>3</v>
      </c>
      <c r="F15" s="9">
        <v>0</v>
      </c>
      <c r="G15" s="9">
        <v>0</v>
      </c>
      <c r="H15" s="9">
        <v>0</v>
      </c>
      <c r="I15" s="9">
        <v>2</v>
      </c>
      <c r="J15" s="9">
        <v>1</v>
      </c>
      <c r="K15" s="9">
        <v>1</v>
      </c>
      <c r="L15" s="9">
        <v>3</v>
      </c>
      <c r="M15" s="9">
        <v>1</v>
      </c>
      <c r="N15" s="9">
        <v>4</v>
      </c>
      <c r="O15" s="9">
        <v>0</v>
      </c>
      <c r="P15" s="9">
        <v>2</v>
      </c>
      <c r="Q15" s="9">
        <v>2</v>
      </c>
      <c r="R15" s="9">
        <v>0</v>
      </c>
      <c r="S15" s="9">
        <v>0</v>
      </c>
      <c r="T15" s="9">
        <v>0</v>
      </c>
      <c r="U15" s="9">
        <v>2</v>
      </c>
      <c r="V15" s="9">
        <v>3</v>
      </c>
      <c r="W15" s="9">
        <v>1</v>
      </c>
      <c r="X15" s="9">
        <v>1</v>
      </c>
      <c r="Y15" s="9">
        <v>0</v>
      </c>
      <c r="Z15" s="9">
        <v>0</v>
      </c>
      <c r="AA15" s="9">
        <v>2</v>
      </c>
      <c r="AB15" s="9">
        <v>3</v>
      </c>
      <c r="AC15" s="9">
        <v>1</v>
      </c>
      <c r="AD15" s="9">
        <v>3</v>
      </c>
      <c r="AE15" s="9">
        <v>0</v>
      </c>
      <c r="AF15" s="9">
        <v>0</v>
      </c>
      <c r="AG15" s="9">
        <v>1</v>
      </c>
      <c r="AH15" s="9">
        <v>0</v>
      </c>
      <c r="AI15" s="9">
        <v>1</v>
      </c>
      <c r="AJ15" s="9">
        <v>3</v>
      </c>
    </row>
    <row r="16" spans="1:36" x14ac:dyDescent="0.35">
      <c r="A16" s="6" t="s">
        <v>14</v>
      </c>
      <c r="B16" s="9">
        <v>1</v>
      </c>
      <c r="C16" s="9">
        <v>1</v>
      </c>
      <c r="D16" s="9">
        <v>2</v>
      </c>
      <c r="E16" s="9">
        <v>2</v>
      </c>
      <c r="F16" s="9">
        <v>1</v>
      </c>
      <c r="G16" s="9">
        <v>1</v>
      </c>
      <c r="H16" s="9">
        <v>0</v>
      </c>
      <c r="I16" s="9">
        <v>0</v>
      </c>
      <c r="J16" s="9">
        <v>1</v>
      </c>
      <c r="K16" s="9">
        <v>1</v>
      </c>
      <c r="L16" s="9">
        <v>3</v>
      </c>
      <c r="M16" s="9">
        <v>0</v>
      </c>
      <c r="N16" s="9">
        <v>1</v>
      </c>
      <c r="O16" s="9">
        <v>3</v>
      </c>
      <c r="P16" s="9">
        <v>2</v>
      </c>
      <c r="Q16" s="9">
        <v>4</v>
      </c>
      <c r="R16" s="9">
        <v>4</v>
      </c>
      <c r="S16" s="9">
        <v>3</v>
      </c>
      <c r="T16" s="9">
        <v>2</v>
      </c>
      <c r="U16" s="9">
        <v>2</v>
      </c>
      <c r="V16" s="9">
        <v>3</v>
      </c>
      <c r="W16" s="9">
        <v>1</v>
      </c>
      <c r="X16" s="9">
        <v>3</v>
      </c>
      <c r="Y16" s="9">
        <v>1</v>
      </c>
      <c r="Z16" s="9">
        <v>0</v>
      </c>
      <c r="AA16" s="9">
        <v>4</v>
      </c>
      <c r="AB16" s="9">
        <v>0</v>
      </c>
      <c r="AC16" s="9">
        <v>1</v>
      </c>
      <c r="AD16" s="9">
        <v>5</v>
      </c>
      <c r="AE16" s="9">
        <v>2</v>
      </c>
      <c r="AF16" s="9">
        <v>3</v>
      </c>
      <c r="AG16" s="9">
        <v>4</v>
      </c>
      <c r="AH16" s="9">
        <v>1</v>
      </c>
      <c r="AI16" s="9">
        <v>3</v>
      </c>
      <c r="AJ16" s="9">
        <v>1</v>
      </c>
    </row>
    <row r="17" spans="1:36" x14ac:dyDescent="0.35">
      <c r="A17" s="6" t="s">
        <v>15</v>
      </c>
      <c r="B17" s="9">
        <v>1</v>
      </c>
      <c r="C17" s="9">
        <v>1</v>
      </c>
      <c r="D17" s="9">
        <v>1</v>
      </c>
      <c r="E17" s="9">
        <v>1</v>
      </c>
      <c r="F17" s="9">
        <v>2</v>
      </c>
      <c r="G17" s="9">
        <v>0</v>
      </c>
      <c r="H17" s="9">
        <v>1</v>
      </c>
      <c r="I17" s="9">
        <v>1</v>
      </c>
      <c r="J17" s="9">
        <v>3</v>
      </c>
      <c r="K17" s="9">
        <v>3</v>
      </c>
      <c r="L17" s="9">
        <v>1</v>
      </c>
      <c r="M17" s="9">
        <v>0</v>
      </c>
      <c r="N17" s="9">
        <v>1</v>
      </c>
      <c r="O17" s="9">
        <v>0</v>
      </c>
      <c r="P17" s="9">
        <v>3</v>
      </c>
      <c r="Q17" s="9">
        <v>2</v>
      </c>
      <c r="R17" s="9">
        <v>2</v>
      </c>
      <c r="S17" s="9">
        <v>1</v>
      </c>
      <c r="T17" s="9">
        <v>2</v>
      </c>
      <c r="U17" s="9">
        <v>3</v>
      </c>
      <c r="V17" s="9">
        <v>1</v>
      </c>
      <c r="W17" s="9">
        <v>3</v>
      </c>
      <c r="X17" s="9">
        <v>0</v>
      </c>
      <c r="Y17" s="9">
        <v>7</v>
      </c>
      <c r="Z17" s="9">
        <v>1</v>
      </c>
      <c r="AA17" s="9">
        <v>3</v>
      </c>
      <c r="AB17" s="9">
        <v>0</v>
      </c>
      <c r="AC17" s="9">
        <v>1</v>
      </c>
      <c r="AD17" s="9">
        <v>4</v>
      </c>
      <c r="AE17" s="9">
        <v>1</v>
      </c>
      <c r="AF17" s="9">
        <v>1</v>
      </c>
      <c r="AG17" s="9">
        <v>0</v>
      </c>
      <c r="AH17" s="9">
        <v>2</v>
      </c>
      <c r="AI17" s="9">
        <v>0</v>
      </c>
      <c r="AJ17" s="9">
        <v>1</v>
      </c>
    </row>
    <row r="18" spans="1:36" x14ac:dyDescent="0.35">
      <c r="A18" s="6" t="s">
        <v>16</v>
      </c>
      <c r="B18" s="9">
        <v>0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1</v>
      </c>
      <c r="I18" s="9">
        <v>2</v>
      </c>
      <c r="J18" s="9">
        <v>0</v>
      </c>
      <c r="K18" s="9">
        <v>1</v>
      </c>
      <c r="L18" s="9">
        <v>0</v>
      </c>
      <c r="M18" s="9">
        <v>2</v>
      </c>
      <c r="N18" s="9">
        <v>1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1</v>
      </c>
      <c r="U18" s="9">
        <v>0</v>
      </c>
      <c r="V18" s="9">
        <v>1</v>
      </c>
      <c r="W18" s="9">
        <v>2</v>
      </c>
      <c r="X18" s="9">
        <v>1</v>
      </c>
      <c r="Y18" s="9">
        <v>2</v>
      </c>
      <c r="Z18" s="9">
        <v>1</v>
      </c>
      <c r="AA18" s="9">
        <v>0</v>
      </c>
      <c r="AB18" s="9">
        <v>0</v>
      </c>
      <c r="AC18" s="9">
        <v>1</v>
      </c>
      <c r="AD18" s="9">
        <v>1</v>
      </c>
      <c r="AE18" s="9">
        <v>1</v>
      </c>
      <c r="AF18" s="9">
        <v>1</v>
      </c>
      <c r="AG18" s="9">
        <v>0</v>
      </c>
      <c r="AH18" s="9">
        <v>1</v>
      </c>
      <c r="AI18" s="9">
        <v>1</v>
      </c>
      <c r="AJ18" s="9">
        <v>0</v>
      </c>
    </row>
    <row r="19" spans="1:36" x14ac:dyDescent="0.35">
      <c r="A19" s="6" t="s">
        <v>17</v>
      </c>
      <c r="B19" s="9">
        <v>1</v>
      </c>
      <c r="C19" s="9">
        <v>4</v>
      </c>
      <c r="D19" s="9">
        <v>1</v>
      </c>
      <c r="E19" s="9">
        <v>0</v>
      </c>
      <c r="F19" s="9">
        <v>3</v>
      </c>
      <c r="G19" s="9">
        <v>3</v>
      </c>
      <c r="H19" s="9">
        <v>2</v>
      </c>
      <c r="I19" s="9">
        <v>4</v>
      </c>
      <c r="J19" s="9">
        <v>0</v>
      </c>
      <c r="K19" s="9">
        <v>4</v>
      </c>
      <c r="L19" s="9">
        <v>1</v>
      </c>
      <c r="M19" s="9">
        <v>4</v>
      </c>
      <c r="N19" s="9">
        <v>1</v>
      </c>
      <c r="O19" s="9">
        <v>0</v>
      </c>
      <c r="P19" s="9">
        <v>3</v>
      </c>
      <c r="Q19" s="9">
        <v>5</v>
      </c>
      <c r="R19" s="9">
        <v>3</v>
      </c>
      <c r="S19" s="9">
        <v>0</v>
      </c>
      <c r="T19" s="9">
        <v>2</v>
      </c>
      <c r="U19" s="9">
        <v>1</v>
      </c>
      <c r="V19" s="9">
        <v>1</v>
      </c>
      <c r="W19" s="9">
        <v>2</v>
      </c>
      <c r="X19" s="9">
        <v>1</v>
      </c>
      <c r="Y19" s="9">
        <v>2</v>
      </c>
      <c r="Z19" s="9">
        <v>1</v>
      </c>
      <c r="AA19" s="9">
        <v>4</v>
      </c>
      <c r="AB19" s="9">
        <v>0</v>
      </c>
      <c r="AC19" s="9">
        <v>2</v>
      </c>
      <c r="AD19" s="9">
        <v>0</v>
      </c>
      <c r="AE19" s="9">
        <v>0</v>
      </c>
      <c r="AF19" s="9">
        <v>3</v>
      </c>
      <c r="AG19" s="9">
        <v>2</v>
      </c>
      <c r="AH19" s="9">
        <v>1</v>
      </c>
      <c r="AI19" s="9">
        <v>1</v>
      </c>
      <c r="AJ19" s="9">
        <v>1</v>
      </c>
    </row>
    <row r="20" spans="1:36" x14ac:dyDescent="0.35">
      <c r="A20" s="6" t="s">
        <v>18</v>
      </c>
      <c r="B20" s="9">
        <v>1</v>
      </c>
      <c r="C20" s="9">
        <v>2</v>
      </c>
      <c r="D20" s="9">
        <v>1</v>
      </c>
      <c r="E20" s="9">
        <v>1</v>
      </c>
      <c r="F20" s="9">
        <v>0</v>
      </c>
      <c r="G20" s="9">
        <v>1</v>
      </c>
      <c r="H20" s="9">
        <v>4</v>
      </c>
      <c r="I20" s="9">
        <v>1</v>
      </c>
      <c r="J20" s="9">
        <v>2</v>
      </c>
      <c r="K20" s="9">
        <v>0</v>
      </c>
      <c r="L20" s="9">
        <v>0</v>
      </c>
      <c r="M20" s="9">
        <v>2</v>
      </c>
      <c r="N20" s="9">
        <v>2</v>
      </c>
      <c r="O20" s="9">
        <v>1</v>
      </c>
      <c r="P20" s="9">
        <v>2</v>
      </c>
      <c r="Q20" s="9">
        <v>1</v>
      </c>
      <c r="R20" s="9">
        <v>1</v>
      </c>
      <c r="S20" s="9">
        <v>1</v>
      </c>
      <c r="T20" s="9">
        <v>0</v>
      </c>
      <c r="U20" s="9">
        <v>1</v>
      </c>
      <c r="V20" s="9">
        <v>3</v>
      </c>
      <c r="W20" s="9">
        <v>0</v>
      </c>
      <c r="X20" s="9">
        <v>1</v>
      </c>
      <c r="Y20" s="9">
        <v>1</v>
      </c>
      <c r="Z20" s="9">
        <v>0</v>
      </c>
      <c r="AA20" s="9">
        <v>1</v>
      </c>
      <c r="AB20" s="9">
        <v>2</v>
      </c>
      <c r="AC20" s="9">
        <v>0</v>
      </c>
      <c r="AD20" s="9">
        <v>1</v>
      </c>
      <c r="AE20" s="9">
        <v>0</v>
      </c>
      <c r="AF20" s="9">
        <v>2</v>
      </c>
      <c r="AG20" s="9">
        <v>1</v>
      </c>
      <c r="AH20" s="9">
        <v>1</v>
      </c>
      <c r="AI20" s="9">
        <v>2</v>
      </c>
      <c r="AJ20" s="9">
        <v>1</v>
      </c>
    </row>
    <row r="21" spans="1:36" x14ac:dyDescent="0.35">
      <c r="A21" s="6" t="s">
        <v>19</v>
      </c>
      <c r="B21" s="9">
        <v>0</v>
      </c>
      <c r="C21" s="9">
        <v>2</v>
      </c>
      <c r="D21" s="9">
        <v>1</v>
      </c>
      <c r="E21" s="9">
        <v>1</v>
      </c>
      <c r="F21" s="9">
        <v>1</v>
      </c>
      <c r="G21" s="9">
        <v>1</v>
      </c>
      <c r="H21" s="9">
        <v>3</v>
      </c>
      <c r="I21" s="9">
        <v>1</v>
      </c>
      <c r="J21" s="9">
        <v>2</v>
      </c>
      <c r="K21" s="9">
        <v>2</v>
      </c>
      <c r="L21" s="9">
        <v>2</v>
      </c>
      <c r="M21" s="9">
        <v>4</v>
      </c>
      <c r="N21" s="9">
        <v>2</v>
      </c>
      <c r="O21" s="9">
        <v>0</v>
      </c>
      <c r="P21" s="9">
        <v>1</v>
      </c>
      <c r="Q21" s="9">
        <v>1</v>
      </c>
      <c r="R21" s="9">
        <v>3</v>
      </c>
      <c r="S21" s="9">
        <v>2</v>
      </c>
      <c r="T21" s="9">
        <v>2</v>
      </c>
      <c r="U21" s="9">
        <v>0</v>
      </c>
      <c r="V21" s="9">
        <v>0</v>
      </c>
      <c r="W21" s="9">
        <v>1</v>
      </c>
      <c r="X21" s="9">
        <v>0</v>
      </c>
      <c r="Y21" s="9">
        <v>2</v>
      </c>
      <c r="Z21" s="9">
        <v>1</v>
      </c>
      <c r="AA21" s="9">
        <v>1</v>
      </c>
      <c r="AB21" s="9">
        <v>1</v>
      </c>
      <c r="AC21" s="9">
        <v>1</v>
      </c>
      <c r="AD21" s="9">
        <v>2</v>
      </c>
      <c r="AE21" s="9">
        <v>1</v>
      </c>
      <c r="AF21" s="9">
        <v>2</v>
      </c>
      <c r="AG21" s="9">
        <v>4</v>
      </c>
      <c r="AH21" s="9">
        <v>1</v>
      </c>
      <c r="AI21" s="9">
        <v>3</v>
      </c>
      <c r="AJ21" s="9">
        <v>0</v>
      </c>
    </row>
  </sheetData>
  <pageMargins left="0.75" right="0.75" top="1" bottom="1" header="0.5" footer="0.5"/>
  <headerFooter>
    <oddFooter>&amp;R_x000D_&amp;1#&amp;"Calibri"&amp;9&amp;K000000 Ierobežotas pieejamības ārēja informācija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A2D6-EC84-411E-8ED6-32C0F47CA614}">
  <sheetPr codeName="Sheet6"/>
  <dimension ref="C7:AD29"/>
  <sheetViews>
    <sheetView zoomScale="40" zoomScaleNormal="40" workbookViewId="0">
      <selection activeCell="AG26" sqref="AG26"/>
    </sheetView>
  </sheetViews>
  <sheetFormatPr defaultRowHeight="14.5" x14ac:dyDescent="0.35"/>
  <cols>
    <col min="4" max="5" width="10.26953125" bestFit="1" customWidth="1"/>
    <col min="6" max="6" width="10.81640625" customWidth="1"/>
    <col min="13" max="13" width="10.36328125" customWidth="1"/>
    <col min="15" max="15" width="11.453125" customWidth="1"/>
    <col min="20" max="20" width="11.90625" customWidth="1"/>
    <col min="22" max="22" width="11.26953125" customWidth="1"/>
    <col min="27" max="27" width="11.453125" customWidth="1"/>
    <col min="29" max="29" width="9.453125" customWidth="1"/>
  </cols>
  <sheetData>
    <row r="7" spans="3:30" x14ac:dyDescent="0.35">
      <c r="D7" s="17">
        <v>19</v>
      </c>
      <c r="E7" s="17"/>
      <c r="F7" s="17"/>
      <c r="G7" s="17"/>
      <c r="M7" s="17">
        <v>5</v>
      </c>
      <c r="N7" s="17"/>
      <c r="O7" s="17"/>
      <c r="P7" s="17"/>
      <c r="T7" s="17">
        <v>15</v>
      </c>
      <c r="U7" s="17"/>
      <c r="V7" s="17"/>
      <c r="W7" s="17"/>
      <c r="AA7" s="17">
        <v>25</v>
      </c>
      <c r="AB7" s="17"/>
      <c r="AC7" s="17"/>
      <c r="AD7" s="17"/>
    </row>
    <row r="8" spans="3:30" ht="29" x14ac:dyDescent="0.35">
      <c r="D8" s="11" t="s">
        <v>58</v>
      </c>
      <c r="E8" s="12" t="s">
        <v>72</v>
      </c>
      <c r="F8" s="13" t="s">
        <v>70</v>
      </c>
      <c r="G8" s="14" t="s">
        <v>71</v>
      </c>
      <c r="M8" s="11" t="s">
        <v>58</v>
      </c>
      <c r="N8" s="12" t="s">
        <v>72</v>
      </c>
      <c r="O8" s="13" t="s">
        <v>70</v>
      </c>
      <c r="P8" s="14" t="s">
        <v>71</v>
      </c>
      <c r="T8" s="11" t="s">
        <v>58</v>
      </c>
      <c r="U8" s="12" t="s">
        <v>72</v>
      </c>
      <c r="V8" s="13" t="s">
        <v>70</v>
      </c>
      <c r="W8" s="14" t="s">
        <v>71</v>
      </c>
      <c r="AA8" s="11" t="s">
        <v>58</v>
      </c>
      <c r="AB8" s="12" t="s">
        <v>72</v>
      </c>
      <c r="AC8" s="13" t="s">
        <v>70</v>
      </c>
      <c r="AD8" s="14" t="s">
        <v>71</v>
      </c>
    </row>
    <row r="9" spans="3:30" x14ac:dyDescent="0.35">
      <c r="C9" s="2" t="s">
        <v>0</v>
      </c>
      <c r="D9" s="1">
        <v>1.6667585396996001</v>
      </c>
      <c r="E9" s="1">
        <v>1.6189684867858889</v>
      </c>
      <c r="F9">
        <v>1.9</v>
      </c>
      <c r="G9">
        <v>3</v>
      </c>
      <c r="L9" s="2" t="s">
        <v>0</v>
      </c>
      <c r="M9" s="1">
        <v>1.2962552420814599</v>
      </c>
      <c r="N9" s="1">
        <v>0.68791991472244263</v>
      </c>
      <c r="O9">
        <v>0.7</v>
      </c>
      <c r="P9">
        <v>2</v>
      </c>
      <c r="S9" s="2" t="s">
        <v>0</v>
      </c>
      <c r="T9" s="1">
        <v>1.5305941923050801</v>
      </c>
      <c r="U9" s="1">
        <v>1.628772020339966</v>
      </c>
      <c r="V9">
        <v>1.8</v>
      </c>
      <c r="W9">
        <v>1</v>
      </c>
      <c r="Z9" s="2" t="s">
        <v>0</v>
      </c>
      <c r="AA9" s="1">
        <v>2.15199677731658</v>
      </c>
      <c r="AB9" s="1">
        <v>1.31885290145874</v>
      </c>
      <c r="AC9">
        <v>1.4</v>
      </c>
      <c r="AD9">
        <v>2</v>
      </c>
    </row>
    <row r="10" spans="3:30" x14ac:dyDescent="0.35">
      <c r="C10" s="2" t="s">
        <v>1</v>
      </c>
      <c r="D10" s="1">
        <v>1.83813719049372</v>
      </c>
      <c r="E10" s="1">
        <v>1.6938879489898679</v>
      </c>
      <c r="F10">
        <v>1.8</v>
      </c>
      <c r="G10">
        <v>2</v>
      </c>
      <c r="L10" s="2" t="s">
        <v>1</v>
      </c>
      <c r="M10" s="1">
        <v>2.0503143914488899</v>
      </c>
      <c r="N10" s="1">
        <v>1.3640284538269041</v>
      </c>
      <c r="O10">
        <v>1.7</v>
      </c>
      <c r="P10">
        <v>3</v>
      </c>
      <c r="S10" s="2" t="s">
        <v>1</v>
      </c>
      <c r="T10" s="1">
        <v>2.5289339029615299</v>
      </c>
      <c r="U10" s="1">
        <v>1.7913070917129521</v>
      </c>
      <c r="V10">
        <v>2.2999999999999998</v>
      </c>
      <c r="W10">
        <v>1</v>
      </c>
      <c r="Z10" s="2" t="s">
        <v>1</v>
      </c>
      <c r="AA10" s="1">
        <v>2.3790782011502798</v>
      </c>
      <c r="AB10" s="1">
        <v>2.2243728637695308</v>
      </c>
      <c r="AC10">
        <v>2.4</v>
      </c>
      <c r="AD10">
        <v>1</v>
      </c>
    </row>
    <row r="11" spans="3:30" x14ac:dyDescent="0.35">
      <c r="C11" s="2" t="s">
        <v>2</v>
      </c>
      <c r="D11" s="1">
        <v>1.3054118597002899</v>
      </c>
      <c r="E11" s="1">
        <v>1.122737050056458</v>
      </c>
      <c r="F11">
        <v>2</v>
      </c>
      <c r="G11">
        <v>2</v>
      </c>
      <c r="L11" s="2" t="s">
        <v>2</v>
      </c>
      <c r="M11" s="1">
        <v>0.98162510857062701</v>
      </c>
      <c r="N11" s="1">
        <v>0.74219685792922974</v>
      </c>
      <c r="O11">
        <v>1.1000000000000001</v>
      </c>
      <c r="P11">
        <v>0</v>
      </c>
      <c r="S11" s="2" t="s">
        <v>2</v>
      </c>
      <c r="T11" s="1">
        <v>1.83193333920632</v>
      </c>
      <c r="U11" s="1">
        <v>1.4507541656494141</v>
      </c>
      <c r="V11">
        <v>3.2</v>
      </c>
      <c r="W11">
        <v>2</v>
      </c>
      <c r="Z11" s="2" t="s">
        <v>2</v>
      </c>
      <c r="AA11" s="1">
        <v>1.9473249459578199</v>
      </c>
      <c r="AB11" s="1">
        <v>1.69713819026947</v>
      </c>
      <c r="AC11">
        <v>1.2</v>
      </c>
      <c r="AD11">
        <v>3</v>
      </c>
    </row>
    <row r="12" spans="3:30" x14ac:dyDescent="0.35">
      <c r="C12" s="2" t="s">
        <v>3</v>
      </c>
      <c r="D12" s="1">
        <v>0.85270949673236196</v>
      </c>
      <c r="E12" s="1">
        <v>0.94255262613296509</v>
      </c>
      <c r="F12">
        <v>0.3</v>
      </c>
      <c r="G12">
        <v>1</v>
      </c>
      <c r="L12" s="2" t="s">
        <v>3</v>
      </c>
      <c r="M12" s="1">
        <v>1.4022899948636001</v>
      </c>
      <c r="N12" s="1">
        <v>1.153160452842712</v>
      </c>
      <c r="O12">
        <v>0.8</v>
      </c>
      <c r="P12">
        <v>1</v>
      </c>
      <c r="S12" s="2" t="s">
        <v>3</v>
      </c>
      <c r="T12" s="1">
        <v>1.5857826309062399</v>
      </c>
      <c r="U12" s="1">
        <v>1.6434023380279541</v>
      </c>
      <c r="V12">
        <v>1.2</v>
      </c>
      <c r="W12">
        <v>4</v>
      </c>
      <c r="Z12" s="2" t="s">
        <v>3</v>
      </c>
      <c r="AA12" s="1">
        <v>1.3841631364459701</v>
      </c>
      <c r="AB12" s="1">
        <v>1.321176171302795</v>
      </c>
      <c r="AC12">
        <v>1.6</v>
      </c>
      <c r="AD12">
        <v>1</v>
      </c>
    </row>
    <row r="13" spans="3:30" x14ac:dyDescent="0.35">
      <c r="C13" s="2" t="s">
        <v>4</v>
      </c>
      <c r="D13" s="1">
        <v>1.3679353691838601</v>
      </c>
      <c r="E13" s="1">
        <v>1.228216171264648</v>
      </c>
      <c r="F13">
        <v>1.1000000000000001</v>
      </c>
      <c r="G13">
        <v>0</v>
      </c>
      <c r="L13" s="2" t="s">
        <v>4</v>
      </c>
      <c r="M13" s="1">
        <v>1.6979450043284501</v>
      </c>
      <c r="N13" s="1">
        <v>1.4708948135375981</v>
      </c>
      <c r="O13">
        <v>1</v>
      </c>
      <c r="P13">
        <v>1</v>
      </c>
      <c r="S13" s="2" t="s">
        <v>4</v>
      </c>
      <c r="T13" s="1">
        <v>1.81195811701793</v>
      </c>
      <c r="U13" s="1">
        <v>1.3290801048278811</v>
      </c>
      <c r="V13">
        <v>1.5</v>
      </c>
      <c r="W13">
        <v>0</v>
      </c>
      <c r="Z13" s="2" t="s">
        <v>4</v>
      </c>
      <c r="AA13" s="1">
        <v>1.6069925849253499</v>
      </c>
      <c r="AB13" s="1">
        <v>1.405316233634949</v>
      </c>
      <c r="AC13">
        <v>1.4</v>
      </c>
      <c r="AD13">
        <v>0</v>
      </c>
    </row>
    <row r="14" spans="3:30" x14ac:dyDescent="0.35">
      <c r="C14" s="2" t="s">
        <v>5</v>
      </c>
      <c r="D14" s="1">
        <v>2.0307313531181501</v>
      </c>
      <c r="E14" s="1">
        <v>1.8790880441665649</v>
      </c>
      <c r="F14">
        <v>2</v>
      </c>
      <c r="G14">
        <v>0</v>
      </c>
      <c r="L14" s="2" t="s">
        <v>5</v>
      </c>
      <c r="M14" s="1">
        <v>1.67924094650661</v>
      </c>
      <c r="N14" s="1">
        <v>1.7437634468078611</v>
      </c>
      <c r="O14">
        <v>2.2000000000000002</v>
      </c>
      <c r="P14">
        <v>3</v>
      </c>
      <c r="S14" s="2" t="s">
        <v>5</v>
      </c>
      <c r="T14" s="1">
        <v>1.70123211364936</v>
      </c>
      <c r="U14" s="1">
        <v>2.3697092533111568</v>
      </c>
      <c r="V14">
        <v>2.8</v>
      </c>
      <c r="W14">
        <v>4</v>
      </c>
      <c r="Z14" s="2" t="s">
        <v>5</v>
      </c>
      <c r="AA14" s="1">
        <v>1.56899542951691</v>
      </c>
      <c r="AB14" s="1">
        <v>1.432894825935364</v>
      </c>
      <c r="AC14">
        <v>0.5</v>
      </c>
      <c r="AD14">
        <v>0</v>
      </c>
    </row>
    <row r="15" spans="3:30" x14ac:dyDescent="0.35">
      <c r="C15" s="2" t="s">
        <v>6</v>
      </c>
      <c r="D15" s="1">
        <v>2.25124996982019</v>
      </c>
      <c r="E15" s="1">
        <v>1.338193535804749</v>
      </c>
      <c r="F15">
        <v>2</v>
      </c>
      <c r="G15">
        <v>2</v>
      </c>
      <c r="L15" s="2" t="s">
        <v>6</v>
      </c>
      <c r="M15" s="1">
        <v>1.6275179898436301</v>
      </c>
      <c r="N15" s="1">
        <v>1.2065144777297969</v>
      </c>
      <c r="O15">
        <v>1</v>
      </c>
      <c r="P15">
        <v>0</v>
      </c>
      <c r="S15" s="2" t="s">
        <v>6</v>
      </c>
      <c r="T15" s="1">
        <v>1.2780955159813401</v>
      </c>
      <c r="U15" s="1">
        <v>0.76304751634597778</v>
      </c>
      <c r="V15">
        <v>1.3</v>
      </c>
      <c r="W15">
        <v>2</v>
      </c>
      <c r="Z15" s="2" t="s">
        <v>6</v>
      </c>
      <c r="AA15" s="1">
        <v>1.43853926938321</v>
      </c>
      <c r="AB15" s="1">
        <v>1.441969037055969</v>
      </c>
      <c r="AC15">
        <v>1.6</v>
      </c>
      <c r="AD15">
        <v>1</v>
      </c>
    </row>
    <row r="16" spans="3:30" x14ac:dyDescent="0.35">
      <c r="C16" s="2" t="s">
        <v>7</v>
      </c>
      <c r="D16" s="1">
        <v>1.2562921179353399</v>
      </c>
      <c r="E16" s="1">
        <v>1.155275821685791</v>
      </c>
      <c r="F16">
        <v>0.9</v>
      </c>
      <c r="G16">
        <v>0</v>
      </c>
      <c r="L16" s="2" t="s">
        <v>7</v>
      </c>
      <c r="M16" s="1">
        <v>1.34064925226415</v>
      </c>
      <c r="N16" s="1">
        <v>1.6676557064056401</v>
      </c>
      <c r="O16">
        <v>1.1000000000000001</v>
      </c>
      <c r="P16">
        <v>1</v>
      </c>
      <c r="S16" s="2" t="s">
        <v>7</v>
      </c>
      <c r="T16" s="1">
        <v>0.91556378584859299</v>
      </c>
      <c r="U16" s="1">
        <v>1.0176988840103149</v>
      </c>
      <c r="V16">
        <v>1</v>
      </c>
      <c r="W16">
        <v>2</v>
      </c>
      <c r="Z16" s="2" t="s">
        <v>7</v>
      </c>
      <c r="AA16" s="1">
        <v>0.97768601059537896</v>
      </c>
      <c r="AB16" s="1">
        <v>1.2238864898681641</v>
      </c>
      <c r="AC16">
        <v>0.9</v>
      </c>
      <c r="AD16">
        <v>2</v>
      </c>
    </row>
    <row r="17" spans="3:30" x14ac:dyDescent="0.35">
      <c r="C17" s="2" t="s">
        <v>8</v>
      </c>
      <c r="D17" s="1">
        <v>1.4531771774042399</v>
      </c>
      <c r="E17" s="1">
        <v>1.5816279649734499</v>
      </c>
      <c r="F17">
        <v>1.1000000000000001</v>
      </c>
      <c r="G17">
        <v>2</v>
      </c>
      <c r="L17" s="2" t="s">
        <v>8</v>
      </c>
      <c r="M17" s="1">
        <v>1.4883449305941401</v>
      </c>
      <c r="N17" s="1">
        <v>1.063407778739929</v>
      </c>
      <c r="O17">
        <v>2.2000000000000002</v>
      </c>
      <c r="P17">
        <v>3</v>
      </c>
      <c r="S17" s="2" t="s">
        <v>8</v>
      </c>
      <c r="T17" s="1">
        <v>0.80031514533981696</v>
      </c>
      <c r="U17" s="1">
        <v>0.74698585271835327</v>
      </c>
      <c r="V17">
        <v>0.2</v>
      </c>
      <c r="W17">
        <v>1</v>
      </c>
      <c r="Z17" s="2" t="s">
        <v>8</v>
      </c>
      <c r="AA17" s="1">
        <v>1.4749645450229301</v>
      </c>
      <c r="AB17" s="1">
        <v>1.3743200302124019</v>
      </c>
      <c r="AC17">
        <v>2.1</v>
      </c>
      <c r="AD17">
        <v>2</v>
      </c>
    </row>
    <row r="18" spans="3:30" x14ac:dyDescent="0.35">
      <c r="C18" s="2" t="s">
        <v>9</v>
      </c>
      <c r="D18" s="1">
        <v>1.0719432743473301</v>
      </c>
      <c r="E18" s="1">
        <v>0.92204636335372925</v>
      </c>
      <c r="F18">
        <v>1.6</v>
      </c>
      <c r="G18">
        <v>2</v>
      </c>
      <c r="L18" s="2" t="s">
        <v>9</v>
      </c>
      <c r="M18" s="1">
        <v>1.28237606544535</v>
      </c>
      <c r="N18" s="1">
        <v>0.92809027433395386</v>
      </c>
      <c r="O18">
        <v>1.6</v>
      </c>
      <c r="P18">
        <v>1</v>
      </c>
      <c r="S18" s="2" t="s">
        <v>9</v>
      </c>
      <c r="T18" s="1">
        <v>1.1158826831773601</v>
      </c>
      <c r="U18" s="1">
        <v>1.1399375200271611</v>
      </c>
      <c r="V18">
        <v>1.3</v>
      </c>
      <c r="W18">
        <v>1</v>
      </c>
      <c r="Z18" s="2" t="s">
        <v>9</v>
      </c>
      <c r="AA18" s="1">
        <v>0.912480326601254</v>
      </c>
      <c r="AB18" s="1">
        <v>0.96793669462203979</v>
      </c>
      <c r="AC18">
        <v>0.4</v>
      </c>
      <c r="AD18">
        <v>1</v>
      </c>
    </row>
    <row r="19" spans="3:30" x14ac:dyDescent="0.35">
      <c r="C19" s="2" t="s">
        <v>10</v>
      </c>
      <c r="D19" s="1">
        <v>0.83862238957869395</v>
      </c>
      <c r="E19" s="1">
        <v>0.70628196001052856</v>
      </c>
      <c r="F19">
        <v>1.3</v>
      </c>
      <c r="G19">
        <v>0</v>
      </c>
      <c r="L19" s="2" t="s">
        <v>10</v>
      </c>
      <c r="M19" s="1">
        <v>0.94389756047821105</v>
      </c>
      <c r="N19" s="1">
        <v>1.732568025588989</v>
      </c>
      <c r="O19">
        <v>0.7</v>
      </c>
      <c r="P19">
        <v>1</v>
      </c>
      <c r="S19" s="2" t="s">
        <v>10</v>
      </c>
      <c r="T19" s="1">
        <v>1.07366131488314</v>
      </c>
      <c r="U19" s="1">
        <v>1.567245721817017</v>
      </c>
      <c r="V19">
        <v>1.3</v>
      </c>
      <c r="W19">
        <v>2</v>
      </c>
      <c r="Z19" s="2" t="s">
        <v>10</v>
      </c>
      <c r="AA19" s="1">
        <v>0.55439024059126096</v>
      </c>
      <c r="AB19" s="1">
        <v>0.71801406145095825</v>
      </c>
      <c r="AC19">
        <v>0.2</v>
      </c>
      <c r="AD19">
        <v>0</v>
      </c>
    </row>
    <row r="20" spans="3:30" x14ac:dyDescent="0.35">
      <c r="C20" s="2" t="s">
        <v>11</v>
      </c>
      <c r="D20" s="1">
        <v>2.0764423769657898</v>
      </c>
      <c r="E20" s="1">
        <v>1.5869846343994141</v>
      </c>
      <c r="F20">
        <v>3.1</v>
      </c>
      <c r="G20">
        <v>5</v>
      </c>
      <c r="L20" s="2" t="s">
        <v>11</v>
      </c>
      <c r="M20" s="1">
        <v>2.32268993220183</v>
      </c>
      <c r="N20" s="1">
        <v>2.6046042442321782</v>
      </c>
      <c r="O20">
        <v>2</v>
      </c>
      <c r="P20">
        <v>3</v>
      </c>
      <c r="S20" s="2" t="s">
        <v>11</v>
      </c>
      <c r="T20" s="1">
        <v>1.70563502209838</v>
      </c>
      <c r="U20" s="1">
        <v>2.2800054550170898</v>
      </c>
      <c r="V20">
        <v>0.6</v>
      </c>
      <c r="W20">
        <v>2</v>
      </c>
      <c r="Z20" s="2" t="s">
        <v>11</v>
      </c>
      <c r="AA20" s="1">
        <v>2.7632995831145299</v>
      </c>
      <c r="AB20" s="1">
        <v>2.206148624420166</v>
      </c>
      <c r="AC20">
        <v>1.7</v>
      </c>
      <c r="AD20">
        <v>2</v>
      </c>
    </row>
    <row r="21" spans="3:30" x14ac:dyDescent="0.35">
      <c r="C21" s="2" t="s">
        <v>12</v>
      </c>
      <c r="D21" s="1">
        <v>2.3882977203682798</v>
      </c>
      <c r="E21" s="1">
        <v>1.992811799049377</v>
      </c>
      <c r="F21">
        <v>1.3</v>
      </c>
      <c r="G21">
        <v>2</v>
      </c>
      <c r="L21" s="2" t="s">
        <v>12</v>
      </c>
      <c r="M21" s="1">
        <v>1.2143486197270099</v>
      </c>
      <c r="N21" s="1">
        <v>2.187080860137939</v>
      </c>
      <c r="O21">
        <v>2.1</v>
      </c>
      <c r="P21">
        <v>2</v>
      </c>
      <c r="S21" s="2" t="s">
        <v>12</v>
      </c>
      <c r="T21" s="1">
        <v>1.74169736521123</v>
      </c>
      <c r="U21" s="1">
        <v>2.1870725154876709</v>
      </c>
      <c r="V21">
        <v>1.4</v>
      </c>
      <c r="W21">
        <v>2</v>
      </c>
      <c r="Z21" s="2" t="s">
        <v>12</v>
      </c>
      <c r="AA21" s="1">
        <v>2.2583223904594201</v>
      </c>
      <c r="AB21" s="1">
        <v>2.0513396263122559</v>
      </c>
      <c r="AC21">
        <v>1.9</v>
      </c>
      <c r="AD21">
        <v>4</v>
      </c>
    </row>
    <row r="22" spans="3:30" x14ac:dyDescent="0.35">
      <c r="C22" s="2" t="s">
        <v>13</v>
      </c>
      <c r="D22" s="1">
        <v>1.56328052177287</v>
      </c>
      <c r="E22" s="1">
        <v>1.484158396720886</v>
      </c>
      <c r="F22">
        <v>0.8</v>
      </c>
      <c r="G22">
        <v>0</v>
      </c>
      <c r="L22" s="2" t="s">
        <v>13</v>
      </c>
      <c r="M22" s="1">
        <v>1.2056567199442001</v>
      </c>
      <c r="N22" s="1">
        <v>1.1873335838317871</v>
      </c>
      <c r="O22">
        <v>1.6</v>
      </c>
      <c r="P22">
        <v>0</v>
      </c>
      <c r="S22" s="2" t="s">
        <v>13</v>
      </c>
      <c r="T22" s="1">
        <v>1.5492264569473699</v>
      </c>
      <c r="U22" s="1">
        <v>1.8622323274612429</v>
      </c>
      <c r="V22">
        <v>1.6</v>
      </c>
      <c r="W22">
        <v>2</v>
      </c>
      <c r="Z22" s="2" t="s">
        <v>13</v>
      </c>
      <c r="AA22" s="1">
        <v>1.38239162929566</v>
      </c>
      <c r="AB22" s="1">
        <v>1.5811642408370969</v>
      </c>
      <c r="AC22">
        <v>1.5</v>
      </c>
      <c r="AD22">
        <v>0</v>
      </c>
    </row>
    <row r="23" spans="3:30" x14ac:dyDescent="0.35">
      <c r="C23" s="2" t="s">
        <v>14</v>
      </c>
      <c r="D23" s="1">
        <v>1.5765770683781299</v>
      </c>
      <c r="E23" s="1">
        <v>1.0891571044921879</v>
      </c>
      <c r="F23">
        <v>1.9</v>
      </c>
      <c r="G23">
        <v>2</v>
      </c>
      <c r="L23" s="2" t="s">
        <v>14</v>
      </c>
      <c r="M23" s="1">
        <v>1.4619154443531099</v>
      </c>
      <c r="N23" s="1">
        <v>1.5653325319290159</v>
      </c>
      <c r="O23">
        <v>1.5</v>
      </c>
      <c r="P23">
        <v>1</v>
      </c>
      <c r="S23" s="2" t="s">
        <v>14</v>
      </c>
      <c r="T23" s="1">
        <v>1.5919700097154199</v>
      </c>
      <c r="U23" s="1">
        <v>1.4914577007293699</v>
      </c>
      <c r="V23">
        <v>1.5</v>
      </c>
      <c r="W23">
        <v>2</v>
      </c>
      <c r="Z23" s="2" t="s">
        <v>14</v>
      </c>
      <c r="AA23" s="1">
        <v>1.2380914338690101</v>
      </c>
      <c r="AB23" s="1">
        <v>0.51678144931793213</v>
      </c>
      <c r="AC23">
        <v>0.5</v>
      </c>
      <c r="AD23">
        <v>0</v>
      </c>
    </row>
    <row r="24" spans="3:30" x14ac:dyDescent="0.35">
      <c r="C24" s="2" t="s">
        <v>15</v>
      </c>
      <c r="D24" s="1">
        <v>0.98323933901598504</v>
      </c>
      <c r="E24" s="1">
        <v>1.106220960617065</v>
      </c>
      <c r="F24">
        <v>1.5</v>
      </c>
      <c r="G24">
        <v>2</v>
      </c>
      <c r="L24" s="2" t="s">
        <v>15</v>
      </c>
      <c r="M24" s="1">
        <v>1.11841166433134</v>
      </c>
      <c r="N24" s="1">
        <v>0.69331187009811401</v>
      </c>
      <c r="O24">
        <v>1.4</v>
      </c>
      <c r="P24">
        <v>2</v>
      </c>
      <c r="S24" s="2" t="s">
        <v>15</v>
      </c>
      <c r="T24" s="1">
        <v>1.11240599866043</v>
      </c>
      <c r="U24" s="1">
        <v>0.95621627569198608</v>
      </c>
      <c r="V24">
        <v>0.8</v>
      </c>
      <c r="W24">
        <v>3</v>
      </c>
      <c r="Z24" s="2" t="s">
        <v>15</v>
      </c>
      <c r="AA24" s="1">
        <v>1.03150270446702</v>
      </c>
      <c r="AB24" s="1">
        <v>0.86510592699050903</v>
      </c>
      <c r="AC24">
        <v>0.4</v>
      </c>
      <c r="AD24">
        <v>1</v>
      </c>
    </row>
    <row r="25" spans="3:30" x14ac:dyDescent="0.35">
      <c r="C25" s="2" t="s">
        <v>16</v>
      </c>
      <c r="D25" s="1">
        <v>0.81359847082098102</v>
      </c>
      <c r="E25" s="1">
        <v>1.0913246870040889</v>
      </c>
      <c r="F25">
        <v>0.9</v>
      </c>
      <c r="G25">
        <v>1</v>
      </c>
      <c r="L25" s="2" t="s">
        <v>16</v>
      </c>
      <c r="M25" s="1">
        <v>1.42188128107346</v>
      </c>
      <c r="N25" s="1">
        <v>1.609276294708252</v>
      </c>
      <c r="O25">
        <v>2.4</v>
      </c>
      <c r="P25">
        <v>1</v>
      </c>
      <c r="S25" s="2" t="s">
        <v>16</v>
      </c>
      <c r="T25" s="1">
        <v>0.84225445503319896</v>
      </c>
      <c r="U25" s="1">
        <v>0.8176085352897644</v>
      </c>
      <c r="V25">
        <v>0.3</v>
      </c>
      <c r="W25">
        <v>0</v>
      </c>
      <c r="Z25" s="2" t="s">
        <v>16</v>
      </c>
      <c r="AA25" s="1">
        <v>1.03000265737372</v>
      </c>
      <c r="AB25" s="1">
        <v>1.039519190788269</v>
      </c>
      <c r="AC25">
        <v>0.8</v>
      </c>
      <c r="AD25">
        <v>1</v>
      </c>
    </row>
    <row r="26" spans="3:30" x14ac:dyDescent="0.35">
      <c r="C26" s="2" t="s">
        <v>17</v>
      </c>
      <c r="D26" s="1">
        <v>2.21733613590018</v>
      </c>
      <c r="E26" s="1">
        <v>1.642277717590332</v>
      </c>
      <c r="F26">
        <v>2.2000000000000002</v>
      </c>
      <c r="G26">
        <v>2</v>
      </c>
      <c r="L26" s="2" t="s">
        <v>17</v>
      </c>
      <c r="M26" s="1">
        <v>1.9965045657687499</v>
      </c>
      <c r="N26" s="1">
        <v>2.1364281177520752</v>
      </c>
      <c r="O26">
        <v>3.5</v>
      </c>
      <c r="P26">
        <v>3</v>
      </c>
      <c r="S26" s="2" t="s">
        <v>17</v>
      </c>
      <c r="T26" s="1">
        <v>1.7903917435332199</v>
      </c>
      <c r="U26" s="1">
        <v>1.1893303394317629</v>
      </c>
      <c r="V26">
        <v>2.8</v>
      </c>
      <c r="W26">
        <v>3</v>
      </c>
      <c r="Z26" s="2" t="s">
        <v>17</v>
      </c>
      <c r="AA26" s="1">
        <v>1.9772001332273399</v>
      </c>
      <c r="AB26" s="1">
        <v>1.800101161003113</v>
      </c>
      <c r="AC26">
        <v>2.2000000000000002</v>
      </c>
      <c r="AD26">
        <v>1</v>
      </c>
    </row>
    <row r="27" spans="3:30" x14ac:dyDescent="0.35">
      <c r="C27" s="2" t="s">
        <v>18</v>
      </c>
      <c r="D27" s="1">
        <v>1.0323241741159599</v>
      </c>
      <c r="E27" s="1">
        <v>0.8665352463722229</v>
      </c>
      <c r="F27">
        <v>0.4</v>
      </c>
      <c r="G27">
        <v>0</v>
      </c>
      <c r="L27" s="2" t="s">
        <v>18</v>
      </c>
      <c r="M27" s="1">
        <v>1.34062828920707</v>
      </c>
      <c r="N27" s="1">
        <v>1.1998904943466191</v>
      </c>
      <c r="O27">
        <v>0.9</v>
      </c>
      <c r="P27">
        <v>0</v>
      </c>
      <c r="S27" s="2" t="s">
        <v>18</v>
      </c>
      <c r="T27" s="1">
        <v>1.6603201847896101</v>
      </c>
      <c r="U27" s="1">
        <v>1.536518812179565</v>
      </c>
      <c r="V27">
        <v>1</v>
      </c>
      <c r="W27">
        <v>2</v>
      </c>
      <c r="Z27" s="2" t="s">
        <v>18</v>
      </c>
      <c r="AA27" s="1">
        <v>1.4949636078630599</v>
      </c>
      <c r="AB27" s="1">
        <v>1.3674196004867549</v>
      </c>
      <c r="AC27">
        <v>0.8</v>
      </c>
      <c r="AD27">
        <v>0</v>
      </c>
    </row>
    <row r="28" spans="3:30" x14ac:dyDescent="0.35">
      <c r="C28" s="2" t="s">
        <v>19</v>
      </c>
      <c r="D28" s="1">
        <v>1.17005025576843</v>
      </c>
      <c r="E28" s="1">
        <v>1.0377098321914671</v>
      </c>
      <c r="F28">
        <v>0.7</v>
      </c>
      <c r="G28">
        <v>2</v>
      </c>
      <c r="L28" s="2" t="s">
        <v>19</v>
      </c>
      <c r="M28" s="1">
        <v>1.0564046027846601</v>
      </c>
      <c r="N28" s="1">
        <v>1.198950529098511</v>
      </c>
      <c r="O28">
        <v>0.5</v>
      </c>
      <c r="P28">
        <v>1</v>
      </c>
      <c r="S28" s="2" t="s">
        <v>19</v>
      </c>
      <c r="T28" s="1">
        <v>1.15492547030642</v>
      </c>
      <c r="U28" s="1">
        <v>0.8283001184463501</v>
      </c>
      <c r="V28">
        <v>1.4</v>
      </c>
      <c r="W28">
        <v>1</v>
      </c>
      <c r="Z28" s="2" t="s">
        <v>19</v>
      </c>
      <c r="AA28" s="1">
        <v>0.74839247121367802</v>
      </c>
      <c r="AB28" s="1">
        <v>0.84637266397476196</v>
      </c>
      <c r="AC28">
        <v>1.5</v>
      </c>
      <c r="AD28">
        <v>1</v>
      </c>
    </row>
    <row r="29" spans="3:30" x14ac:dyDescent="0.35">
      <c r="C29" s="2" t="s">
        <v>73</v>
      </c>
      <c r="D29" s="1">
        <f>AVERAGE(D9:D28)</f>
        <v>1.4877057400560187</v>
      </c>
      <c r="E29" s="1">
        <f>AVERAGE(E9:E28)</f>
        <v>1.3043028175830842</v>
      </c>
      <c r="L29" s="2" t="s">
        <v>73</v>
      </c>
      <c r="M29" s="1">
        <f>AVERAGE(M9:M28)</f>
        <v>1.4464448802908274</v>
      </c>
      <c r="N29" s="1">
        <f>AVERAGE(N9:N28)</f>
        <v>1.4071204364299774</v>
      </c>
      <c r="S29" s="2" t="s">
        <v>73</v>
      </c>
      <c r="T29" s="1">
        <f>AVERAGE(T9:T28)</f>
        <v>1.4661389723785996</v>
      </c>
      <c r="U29" s="1">
        <f>AVERAGE(U9:U28)</f>
        <v>1.4298341274261475</v>
      </c>
      <c r="Z29" s="2" t="s">
        <v>73</v>
      </c>
      <c r="AA29" s="1">
        <f>AVERAGE(AA9:AA28)</f>
        <v>1.516038903919519</v>
      </c>
      <c r="AB29" s="1">
        <f>AVERAGE(AB9:AB28)</f>
        <v>1.3699914991855622</v>
      </c>
    </row>
  </sheetData>
  <mergeCells count="4">
    <mergeCell ref="D7:G7"/>
    <mergeCell ref="T7:W7"/>
    <mergeCell ref="M7:P7"/>
    <mergeCell ref="AA7:AD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A34E-E54D-498F-90E8-D464A0092086}">
  <sheetPr codeName="Sheet7"/>
  <dimension ref="C7:G16"/>
  <sheetViews>
    <sheetView zoomScale="81" zoomScaleNormal="100" workbookViewId="0">
      <selection activeCell="D5" sqref="D5"/>
    </sheetView>
  </sheetViews>
  <sheetFormatPr defaultRowHeight="14.5" x14ac:dyDescent="0.35"/>
  <cols>
    <col min="3" max="3" width="16.81640625" customWidth="1"/>
    <col min="4" max="4" width="31.08984375" customWidth="1"/>
    <col min="5" max="5" width="22.6328125" customWidth="1"/>
    <col min="6" max="6" width="27.81640625" customWidth="1"/>
    <col min="7" max="7" width="28.6328125" customWidth="1"/>
    <col min="8" max="8" width="13" customWidth="1"/>
    <col min="9" max="9" width="16" customWidth="1"/>
    <col min="10" max="10" width="11.6328125" customWidth="1"/>
  </cols>
  <sheetData>
    <row r="7" spans="3:7" ht="48" customHeight="1" x14ac:dyDescent="0.35">
      <c r="C7" s="15" t="s">
        <v>22</v>
      </c>
      <c r="D7" s="15" t="s">
        <v>74</v>
      </c>
      <c r="E7" s="15" t="s">
        <v>67</v>
      </c>
      <c r="F7" s="15" t="s">
        <v>65</v>
      </c>
      <c r="G7" s="15" t="s">
        <v>66</v>
      </c>
    </row>
    <row r="8" spans="3:7" ht="36" customHeight="1" x14ac:dyDescent="0.35">
      <c r="C8" s="15" t="s">
        <v>20</v>
      </c>
      <c r="D8" s="16">
        <v>416.62281456589699</v>
      </c>
      <c r="E8" s="15">
        <f>D8/350</f>
        <v>1.1903508987597058</v>
      </c>
      <c r="F8" s="16">
        <v>26.007048606872559</v>
      </c>
      <c r="G8" s="16">
        <v>11.945045816898347</v>
      </c>
    </row>
    <row r="9" spans="3:7" x14ac:dyDescent="0.35">
      <c r="C9" s="15" t="s">
        <v>58</v>
      </c>
      <c r="D9" s="16">
        <v>388.99299997781048</v>
      </c>
      <c r="E9" s="15">
        <f>D9/350</f>
        <v>1.1114085713651729</v>
      </c>
      <c r="F9" s="16">
        <v>23.271596580776972</v>
      </c>
      <c r="G9" s="16">
        <v>10.751676713720514</v>
      </c>
    </row>
    <row r="10" spans="3:7" x14ac:dyDescent="0.35">
      <c r="C10" s="16" t="s">
        <v>75</v>
      </c>
      <c r="D10" s="16">
        <f>(D8-D9)/D9*100</f>
        <v>7.1029079159940167</v>
      </c>
      <c r="E10" s="16">
        <f t="shared" ref="E10:G10" si="0">(E8-E9)/E9*100</f>
        <v>7.1029079159940185</v>
      </c>
      <c r="F10" s="16">
        <f t="shared" si="0"/>
        <v>11.754466508564139</v>
      </c>
      <c r="G10" s="16">
        <f t="shared" si="0"/>
        <v>11.099376729351819</v>
      </c>
    </row>
    <row r="11" spans="3:7" x14ac:dyDescent="0.35">
      <c r="C11" s="16"/>
      <c r="D11" s="16"/>
      <c r="E11" s="16"/>
      <c r="F11" s="16"/>
      <c r="G11" s="16"/>
    </row>
    <row r="12" spans="3:7" x14ac:dyDescent="0.35">
      <c r="C12" s="16"/>
      <c r="D12" s="16"/>
      <c r="E12" s="16"/>
      <c r="F12" s="16"/>
      <c r="G12" s="16"/>
    </row>
    <row r="13" spans="3:7" x14ac:dyDescent="0.35">
      <c r="C13" s="16" t="s">
        <v>22</v>
      </c>
      <c r="D13" s="15" t="s">
        <v>62</v>
      </c>
      <c r="E13" s="15" t="s">
        <v>67</v>
      </c>
      <c r="F13" s="15" t="s">
        <v>63</v>
      </c>
      <c r="G13" s="15" t="s">
        <v>64</v>
      </c>
    </row>
    <row r="14" spans="3:7" x14ac:dyDescent="0.35">
      <c r="C14" s="15" t="s">
        <v>20</v>
      </c>
      <c r="D14" s="16">
        <v>653.56614592671394</v>
      </c>
      <c r="E14" s="16">
        <f>D14/350</f>
        <v>1.8673318455048971</v>
      </c>
      <c r="F14" s="16">
        <v>42.13003796339035</v>
      </c>
      <c r="G14" s="16">
        <v>20.200045228004456</v>
      </c>
    </row>
    <row r="15" spans="3:7" x14ac:dyDescent="0.35">
      <c r="C15" s="15" t="s">
        <v>58</v>
      </c>
      <c r="D15" s="16">
        <v>638.38353239775506</v>
      </c>
      <c r="E15" s="16">
        <f>D15/350</f>
        <v>1.8239529497078717</v>
      </c>
      <c r="F15" s="16">
        <v>40.533052745084142</v>
      </c>
      <c r="G15" s="16">
        <v>20.381893224326198</v>
      </c>
    </row>
    <row r="16" spans="3:7" x14ac:dyDescent="0.35">
      <c r="C16" s="16" t="s">
        <v>75</v>
      </c>
      <c r="D16" s="16">
        <f>(D14-D15)/D15*100</f>
        <v>2.378290284514907</v>
      </c>
      <c r="E16" s="16">
        <f>(E14-E15)/E15*100</f>
        <v>2.3782902845149061</v>
      </c>
      <c r="F16" s="16">
        <f t="shared" ref="F16" si="1">(F14-F15)/F15*100</f>
        <v>3.9399579112626584</v>
      </c>
      <c r="G16" s="16">
        <f t="shared" ref="G16" si="2">(G14-G15)/G15*100</f>
        <v>-0.89220365507902633</v>
      </c>
    </row>
  </sheetData>
  <pageMargins left="0.7" right="0.7" top="0.75" bottom="0.75" header="0.3" footer="0.3"/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c54935a6-4770-4220-81af-914f9d5d5144}" enabled="1" method="Privileged" siteId="{964f07d8-5825-4956-9452-f1bf0ed4e06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Kopejais</vt:lpstr>
      <vt:lpstr>ElevenifyPrognozes</vt:lpstr>
      <vt:lpstr>AutoraPrognozes</vt:lpstr>
      <vt:lpstr>FaktiskaisXG</vt:lpstr>
      <vt:lpstr>FaktiskieVarti</vt:lpstr>
      <vt:lpstr>Individuālas kārtas dati</vt:lpstr>
      <vt:lpstr>Salīdzinājums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Kaspars Grīnbergs-Zaļkalns</cp:lastModifiedBy>
  <dcterms:created xsi:type="dcterms:W3CDTF">2025-04-30T11:40:54Z</dcterms:created>
  <dcterms:modified xsi:type="dcterms:W3CDTF">2025-05-25T09:05:36Z</dcterms:modified>
</cp:coreProperties>
</file>