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attelecomsia-my.sharepoint.com/personal/kaspars_grinbergs-zalkalns_tet_lv/Documents/Desktop/"/>
    </mc:Choice>
  </mc:AlternateContent>
  <xr:revisionPtr revIDLastSave="13" documentId="14_{1FBD6B23-F3F1-4619-A648-ACF8E1660427}" xr6:coauthVersionLast="47" xr6:coauthVersionMax="47" xr10:uidLastSave="{456F3E7F-4458-4644-B37A-A6848B51AEE1}"/>
  <bookViews>
    <workbookView xWindow="-28920" yWindow="-3390" windowWidth="29040" windowHeight="15720" activeTab="3" xr2:uid="{00000000-000D-0000-FFFF-FFFF00000000}"/>
  </bookViews>
  <sheets>
    <sheet name="ElevenifyPrognozes" sheetId="1" r:id="rId1"/>
    <sheet name="AutoraPrognozes" sheetId="5" r:id="rId2"/>
    <sheet name="FaktiskieVarti" sheetId="6" r:id="rId3"/>
    <sheet name="FaktiskaisX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" i="1" l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<sst xmlns="http://schemas.openxmlformats.org/spreadsheetml/2006/main" count="63" uniqueCount="22">
  <si>
    <t>Team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</si>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</sst>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1"/>
    <xf numFmtId="0" fontId="3" fillId="0" borderId="1" xfId="1" applyFont="1" applyBorder="1" applyAlignment="1">
      <alignment horizontal="center" vertical="top"/>
    </xf>
  </cellXfs>
  <cellStyles count="2">
    <cellStyle name="Normal" xfId="0" builtinId="0"/>
    <cellStyle name="Normal 2" xfId="1" xr:uid="{1EAF61BD-F6E5-44D6-8872-7B2271D68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1"/>
  <sheetViews>
    <sheetView topLeftCell="AA1" workbookViewId="0">
      <selection activeCell="AL20" sqref="AL20"/>
    </sheetView>
  </sheetViews>
  <sheetFormatPr defaultColWidth="12.6328125" defaultRowHeight="15.75" customHeight="1" x14ac:dyDescent="0.25"/>
  <sheetData>
    <row r="1" spans="1:36" ht="15.75" customHeight="1" x14ac:dyDescent="0.25">
      <c r="A1" s="1" t="str">
        <f ca="1">IFERROR(__xludf.DUMMYFUNCTION("IMPORTRANGE(""https://docs.google.com/spreadsheets/d/1FbGZDOCtOSvenQiwL2rDZj-8xzXiuNuyRXUdZ9kHVWU/edit?gid=1016036885#gid=1016036885"",""goals!A1:AM21"")"),"Team")</f>
        <v>Team</v>
      </c>
      <c r="B1" s="1">
        <f ca="1">IFERROR(__xludf.DUMMYFUNCTION("""COMPUTED_VALUE"""),1)</f>
        <v>1</v>
      </c>
      <c r="C1" s="1">
        <f ca="1">IFERROR(__xludf.DUMMYFUNCTION("""COMPUTED_VALUE"""),2)</f>
        <v>2</v>
      </c>
      <c r="D1" s="1">
        <f ca="1">IFERROR(__xludf.DUMMYFUNCTION("""COMPUTED_VALUE"""),3)</f>
        <v>3</v>
      </c>
      <c r="E1" s="1">
        <f ca="1">IFERROR(__xludf.DUMMYFUNCTION("""COMPUTED_VALUE"""),4)</f>
        <v>4</v>
      </c>
      <c r="F1" s="1">
        <f ca="1">IFERROR(__xludf.DUMMYFUNCTION("""COMPUTED_VALUE"""),5)</f>
        <v>5</v>
      </c>
      <c r="G1" s="1">
        <f ca="1">IFERROR(__xludf.DUMMYFUNCTION("""COMPUTED_VALUE"""),6)</f>
        <v>6</v>
      </c>
      <c r="H1" s="1">
        <f ca="1">IFERROR(__xludf.DUMMYFUNCTION("""COMPUTED_VALUE"""),7)</f>
        <v>7</v>
      </c>
      <c r="I1" s="1">
        <f ca="1">IFERROR(__xludf.DUMMYFUNCTION("""COMPUTED_VALUE"""),8)</f>
        <v>8</v>
      </c>
      <c r="J1" s="1">
        <f ca="1">IFERROR(__xludf.DUMMYFUNCTION("""COMPUTED_VALUE"""),9)</f>
        <v>9</v>
      </c>
      <c r="K1" s="1">
        <f ca="1">IFERROR(__xludf.DUMMYFUNCTION("""COMPUTED_VALUE"""),10)</f>
        <v>10</v>
      </c>
      <c r="L1" s="1">
        <f ca="1">IFERROR(__xludf.DUMMYFUNCTION("""COMPUTED_VALUE"""),11)</f>
        <v>11</v>
      </c>
      <c r="M1" s="1">
        <f ca="1">IFERROR(__xludf.DUMMYFUNCTION("""COMPUTED_VALUE"""),12)</f>
        <v>12</v>
      </c>
      <c r="N1" s="1">
        <f ca="1">IFERROR(__xludf.DUMMYFUNCTION("""COMPUTED_VALUE"""),13)</f>
        <v>13</v>
      </c>
      <c r="O1" s="1">
        <f ca="1">IFERROR(__xludf.DUMMYFUNCTION("""COMPUTED_VALUE"""),14)</f>
        <v>14</v>
      </c>
      <c r="P1" s="1">
        <f ca="1">IFERROR(__xludf.DUMMYFUNCTION("""COMPUTED_VALUE"""),15)</f>
        <v>15</v>
      </c>
      <c r="Q1" s="1">
        <f ca="1">IFERROR(__xludf.DUMMYFUNCTION("""COMPUTED_VALUE"""),16)</f>
        <v>16</v>
      </c>
      <c r="R1" s="1">
        <f ca="1">IFERROR(__xludf.DUMMYFUNCTION("""COMPUTED_VALUE"""),17)</f>
        <v>17</v>
      </c>
      <c r="S1" s="1">
        <f ca="1">IFERROR(__xludf.DUMMYFUNCTION("""COMPUTED_VALUE"""),18)</f>
        <v>18</v>
      </c>
      <c r="T1" s="1">
        <f ca="1">IFERROR(__xludf.DUMMYFUNCTION("""COMPUTED_VALUE"""),19)</f>
        <v>19</v>
      </c>
      <c r="U1" s="1">
        <f ca="1">IFERROR(__xludf.DUMMYFUNCTION("""COMPUTED_VALUE"""),20)</f>
        <v>20</v>
      </c>
      <c r="V1" s="1">
        <f ca="1">IFERROR(__xludf.DUMMYFUNCTION("""COMPUTED_VALUE"""),21)</f>
        <v>21</v>
      </c>
      <c r="W1" s="1">
        <f ca="1">IFERROR(__xludf.DUMMYFUNCTION("""COMPUTED_VALUE"""),22)</f>
        <v>22</v>
      </c>
      <c r="X1" s="1">
        <f ca="1">IFERROR(__xludf.DUMMYFUNCTION("""COMPUTED_VALUE"""),23)</f>
        <v>23</v>
      </c>
      <c r="Y1" s="1">
        <f ca="1">IFERROR(__xludf.DUMMYFUNCTION("""COMPUTED_VALUE"""),24)</f>
        <v>24</v>
      </c>
      <c r="Z1" s="1">
        <f ca="1">IFERROR(__xludf.DUMMYFUNCTION("""COMPUTED_VALUE"""),25)</f>
        <v>25</v>
      </c>
      <c r="AA1" s="1">
        <f ca="1">IFERROR(__xludf.DUMMYFUNCTION("""COMPUTED_VALUE"""),26)</f>
        <v>26</v>
      </c>
      <c r="AB1" s="1">
        <f ca="1">IFERROR(__xludf.DUMMYFUNCTION("""COMPUTED_VALUE"""),27)</f>
        <v>27</v>
      </c>
      <c r="AC1" s="1">
        <f ca="1">IFERROR(__xludf.DUMMYFUNCTION("""COMPUTED_VALUE"""),28)</f>
        <v>28</v>
      </c>
      <c r="AD1" s="1">
        <f ca="1">IFERROR(__xludf.DUMMYFUNCTION("""COMPUTED_VALUE"""),29)</f>
        <v>29</v>
      </c>
      <c r="AE1" s="1">
        <f ca="1">IFERROR(__xludf.DUMMYFUNCTION("""COMPUTED_VALUE"""),30)</f>
        <v>30</v>
      </c>
      <c r="AF1" s="1">
        <f ca="1">IFERROR(__xludf.DUMMYFUNCTION("""COMPUTED_VALUE"""),31)</f>
        <v>31</v>
      </c>
      <c r="AG1" s="1">
        <f ca="1">IFERROR(__xludf.DUMMYFUNCTION("""COMPUTED_VALUE"""),32)</f>
        <v>32</v>
      </c>
      <c r="AH1" s="1">
        <f ca="1">IFERROR(__xludf.DUMMYFUNCTION("""COMPUTED_VALUE"""),33)</f>
        <v>33</v>
      </c>
      <c r="AI1" s="1">
        <f ca="1">IFERROR(__xludf.DUMMYFUNCTION("""COMPUTED_VALUE"""),34)</f>
        <v>34</v>
      </c>
      <c r="AJ1" s="1">
        <f ca="1">IFERROR(__xludf.DUMMYFUNCTION("""COMPUTED_VALUE"""),35)</f>
        <v>35</v>
      </c>
    </row>
    <row r="2" spans="1:36" ht="15.75" customHeight="1" x14ac:dyDescent="0.25">
      <c r="A2" s="1" t="str">
        <f ca="1">IFERROR(__xludf.DUMMYFUNCTION("""COMPUTED_VALUE"""),"Arsenal")</f>
        <v>Arsenal</v>
      </c>
      <c r="B2" s="2">
        <f ca="1">IFERROR(__xludf.DUMMYFUNCTION("""COMPUTED_VALUE"""),2.36369155160749)</f>
        <v>2.3636915516074901</v>
      </c>
      <c r="C2" s="2">
        <f ca="1">IFERROR(__xludf.DUMMYFUNCTION("""COMPUTED_VALUE"""),1.62464710327071)</f>
        <v>1.6246471032707099</v>
      </c>
      <c r="D2" s="2">
        <f ca="1">IFERROR(__xludf.DUMMYFUNCTION("""COMPUTED_VALUE"""),2.11908445162656)</f>
        <v>2.1190844516265601</v>
      </c>
      <c r="E2" s="2">
        <f ca="1">IFERROR(__xludf.DUMMYFUNCTION("""COMPUTED_VALUE"""),1.79942301813581)</f>
        <v>1.79942301813581</v>
      </c>
      <c r="F2" s="2">
        <f ca="1">IFERROR(__xludf.DUMMYFUNCTION("""COMPUTED_VALUE"""),1.29625524208146)</f>
        <v>1.2962552420814599</v>
      </c>
      <c r="G2" s="2">
        <f ca="1">IFERROR(__xludf.DUMMYFUNCTION("""COMPUTED_VALUE"""),2.74788468495554)</f>
        <v>2.7478846849555398</v>
      </c>
      <c r="H2" s="2">
        <f ca="1">IFERROR(__xludf.DUMMYFUNCTION("""COMPUTED_VALUE"""),2.91546492866381)</f>
        <v>2.9154649286638099</v>
      </c>
      <c r="I2" s="2">
        <f ca="1">IFERROR(__xludf.DUMMYFUNCTION("""COMPUTED_VALUE"""),1.55595553521875)</f>
        <v>1.55595553521875</v>
      </c>
      <c r="J2" s="2">
        <f ca="1">IFERROR(__xludf.DUMMYFUNCTION("""COMPUTED_VALUE"""),1.469653836189)</f>
        <v>1.4696538361889999</v>
      </c>
      <c r="K2" s="2">
        <f ca="1">IFERROR(__xludf.DUMMYFUNCTION("""COMPUTED_VALUE"""),1.59361058588145)</f>
        <v>1.59361058588145</v>
      </c>
      <c r="L2" s="2">
        <f ca="1">IFERROR(__xludf.DUMMYFUNCTION("""COMPUTED_VALUE"""),1.49468765516827)</f>
        <v>1.49468765516827</v>
      </c>
      <c r="M2" s="2">
        <f ca="1">IFERROR(__xludf.DUMMYFUNCTION("""COMPUTED_VALUE"""),2.01658754860693)</f>
        <v>2.01658754860693</v>
      </c>
      <c r="N2" s="2">
        <f ca="1">IFERROR(__xludf.DUMMYFUNCTION("""COMPUTED_VALUE"""),1.77616257528685)</f>
        <v>1.77616257528685</v>
      </c>
      <c r="O2" s="2">
        <f ca="1">IFERROR(__xludf.DUMMYFUNCTION("""COMPUTED_VALUE"""),2.10770535647692)</f>
        <v>2.1077053564769201</v>
      </c>
      <c r="P2" s="2">
        <f ca="1">IFERROR(__xludf.DUMMYFUNCTION("""COMPUTED_VALUE"""),1.53059419230508)</f>
        <v>1.5305941923050801</v>
      </c>
      <c r="Q2" s="2">
        <f ca="1">IFERROR(__xludf.DUMMYFUNCTION("""COMPUTED_VALUE"""),1.86296983658699)</f>
        <v>1.86296983658699</v>
      </c>
      <c r="R2" s="2">
        <f ca="1">IFERROR(__xludf.DUMMYFUNCTION("""COMPUTED_VALUE"""),1.56937181031911)</f>
        <v>1.5693718103191101</v>
      </c>
      <c r="S2" s="2">
        <f ca="1">IFERROR(__xludf.DUMMYFUNCTION("""COMPUTED_VALUE"""),2.74270476182853)</f>
        <v>2.7427047618285298</v>
      </c>
      <c r="T2" s="2">
        <f ca="1">IFERROR(__xludf.DUMMYFUNCTION("""COMPUTED_VALUE"""),1.6667585396996)</f>
        <v>1.6667585396996001</v>
      </c>
      <c r="U2" s="2">
        <f ca="1">IFERROR(__xludf.DUMMYFUNCTION("""COMPUTED_VALUE"""),1.65955396008032)</f>
        <v>1.65955396008032</v>
      </c>
      <c r="V2" s="2">
        <f ca="1">IFERROR(__xludf.DUMMYFUNCTION("""COMPUTED_VALUE"""),2.29768325185761)</f>
        <v>2.29768325185761</v>
      </c>
      <c r="W2" s="2">
        <f ca="1">IFERROR(__xludf.DUMMYFUNCTION("""COMPUTED_VALUE"""),2.07451188616637)</f>
        <v>2.0745118861663698</v>
      </c>
      <c r="X2" s="2">
        <f ca="1">IFERROR(__xludf.DUMMYFUNCTION("""COMPUTED_VALUE"""),1.85111719916006)</f>
        <v>1.8511171991600599</v>
      </c>
      <c r="Y2" s="2">
        <f ca="1">IFERROR(__xludf.DUMMYFUNCTION("""COMPUTED_VALUE"""),1.65518831861381)</f>
        <v>1.6551883186138101</v>
      </c>
      <c r="Z2" s="2">
        <f ca="1">IFERROR(__xludf.DUMMYFUNCTION("""COMPUTED_VALUE"""),2.15199677731658)</f>
        <v>2.15199677731658</v>
      </c>
      <c r="AA2" s="2">
        <f ca="1">IFERROR(__xludf.DUMMYFUNCTION("""COMPUTED_VALUE"""),2.26798199238378)</f>
        <v>2.2679819923837798</v>
      </c>
      <c r="AB2" s="2">
        <f ca="1">IFERROR(__xludf.DUMMYFUNCTION("""COMPUTED_VALUE"""),1.57928385042441)</f>
        <v>1.57928385042441</v>
      </c>
      <c r="AC2" s="2">
        <f ca="1">IFERROR(__xludf.DUMMYFUNCTION("""COMPUTED_VALUE"""),1.65064245945408)</f>
        <v>1.6506424594540801</v>
      </c>
      <c r="AD2" s="2">
        <f ca="1">IFERROR(__xludf.DUMMYFUNCTION("""COMPUTED_VALUE"""),1.90856666688437)</f>
        <v>1.9085666668843699</v>
      </c>
      <c r="AE2" s="2">
        <f ca="1">IFERROR(__xludf.DUMMYFUNCTION("""COMPUTED_VALUE"""),1.95441572415435)</f>
        <v>1.9544157241543501</v>
      </c>
      <c r="AF2" s="2">
        <f ca="1">IFERROR(__xludf.DUMMYFUNCTION("""COMPUTED_VALUE"""),1.45897864874852)</f>
        <v>1.4589786487485199</v>
      </c>
      <c r="AG2" s="2">
        <f ca="1">IFERROR(__xludf.DUMMYFUNCTION("""COMPUTED_VALUE"""),2.12828397934242)</f>
        <v>2.1282839793424202</v>
      </c>
      <c r="AH2" s="2">
        <f ca="1">IFERROR(__xludf.DUMMYFUNCTION("""COMPUTED_VALUE"""),2.14794013769953)</f>
        <v>2.1479401376995302</v>
      </c>
      <c r="AI2" s="2">
        <f ca="1">IFERROR(__xludf.DUMMYFUNCTION("""COMPUTED_VALUE"""),2.00393086459647)</f>
        <v>2.00393086459647</v>
      </c>
      <c r="AJ2" s="2">
        <f ca="1">IFERROR(__xludf.DUMMYFUNCTION("""COMPUTED_VALUE"""),1.98679962292083)</f>
        <v>1.98679962292083</v>
      </c>
    </row>
    <row r="3" spans="1:36" ht="15.75" customHeight="1" x14ac:dyDescent="0.25">
      <c r="A3" s="1" t="str">
        <f ca="1">IFERROR(__xludf.DUMMYFUNCTION("""COMPUTED_VALUE"""),"Aston Villa")</f>
        <v>Aston Villa</v>
      </c>
      <c r="B3" s="2">
        <f ca="1">IFERROR(__xludf.DUMMYFUNCTION("""COMPUTED_VALUE"""),1.54067974190073)</f>
        <v>1.5406797419007301</v>
      </c>
      <c r="C3" s="2">
        <f ca="1">IFERROR(__xludf.DUMMYFUNCTION("""COMPUTED_VALUE"""),0.949131076207651)</f>
        <v>0.94913107620765103</v>
      </c>
      <c r="D3" s="2">
        <f ca="1">IFERROR(__xludf.DUMMYFUNCTION("""COMPUTED_VALUE"""),1.86668601488343)</f>
        <v>1.8666860148834299</v>
      </c>
      <c r="E3" s="2">
        <f ca="1">IFERROR(__xludf.DUMMYFUNCTION("""COMPUTED_VALUE"""),1.6159781356378)</f>
        <v>1.6159781356378</v>
      </c>
      <c r="F3" s="2">
        <f ca="1">IFERROR(__xludf.DUMMYFUNCTION("""COMPUTED_VALUE"""),2.05031439144889)</f>
        <v>2.0503143914488899</v>
      </c>
      <c r="G3" s="2">
        <f ca="1">IFERROR(__xludf.DUMMYFUNCTION("""COMPUTED_VALUE"""),1.86316720271773)</f>
        <v>1.86316720271773</v>
      </c>
      <c r="H3" s="2">
        <f ca="1">IFERROR(__xludf.DUMMYFUNCTION("""COMPUTED_VALUE"""),1.82826673064835)</f>
        <v>1.82826673064835</v>
      </c>
      <c r="I3" s="2">
        <f ca="1">IFERROR(__xludf.DUMMYFUNCTION("""COMPUTED_VALUE"""),1.32766870441153)</f>
        <v>1.3276687044115301</v>
      </c>
      <c r="J3" s="2">
        <f ca="1">IFERROR(__xludf.DUMMYFUNCTION("""COMPUTED_VALUE"""),1.72339062473252)</f>
        <v>1.7233906247325199</v>
      </c>
      <c r="K3" s="2">
        <f ca="1">IFERROR(__xludf.DUMMYFUNCTION("""COMPUTED_VALUE"""),1.56085632572456)</f>
        <v>1.56085632572456</v>
      </c>
      <c r="L3" s="2">
        <f ca="1">IFERROR(__xludf.DUMMYFUNCTION("""COMPUTED_VALUE"""),0.998361495208885)</f>
        <v>0.99836149520888495</v>
      </c>
      <c r="M3" s="2">
        <f ca="1">IFERROR(__xludf.DUMMYFUNCTION("""COMPUTED_VALUE"""),1.73825061411103)</f>
        <v>1.7382506141110301</v>
      </c>
      <c r="N3" s="2">
        <f ca="1">IFERROR(__xludf.DUMMYFUNCTION("""COMPUTED_VALUE"""),1.2965226397786)</f>
        <v>1.2965226397786001</v>
      </c>
      <c r="O3" s="2">
        <f ca="1">IFERROR(__xludf.DUMMYFUNCTION("""COMPUTED_VALUE"""),1.84611704897294)</f>
        <v>1.8461170489729399</v>
      </c>
      <c r="P3" s="2">
        <f ca="1">IFERROR(__xludf.DUMMYFUNCTION("""COMPUTED_VALUE"""),2.52893390296153)</f>
        <v>2.5289339029615299</v>
      </c>
      <c r="Q3" s="2">
        <f ca="1">IFERROR(__xludf.DUMMYFUNCTION("""COMPUTED_VALUE"""),1.36990310961085)</f>
        <v>1.36990310961085</v>
      </c>
      <c r="R3" s="2">
        <f ca="1">IFERROR(__xludf.DUMMYFUNCTION("""COMPUTED_VALUE"""),1.4357441976319)</f>
        <v>1.4357441976319001</v>
      </c>
      <c r="S3" s="2">
        <f ca="1">IFERROR(__xludf.DUMMYFUNCTION("""COMPUTED_VALUE"""),1.3823304129407)</f>
        <v>1.3823304129406999</v>
      </c>
      <c r="T3" s="2">
        <f ca="1">IFERROR(__xludf.DUMMYFUNCTION("""COMPUTED_VALUE"""),1.83813719049372)</f>
        <v>1.83813719049372</v>
      </c>
      <c r="U3" s="2">
        <f ca="1">IFERROR(__xludf.DUMMYFUNCTION("""COMPUTED_VALUE"""),2.38357137240466)</f>
        <v>2.3835713724046599</v>
      </c>
      <c r="V3" s="2">
        <f ca="1">IFERROR(__xludf.DUMMYFUNCTION("""COMPUTED_VALUE"""),1.26554791732931)</f>
        <v>1.26554791732931</v>
      </c>
      <c r="W3" s="2">
        <f ca="1">IFERROR(__xludf.DUMMYFUNCTION("""COMPUTED_VALUE"""),0.743308854419024)</f>
        <v>0.74330885441902395</v>
      </c>
      <c r="X3" s="2">
        <f ca="1">IFERROR(__xludf.DUMMYFUNCTION("""COMPUTED_VALUE"""),1.96729396243304)</f>
        <v>1.9672939624330401</v>
      </c>
      <c r="Y3" s="2">
        <f ca="1">IFERROR(__xludf.DUMMYFUNCTION("""COMPUTED_VALUE"""),1.60569691553676)</f>
        <v>1.60569691553676</v>
      </c>
      <c r="Z3" s="2">
        <f ca="1">IFERROR(__xludf.DUMMYFUNCTION("""COMPUTED_VALUE"""),2.37907820115028)</f>
        <v>2.3790782011502798</v>
      </c>
      <c r="AA3" s="2">
        <f ca="1">IFERROR(__xludf.DUMMYFUNCTION("""COMPUTED_VALUE"""),1.65552975873329)</f>
        <v>1.65552975873329</v>
      </c>
      <c r="AB3" s="2">
        <f ca="1">IFERROR(__xludf.DUMMYFUNCTION("""COMPUTED_VALUE"""),1.36130520331351)</f>
        <v>1.36130520331351</v>
      </c>
      <c r="AC3" s="2">
        <f ca="1">IFERROR(__xludf.DUMMYFUNCTION("""COMPUTED_VALUE"""),1.44578044402297)</f>
        <v>1.44578044402297</v>
      </c>
      <c r="AD3" s="2">
        <f ca="1">IFERROR(__xludf.DUMMYFUNCTION("""COMPUTED_VALUE"""),1.27480779323222)</f>
        <v>1.2748077932322199</v>
      </c>
      <c r="AE3" s="2">
        <f ca="1">IFERROR(__xludf.DUMMYFUNCTION("""COMPUTED_VALUE"""),1.43953104432118)</f>
        <v>1.43953104432118</v>
      </c>
      <c r="AF3" s="2">
        <f ca="1">IFERROR(__xludf.DUMMYFUNCTION("""COMPUTED_VALUE"""),1.74922928066209)</f>
        <v>1.7492292806620899</v>
      </c>
      <c r="AG3" s="2">
        <f ca="1">IFERROR(__xludf.DUMMYFUNCTION("""COMPUTED_VALUE"""),1.98052619857587)</f>
        <v>1.98052619857587</v>
      </c>
      <c r="AH3" s="2">
        <f ca="1">IFERROR(__xludf.DUMMYFUNCTION("""COMPUTED_VALUE"""),1.76509770428399)</f>
        <v>1.7650977042839899</v>
      </c>
      <c r="AI3" s="2">
        <f ca="1">IFERROR(__xludf.DUMMYFUNCTION("""COMPUTED_VALUE"""),1.12439830654859)</f>
        <v>1.1243983065485901</v>
      </c>
      <c r="AJ3" s="2">
        <f ca="1">IFERROR(__xludf.DUMMYFUNCTION("""COMPUTED_VALUE"""),1.69530016866308)</f>
        <v>1.69530016866308</v>
      </c>
    </row>
    <row r="4" spans="1:36" ht="15.75" customHeight="1" x14ac:dyDescent="0.25">
      <c r="A4" s="1" t="str">
        <f ca="1">IFERROR(__xludf.DUMMYFUNCTION("""COMPUTED_VALUE"""),"Bournemouth")</f>
        <v>Bournemouth</v>
      </c>
      <c r="B4" s="2">
        <f ca="1">IFERROR(__xludf.DUMMYFUNCTION("""COMPUTED_VALUE"""),1.34693825348466)</f>
        <v>1.3469382534846599</v>
      </c>
      <c r="C4" s="2">
        <f ca="1">IFERROR(__xludf.DUMMYFUNCTION("""COMPUTED_VALUE"""),1.73550786355499)</f>
        <v>1.7355078635549901</v>
      </c>
      <c r="D4" s="2">
        <f ca="1">IFERROR(__xludf.DUMMYFUNCTION("""COMPUTED_VALUE"""),1.24433245644134)</f>
        <v>1.2443324564413401</v>
      </c>
      <c r="E4" s="2">
        <f ca="1">IFERROR(__xludf.DUMMYFUNCTION("""COMPUTED_VALUE"""),1.62777669907878)</f>
        <v>1.6277766990787801</v>
      </c>
      <c r="F4" s="2">
        <f ca="1">IFERROR(__xludf.DUMMYFUNCTION("""COMPUTED_VALUE"""),0.981625108570627)</f>
        <v>0.98162510857062701</v>
      </c>
      <c r="G4" s="2">
        <f ca="1">IFERROR(__xludf.DUMMYFUNCTION("""COMPUTED_VALUE"""),2.48653922349354)</f>
        <v>2.4865392234935402</v>
      </c>
      <c r="H4" s="2">
        <f ca="1">IFERROR(__xludf.DUMMYFUNCTION("""COMPUTED_VALUE"""),1.83539316251759)</f>
        <v>1.8353931625175901</v>
      </c>
      <c r="I4" s="2">
        <f ca="1">IFERROR(__xludf.DUMMYFUNCTION("""COMPUTED_VALUE"""),0.933219981140355)</f>
        <v>0.93321998114035498</v>
      </c>
      <c r="J4" s="2">
        <f ca="1">IFERROR(__xludf.DUMMYFUNCTION("""COMPUTED_VALUE"""),1.38562762559769)</f>
        <v>1.38562762559769</v>
      </c>
      <c r="K4" s="2">
        <f ca="1">IFERROR(__xludf.DUMMYFUNCTION("""COMPUTED_VALUE"""),1.41167559109958)</f>
        <v>1.41167559109958</v>
      </c>
      <c r="L4" s="2">
        <f ca="1">IFERROR(__xludf.DUMMYFUNCTION("""COMPUTED_VALUE"""),1.4215435913185)</f>
        <v>1.4215435913184999</v>
      </c>
      <c r="M4" s="2">
        <f ca="1">IFERROR(__xludf.DUMMYFUNCTION("""COMPUTED_VALUE"""),1.8073229264602)</f>
        <v>1.8073229264602</v>
      </c>
      <c r="N4" s="2">
        <f ca="1">IFERROR(__xludf.DUMMYFUNCTION("""COMPUTED_VALUE"""),1.57877924640464)</f>
        <v>1.57877924640464</v>
      </c>
      <c r="O4" s="2">
        <f ca="1">IFERROR(__xludf.DUMMYFUNCTION("""COMPUTED_VALUE"""),1.95964611775543)</f>
        <v>1.9596461177554301</v>
      </c>
      <c r="P4" s="2">
        <f ca="1">IFERROR(__xludf.DUMMYFUNCTION("""COMPUTED_VALUE"""),1.83193333920632)</f>
        <v>1.83193333920632</v>
      </c>
      <c r="Q4" s="2">
        <f ca="1">IFERROR(__xludf.DUMMYFUNCTION("""COMPUTED_VALUE"""),1.93431453309367)</f>
        <v>1.93431453309367</v>
      </c>
      <c r="R4" s="2">
        <f ca="1">IFERROR(__xludf.DUMMYFUNCTION("""COMPUTED_VALUE"""),1.40779852264507)</f>
        <v>1.40779852264507</v>
      </c>
      <c r="S4" s="2">
        <f ca="1">IFERROR(__xludf.DUMMYFUNCTION("""COMPUTED_VALUE"""),1.7091108340899)</f>
        <v>1.7091108340898999</v>
      </c>
      <c r="T4" s="2">
        <f ca="1">IFERROR(__xludf.DUMMYFUNCTION("""COMPUTED_VALUE"""),1.30541185970029)</f>
        <v>1.3054118597002899</v>
      </c>
      <c r="U4" s="2">
        <f ca="1">IFERROR(__xludf.DUMMYFUNCTION("""COMPUTED_VALUE"""),1.58888811362995)</f>
        <v>1.58888811362995</v>
      </c>
      <c r="V4" s="2">
        <f ca="1">IFERROR(__xludf.DUMMYFUNCTION("""COMPUTED_VALUE"""),1.27478792315669)</f>
        <v>1.2747879231566901</v>
      </c>
      <c r="W4" s="2">
        <f ca="1">IFERROR(__xludf.DUMMYFUNCTION("""COMPUTED_VALUE"""),1.35915722731223)</f>
        <v>1.3591572273122301</v>
      </c>
      <c r="X4" s="2">
        <f ca="1">IFERROR(__xludf.DUMMYFUNCTION("""COMPUTED_VALUE"""),1.71990545587456)</f>
        <v>1.7199054558745599</v>
      </c>
      <c r="Y4" s="2">
        <f ca="1">IFERROR(__xludf.DUMMYFUNCTION("""COMPUTED_VALUE"""),1.25343710113383)</f>
        <v>1.2534371011338299</v>
      </c>
      <c r="Z4" s="2">
        <f ca="1">IFERROR(__xludf.DUMMYFUNCTION("""COMPUTED_VALUE"""),1.94732494595782)</f>
        <v>1.9473249459578199</v>
      </c>
      <c r="AA4" s="2">
        <f ca="1">IFERROR(__xludf.DUMMYFUNCTION("""COMPUTED_VALUE"""),2.01594321973409)</f>
        <v>2.0159432197340901</v>
      </c>
      <c r="AB4" s="2">
        <f ca="1">IFERROR(__xludf.DUMMYFUNCTION("""COMPUTED_VALUE"""),1.41539895564273)</f>
        <v>1.41539895564273</v>
      </c>
      <c r="AC4" s="2">
        <f ca="1">IFERROR(__xludf.DUMMYFUNCTION("""COMPUTED_VALUE"""),1.5346903577065)</f>
        <v>1.5346903577065001</v>
      </c>
      <c r="AD4" s="2">
        <f ca="1">IFERROR(__xludf.DUMMYFUNCTION("""COMPUTED_VALUE"""),1.81516901175459)</f>
        <v>1.81516901175459</v>
      </c>
      <c r="AE4" s="2">
        <f ca="1">IFERROR(__xludf.DUMMYFUNCTION("""COMPUTED_VALUE"""),2.33919568083255)</f>
        <v>2.33919568083255</v>
      </c>
      <c r="AF4" s="2">
        <f ca="1">IFERROR(__xludf.DUMMYFUNCTION("""COMPUTED_VALUE"""),1.51485201119404)</f>
        <v>1.51485201119404</v>
      </c>
      <c r="AG4" s="2">
        <f ca="1">IFERROR(__xludf.DUMMYFUNCTION("""COMPUTED_VALUE"""),1.6668804036513)</f>
        <v>1.6668804036513001</v>
      </c>
      <c r="AH4" s="2">
        <f ca="1">IFERROR(__xludf.DUMMYFUNCTION("""COMPUTED_VALUE"""),1.33848448123572)</f>
        <v>1.3384844812357199</v>
      </c>
      <c r="AI4" s="2">
        <f ca="1">IFERROR(__xludf.DUMMYFUNCTION("""COMPUTED_VALUE"""),1.7976179335655)</f>
        <v>1.7976179335655</v>
      </c>
      <c r="AJ4" s="2">
        <f ca="1">IFERROR(__xludf.DUMMYFUNCTION("""COMPUTED_VALUE"""),0.730848133088225)</f>
        <v>0.73084813308822505</v>
      </c>
    </row>
    <row r="5" spans="1:36" ht="15.75" customHeight="1" x14ac:dyDescent="0.25">
      <c r="A5" s="1" t="str">
        <f ca="1">IFERROR(__xludf.DUMMYFUNCTION("""COMPUTED_VALUE"""),"Brentford")</f>
        <v>Brentford</v>
      </c>
      <c r="B5" s="2">
        <f ca="1">IFERROR(__xludf.DUMMYFUNCTION("""COMPUTED_VALUE"""),1.56166291833548)</f>
        <v>1.56166291833548</v>
      </c>
      <c r="C5" s="2">
        <f ca="1">IFERROR(__xludf.DUMMYFUNCTION("""COMPUTED_VALUE"""),0.896938631003465)</f>
        <v>0.89693863100346505</v>
      </c>
      <c r="D5" s="2">
        <f ca="1">IFERROR(__xludf.DUMMYFUNCTION("""COMPUTED_VALUE"""),2.27202123049224)</f>
        <v>2.27202123049224</v>
      </c>
      <c r="E5" s="2">
        <f ca="1">IFERROR(__xludf.DUMMYFUNCTION("""COMPUTED_VALUE"""),1.01017144853659)</f>
        <v>1.01017144853659</v>
      </c>
      <c r="F5" s="2">
        <f ca="1">IFERROR(__xludf.DUMMYFUNCTION("""COMPUTED_VALUE"""),1.4022899948636)</f>
        <v>1.4022899948636001</v>
      </c>
      <c r="G5" s="2">
        <f ca="1">IFERROR(__xludf.DUMMYFUNCTION("""COMPUTED_VALUE"""),1.76743790892785)</f>
        <v>1.76743790892785</v>
      </c>
      <c r="H5" s="2">
        <f ca="1">IFERROR(__xludf.DUMMYFUNCTION("""COMPUTED_VALUE"""),1.84202434911425)</f>
        <v>1.8420243491142501</v>
      </c>
      <c r="I5" s="2">
        <f ca="1">IFERROR(__xludf.DUMMYFUNCTION("""COMPUTED_VALUE"""),1.28634533551066)</f>
        <v>1.28634533551066</v>
      </c>
      <c r="J5" s="2">
        <f ca="1">IFERROR(__xludf.DUMMYFUNCTION("""COMPUTED_VALUE"""),2.13738926734494)</f>
        <v>2.1373892673449402</v>
      </c>
      <c r="K5" s="2">
        <f ca="1">IFERROR(__xludf.DUMMYFUNCTION("""COMPUTED_VALUE"""),1.19279174515025)</f>
        <v>1.1927917451502501</v>
      </c>
      <c r="L5" s="2">
        <f ca="1">IFERROR(__xludf.DUMMYFUNCTION("""COMPUTED_VALUE"""),1.54831254515517)</f>
        <v>1.54831254515517</v>
      </c>
      <c r="M5" s="2">
        <f ca="1">IFERROR(__xludf.DUMMYFUNCTION("""COMPUTED_VALUE"""),1.13698176651048)</f>
        <v>1.13698176651048</v>
      </c>
      <c r="N5" s="2">
        <f ca="1">IFERROR(__xludf.DUMMYFUNCTION("""COMPUTED_VALUE"""),2.14142598039238)</f>
        <v>2.1414259803923801</v>
      </c>
      <c r="O5" s="2">
        <f ca="1">IFERROR(__xludf.DUMMYFUNCTION("""COMPUTED_VALUE"""),1.26608715968348)</f>
        <v>1.26608715968348</v>
      </c>
      <c r="P5" s="2">
        <f ca="1">IFERROR(__xludf.DUMMYFUNCTION("""COMPUTED_VALUE"""),1.58578263090624)</f>
        <v>1.5857826309062399</v>
      </c>
      <c r="Q5" s="2">
        <f ca="1">IFERROR(__xludf.DUMMYFUNCTION("""COMPUTED_VALUE"""),1.1648097880064)</f>
        <v>1.1648097880063999</v>
      </c>
      <c r="R5" s="2">
        <f ca="1">IFERROR(__xludf.DUMMYFUNCTION("""COMPUTED_VALUE"""),1.57152626963038)</f>
        <v>1.57152626963038</v>
      </c>
      <c r="S5" s="2">
        <f ca="1">IFERROR(__xludf.DUMMYFUNCTION("""COMPUTED_VALUE"""),1.29329006615012)</f>
        <v>1.2932900661501201</v>
      </c>
      <c r="T5" s="2">
        <f ca="1">IFERROR(__xludf.DUMMYFUNCTION("""COMPUTED_VALUE"""),0.852709496732362)</f>
        <v>0.85270949673236196</v>
      </c>
      <c r="U5" s="2">
        <f ca="1">IFERROR(__xludf.DUMMYFUNCTION("""COMPUTED_VALUE"""),1.77932589121485)</f>
        <v>1.77932589121485</v>
      </c>
      <c r="V5" s="2">
        <f ca="1">IFERROR(__xludf.DUMMYFUNCTION("""COMPUTED_VALUE"""),1.28988792263637)</f>
        <v>1.28988792263637</v>
      </c>
      <c r="W5" s="2">
        <f ca="1">IFERROR(__xludf.DUMMYFUNCTION("""COMPUTED_VALUE"""),1.14530093792832)</f>
        <v>1.1453009379283201</v>
      </c>
      <c r="X5" s="2">
        <f ca="1">IFERROR(__xludf.DUMMYFUNCTION("""COMPUTED_VALUE"""),1.22301113504227)</f>
        <v>1.2230111350422701</v>
      </c>
      <c r="Y5" s="2">
        <f ca="1">IFERROR(__xludf.DUMMYFUNCTION("""COMPUTED_VALUE"""),1.79058409444133)</f>
        <v>1.79058409444133</v>
      </c>
      <c r="Z5" s="2">
        <f ca="1">IFERROR(__xludf.DUMMYFUNCTION("""COMPUTED_VALUE"""),1.38416313644597)</f>
        <v>1.3841631364459701</v>
      </c>
      <c r="AA5" s="2">
        <f ca="1">IFERROR(__xludf.DUMMYFUNCTION("""COMPUTED_VALUE"""),1.67705065423477)</f>
        <v>1.6770506542347701</v>
      </c>
      <c r="AB5" s="2">
        <f ca="1">IFERROR(__xludf.DUMMYFUNCTION("""COMPUTED_VALUE"""),1.45181201765723)</f>
        <v>1.45181201765723</v>
      </c>
      <c r="AC5" s="2">
        <f ca="1">IFERROR(__xludf.DUMMYFUNCTION("""COMPUTED_VALUE"""),1.61666669419984)</f>
        <v>1.61666669419984</v>
      </c>
      <c r="AD5" s="2">
        <f ca="1">IFERROR(__xludf.DUMMYFUNCTION("""COMPUTED_VALUE"""),1.21255583456431)</f>
        <v>1.2125558345643099</v>
      </c>
      <c r="AE5" s="2">
        <f ca="1">IFERROR(__xludf.DUMMYFUNCTION("""COMPUTED_VALUE"""),1.241900407946)</f>
        <v>1.2419004079460001</v>
      </c>
      <c r="AF5" s="2">
        <f ca="1">IFERROR(__xludf.DUMMYFUNCTION("""COMPUTED_VALUE"""),1.48734561830538)</f>
        <v>1.4873456183053799</v>
      </c>
      <c r="AG5" s="2">
        <f ca="1">IFERROR(__xludf.DUMMYFUNCTION("""COMPUTED_VALUE"""),0.667796614247288)</f>
        <v>0.66779661424728798</v>
      </c>
      <c r="AH5" s="2">
        <f ca="1">IFERROR(__xludf.DUMMYFUNCTION("""COMPUTED_VALUE"""),1.65140208546708)</f>
        <v>1.6514020854670799</v>
      </c>
      <c r="AI5" s="2">
        <f ca="1">IFERROR(__xludf.DUMMYFUNCTION("""COMPUTED_VALUE"""),1.23073558589583)</f>
        <v>1.23073558589583</v>
      </c>
      <c r="AJ5" s="2">
        <f ca="1">IFERROR(__xludf.DUMMYFUNCTION("""COMPUTED_VALUE"""),1.64253435891357)</f>
        <v>1.6425343589135699</v>
      </c>
    </row>
    <row r="6" spans="1:36" ht="15.75" customHeight="1" x14ac:dyDescent="0.25">
      <c r="A6" s="1" t="str">
        <f ca="1">IFERROR(__xludf.DUMMYFUNCTION("""COMPUTED_VALUE"""),"Brighton")</f>
        <v>Brighton</v>
      </c>
      <c r="B6" s="2">
        <f ca="1">IFERROR(__xludf.DUMMYFUNCTION("""COMPUTED_VALUE"""),1.22844431414631)</f>
        <v>1.2284443141463099</v>
      </c>
      <c r="C6" s="2">
        <f ca="1">IFERROR(__xludf.DUMMYFUNCTION("""COMPUTED_VALUE"""),1.77466521753471)</f>
        <v>1.77466521753471</v>
      </c>
      <c r="D6" s="2">
        <f ca="1">IFERROR(__xludf.DUMMYFUNCTION("""COMPUTED_VALUE"""),0.721516367228987)</f>
        <v>0.72151636722898704</v>
      </c>
      <c r="E6" s="2">
        <f ca="1">IFERROR(__xludf.DUMMYFUNCTION("""COMPUTED_VALUE"""),2.30932788011692)</f>
        <v>2.3093278801169199</v>
      </c>
      <c r="F6" s="2">
        <f ca="1">IFERROR(__xludf.DUMMYFUNCTION("""COMPUTED_VALUE"""),1.69794500432845)</f>
        <v>1.6979450043284501</v>
      </c>
      <c r="G6" s="2">
        <f ca="1">IFERROR(__xludf.DUMMYFUNCTION("""COMPUTED_VALUE"""),1.25851091309057)</f>
        <v>1.2585109130905701</v>
      </c>
      <c r="H6" s="2">
        <f ca="1">IFERROR(__xludf.DUMMYFUNCTION("""COMPUTED_VALUE"""),1.93462456004742)</f>
        <v>1.9346245600474199</v>
      </c>
      <c r="I6" s="2">
        <f ca="1">IFERROR(__xludf.DUMMYFUNCTION("""COMPUTED_VALUE"""),1.3418029556969)</f>
        <v>1.3418029556969</v>
      </c>
      <c r="J6" s="2">
        <f ca="1">IFERROR(__xludf.DUMMYFUNCTION("""COMPUTED_VALUE"""),1.99020283775817)</f>
        <v>1.99020283775817</v>
      </c>
      <c r="K6" s="2">
        <f ca="1">IFERROR(__xludf.DUMMYFUNCTION("""COMPUTED_VALUE"""),0.969091320414087)</f>
        <v>0.96909132041408697</v>
      </c>
      <c r="L6" s="2">
        <f ca="1">IFERROR(__xludf.DUMMYFUNCTION("""COMPUTED_VALUE"""),1.39365074368062)</f>
        <v>1.39365074368062</v>
      </c>
      <c r="M6" s="2">
        <f ca="1">IFERROR(__xludf.DUMMYFUNCTION("""COMPUTED_VALUE"""),1.31009780845218)</f>
        <v>1.3100978084521799</v>
      </c>
      <c r="N6" s="2">
        <f ca="1">IFERROR(__xludf.DUMMYFUNCTION("""COMPUTED_VALUE"""),2.45479008056914)</f>
        <v>2.4547900805691398</v>
      </c>
      <c r="O6" s="2">
        <f ca="1">IFERROR(__xludf.DUMMYFUNCTION("""COMPUTED_VALUE"""),1.28874383077187)</f>
        <v>1.2887438307718699</v>
      </c>
      <c r="P6" s="2">
        <f ca="1">IFERROR(__xludf.DUMMYFUNCTION("""COMPUTED_VALUE"""),1.81195811701793)</f>
        <v>1.81195811701793</v>
      </c>
      <c r="Q6" s="2">
        <f ca="1">IFERROR(__xludf.DUMMYFUNCTION("""COMPUTED_VALUE"""),1.68728821265989)</f>
        <v>1.68728821265989</v>
      </c>
      <c r="R6" s="2">
        <f ca="1">IFERROR(__xludf.DUMMYFUNCTION("""COMPUTED_VALUE"""),1.49550976532947)</f>
        <v>1.49550976532947</v>
      </c>
      <c r="S6" s="2">
        <f ca="1">IFERROR(__xludf.DUMMYFUNCTION("""COMPUTED_VALUE"""),1.79199219642763)</f>
        <v>1.79199219642763</v>
      </c>
      <c r="T6" s="2">
        <f ca="1">IFERROR(__xludf.DUMMYFUNCTION("""COMPUTED_VALUE"""),1.36793536918386)</f>
        <v>1.3679353691838601</v>
      </c>
      <c r="U6" s="2">
        <f ca="1">IFERROR(__xludf.DUMMYFUNCTION("""COMPUTED_VALUE"""),0.921304249314693)</f>
        <v>0.92130424931469301</v>
      </c>
      <c r="V6" s="2">
        <f ca="1">IFERROR(__xludf.DUMMYFUNCTION("""COMPUTED_VALUE"""),1.8085424701362)</f>
        <v>1.8085424701362001</v>
      </c>
      <c r="W6" s="2">
        <f ca="1">IFERROR(__xludf.DUMMYFUNCTION("""COMPUTED_VALUE"""),1.38982317921115)</f>
        <v>1.38982317921115</v>
      </c>
      <c r="X6" s="2">
        <f ca="1">IFERROR(__xludf.DUMMYFUNCTION("""COMPUTED_VALUE"""),1.56860054473343)</f>
        <v>1.5686005447334299</v>
      </c>
      <c r="Y6" s="2">
        <f ca="1">IFERROR(__xludf.DUMMYFUNCTION("""COMPUTED_VALUE"""),1.32973999869093)</f>
        <v>1.32973999869093</v>
      </c>
      <c r="Z6" s="2">
        <f ca="1">IFERROR(__xludf.DUMMYFUNCTION("""COMPUTED_VALUE"""),1.60699258492535)</f>
        <v>1.6069925849253499</v>
      </c>
      <c r="AA6" s="2">
        <f ca="1">IFERROR(__xludf.DUMMYFUNCTION("""COMPUTED_VALUE"""),1.92246070997661)</f>
        <v>1.92246070997661</v>
      </c>
      <c r="AB6" s="2">
        <f ca="1">IFERROR(__xludf.DUMMYFUNCTION("""COMPUTED_VALUE"""),1.67286389161259)</f>
        <v>1.67286389161259</v>
      </c>
      <c r="AC6" s="2">
        <f ca="1">IFERROR(__xludf.DUMMYFUNCTION("""COMPUTED_VALUE"""),1.6455969975126)</f>
        <v>1.6455969975125999</v>
      </c>
      <c r="AD6" s="2">
        <f ca="1">IFERROR(__xludf.DUMMYFUNCTION("""COMPUTED_VALUE"""),1.0914329576949)</f>
        <v>1.0914329576949</v>
      </c>
      <c r="AE6" s="2">
        <f ca="1">IFERROR(__xludf.DUMMYFUNCTION("""COMPUTED_VALUE"""),1.74671667291087)</f>
        <v>1.7467166729108701</v>
      </c>
      <c r="AF6" s="2">
        <f ca="1">IFERROR(__xludf.DUMMYFUNCTION("""COMPUTED_VALUE"""),1.32139416764029)</f>
        <v>1.3213941676402901</v>
      </c>
      <c r="AG6" s="2">
        <f ca="1">IFERROR(__xludf.DUMMYFUNCTION("""COMPUTED_VALUE"""),2.3136893196202)</f>
        <v>2.3136893196202002</v>
      </c>
      <c r="AH6" s="2">
        <f ca="1">IFERROR(__xludf.DUMMYFUNCTION("""COMPUTED_VALUE"""),1.40339274526402)</f>
        <v>1.40339274526402</v>
      </c>
      <c r="AI6" s="2">
        <f ca="1">IFERROR(__xludf.DUMMYFUNCTION("""COMPUTED_VALUE"""),1.9096164193492)</f>
        <v>1.9096164193492</v>
      </c>
      <c r="AJ6" s="2">
        <f ca="1">IFERROR(__xludf.DUMMYFUNCTION("""COMPUTED_VALUE"""),1.71334819412937)</f>
        <v>1.71334819412937</v>
      </c>
    </row>
    <row r="7" spans="1:36" ht="15.75" customHeight="1" x14ac:dyDescent="0.25">
      <c r="A7" s="1" t="str">
        <f ca="1">IFERROR(__xludf.DUMMYFUNCTION("""COMPUTED_VALUE"""),"Chelsea")</f>
        <v>Chelsea</v>
      </c>
      <c r="B7" s="2">
        <f ca="1">IFERROR(__xludf.DUMMYFUNCTION("""COMPUTED_VALUE"""),1.56486801234783)</f>
        <v>1.56486801234783</v>
      </c>
      <c r="C7" s="2">
        <f ca="1">IFERROR(__xludf.DUMMYFUNCTION("""COMPUTED_VALUE"""),1.75010544691281)</f>
        <v>1.7501054469128099</v>
      </c>
      <c r="D7" s="2">
        <f ca="1">IFERROR(__xludf.DUMMYFUNCTION("""COMPUTED_VALUE"""),1.89458037716807)</f>
        <v>1.89458037716807</v>
      </c>
      <c r="E7" s="2">
        <f ca="1">IFERROR(__xludf.DUMMYFUNCTION("""COMPUTED_VALUE"""),1.47105016288329)</f>
        <v>1.4710501628832899</v>
      </c>
      <c r="F7" s="2">
        <f ca="1">IFERROR(__xludf.DUMMYFUNCTION("""COMPUTED_VALUE"""),1.67924094650661)</f>
        <v>1.67924094650661</v>
      </c>
      <c r="G7" s="2">
        <f ca="1">IFERROR(__xludf.DUMMYFUNCTION("""COMPUTED_VALUE"""),2.00345026395015)</f>
        <v>2.0034502639501501</v>
      </c>
      <c r="H7" s="2">
        <f ca="1">IFERROR(__xludf.DUMMYFUNCTION("""COMPUTED_VALUE"""),1.90654641132118)</f>
        <v>1.9065464113211801</v>
      </c>
      <c r="I7" s="2">
        <f ca="1">IFERROR(__xludf.DUMMYFUNCTION("""COMPUTED_VALUE"""),1.08814924774829)</f>
        <v>1.0881492477482899</v>
      </c>
      <c r="J7" s="2">
        <f ca="1">IFERROR(__xludf.DUMMYFUNCTION("""COMPUTED_VALUE"""),1.92384196339323)</f>
        <v>1.92384196339323</v>
      </c>
      <c r="K7" s="2">
        <f ca="1">IFERROR(__xludf.DUMMYFUNCTION("""COMPUTED_VALUE"""),1.56057021160353)</f>
        <v>1.56057021160353</v>
      </c>
      <c r="L7" s="2">
        <f ca="1">IFERROR(__xludf.DUMMYFUNCTION("""COMPUTED_VALUE"""),1.03449128551757)</f>
        <v>1.0344912855175701</v>
      </c>
      <c r="M7" s="2">
        <f ca="1">IFERROR(__xludf.DUMMYFUNCTION("""COMPUTED_VALUE"""),2.03456663004885)</f>
        <v>2.0345666300488499</v>
      </c>
      <c r="N7" s="2">
        <f ca="1">IFERROR(__xludf.DUMMYFUNCTION("""COMPUTED_VALUE"""),1.96130993397528)</f>
        <v>1.96130993397528</v>
      </c>
      <c r="O7" s="2">
        <f ca="1">IFERROR(__xludf.DUMMYFUNCTION("""COMPUTED_VALUE"""),2.15864504337201)</f>
        <v>2.1586450433720099</v>
      </c>
      <c r="P7" s="2">
        <f ca="1">IFERROR(__xludf.DUMMYFUNCTION("""COMPUTED_VALUE"""),1.70123211364936)</f>
        <v>1.70123211364936</v>
      </c>
      <c r="Q7" s="2">
        <f ca="1">IFERROR(__xludf.DUMMYFUNCTION("""COMPUTED_VALUE"""),2.01214779189265)</f>
        <v>2.0121477918926498</v>
      </c>
      <c r="R7" s="2">
        <f ca="1">IFERROR(__xludf.DUMMYFUNCTION("""COMPUTED_VALUE"""),1.37936511057369)</f>
        <v>1.3793651105736899</v>
      </c>
      <c r="S7" s="2">
        <f ca="1">IFERROR(__xludf.DUMMYFUNCTION("""COMPUTED_VALUE"""),1.84776717861332)</f>
        <v>1.8477671786133201</v>
      </c>
      <c r="T7" s="2">
        <f ca="1">IFERROR(__xludf.DUMMYFUNCTION("""COMPUTED_VALUE"""),2.03073135311815)</f>
        <v>2.0307313531181501</v>
      </c>
      <c r="U7" s="2">
        <f ca="1">IFERROR(__xludf.DUMMYFUNCTION("""COMPUTED_VALUE"""),1.48373433876425)</f>
        <v>1.4837343387642501</v>
      </c>
      <c r="V7" s="2">
        <f ca="1">IFERROR(__xludf.DUMMYFUNCTION("""COMPUTED_VALUE"""),1.87838395298568)</f>
        <v>1.8783839529856801</v>
      </c>
      <c r="W7" s="2">
        <f ca="1">IFERROR(__xludf.DUMMYFUNCTION("""COMPUTED_VALUE"""),2.23470964516297)</f>
        <v>2.2347096451629702</v>
      </c>
      <c r="X7" s="2">
        <f ca="1">IFERROR(__xludf.DUMMYFUNCTION("""COMPUTED_VALUE"""),1.22552119378794)</f>
        <v>1.22552119378794</v>
      </c>
      <c r="Y7" s="2">
        <f ca="1">IFERROR(__xludf.DUMMYFUNCTION("""COMPUTED_VALUE"""),2.14422276459429)</f>
        <v>2.1442227645942902</v>
      </c>
      <c r="Z7" s="2">
        <f ca="1">IFERROR(__xludf.DUMMYFUNCTION("""COMPUTED_VALUE"""),1.56899542951691)</f>
        <v>1.56899542951691</v>
      </c>
      <c r="AA7" s="2">
        <f ca="1">IFERROR(__xludf.DUMMYFUNCTION("""COMPUTED_VALUE"""),1.53599336986082)</f>
        <v>1.5359933698608199</v>
      </c>
      <c r="AB7" s="2">
        <f ca="1">IFERROR(__xludf.DUMMYFUNCTION("""COMPUTED_VALUE"""),2.75637385588172)</f>
        <v>2.7563738558817201</v>
      </c>
      <c r="AC7" s="2">
        <f ca="1">IFERROR(__xludf.DUMMYFUNCTION("""COMPUTED_VALUE"""),2.59793812990938)</f>
        <v>2.5979381299093798</v>
      </c>
      <c r="AD7" s="2">
        <f ca="1">IFERROR(__xludf.DUMMYFUNCTION("""COMPUTED_VALUE"""),0.810158419232182)</f>
        <v>0.81015841923218201</v>
      </c>
      <c r="AE7" s="2">
        <f ca="1">IFERROR(__xludf.DUMMYFUNCTION("""COMPUTED_VALUE"""),2.17230328591887)</f>
        <v>2.1723032859188698</v>
      </c>
      <c r="AF7" s="2">
        <f ca="1">IFERROR(__xludf.DUMMYFUNCTION("""COMPUTED_VALUE"""),1.57580686967864)</f>
        <v>1.57580686967864</v>
      </c>
      <c r="AG7" s="2">
        <f ca="1">IFERROR(__xludf.DUMMYFUNCTION("""COMPUTED_VALUE"""),2.59304086479657)</f>
        <v>2.5930408647965701</v>
      </c>
      <c r="AH7" s="2">
        <f ca="1">IFERROR(__xludf.DUMMYFUNCTION("""COMPUTED_VALUE"""),1.44707273757797)</f>
        <v>1.4470727375779699</v>
      </c>
      <c r="AI7" s="2">
        <f ca="1">IFERROR(__xludf.DUMMYFUNCTION("""COMPUTED_VALUE"""),1.76131130969154)</f>
        <v>1.76131130969154</v>
      </c>
      <c r="AJ7" s="2">
        <f ca="1">IFERROR(__xludf.DUMMYFUNCTION("""COMPUTED_VALUE"""),1.38945777444979)</f>
        <v>1.38945777444979</v>
      </c>
    </row>
    <row r="8" spans="1:36" ht="15.75" customHeight="1" x14ac:dyDescent="0.25">
      <c r="A8" s="1" t="str">
        <f ca="1">IFERROR(__xludf.DUMMYFUNCTION("""COMPUTED_VALUE"""),"Crystal Palace")</f>
        <v>Crystal Palace</v>
      </c>
      <c r="B8" s="2">
        <f ca="1">IFERROR(__xludf.DUMMYFUNCTION("""COMPUTED_VALUE"""),1.28702975477602)</f>
        <v>1.2870297547760201</v>
      </c>
      <c r="C8" s="2">
        <f ca="1">IFERROR(__xludf.DUMMYFUNCTION("""COMPUTED_VALUE"""),1.75127964727286)</f>
        <v>1.75127964727286</v>
      </c>
      <c r="D8" s="2">
        <f ca="1">IFERROR(__xludf.DUMMYFUNCTION("""COMPUTED_VALUE"""),1.15416087002301)</f>
        <v>1.1541608700230099</v>
      </c>
      <c r="E8" s="2">
        <f ca="1">IFERROR(__xludf.DUMMYFUNCTION("""COMPUTED_VALUE"""),2.1218486469363)</f>
        <v>2.1218486469363</v>
      </c>
      <c r="F8" s="2">
        <f ca="1">IFERROR(__xludf.DUMMYFUNCTION("""COMPUTED_VALUE"""),1.62751798984363)</f>
        <v>1.6275179898436301</v>
      </c>
      <c r="G8" s="2">
        <f ca="1">IFERROR(__xludf.DUMMYFUNCTION("""COMPUTED_VALUE"""),1.12658725772042)</f>
        <v>1.1265872577204199</v>
      </c>
      <c r="H8" s="2">
        <f ca="1">IFERROR(__xludf.DUMMYFUNCTION("""COMPUTED_VALUE"""),1.13483037365261)</f>
        <v>1.13483037365261</v>
      </c>
      <c r="I8" s="2">
        <f ca="1">IFERROR(__xludf.DUMMYFUNCTION("""COMPUTED_VALUE"""),1.21948396142599)</f>
        <v>1.21948396142599</v>
      </c>
      <c r="J8" s="2">
        <f ca="1">IFERROR(__xludf.DUMMYFUNCTION("""COMPUTED_VALUE"""),1.77421422584957)</f>
        <v>1.7742142258495699</v>
      </c>
      <c r="K8" s="2">
        <f ca="1">IFERROR(__xludf.DUMMYFUNCTION("""COMPUTED_VALUE"""),1.42938695566908)</f>
        <v>1.4293869556690799</v>
      </c>
      <c r="L8" s="2">
        <f ca="1">IFERROR(__xludf.DUMMYFUNCTION("""COMPUTED_VALUE"""),1.50915152391667)</f>
        <v>1.50915152391667</v>
      </c>
      <c r="M8" s="2">
        <f ca="1">IFERROR(__xludf.DUMMYFUNCTION("""COMPUTED_VALUE"""),1.25451234423969)</f>
        <v>1.2545123442396899</v>
      </c>
      <c r="N8" s="2">
        <f ca="1">IFERROR(__xludf.DUMMYFUNCTION("""COMPUTED_VALUE"""),1.57128509718882)</f>
        <v>1.5712850971888199</v>
      </c>
      <c r="O8" s="2">
        <f ca="1">IFERROR(__xludf.DUMMYFUNCTION("""COMPUTED_VALUE"""),1.6585862936063)</f>
        <v>1.6585862936063001</v>
      </c>
      <c r="P8" s="2">
        <f ca="1">IFERROR(__xludf.DUMMYFUNCTION("""COMPUTED_VALUE"""),1.27809551598134)</f>
        <v>1.2780955159813401</v>
      </c>
      <c r="Q8" s="2">
        <f ca="1">IFERROR(__xludf.DUMMYFUNCTION("""COMPUTED_VALUE"""),1.28146655643636)</f>
        <v>1.2814665564363601</v>
      </c>
      <c r="R8" s="2">
        <f ca="1">IFERROR(__xludf.DUMMYFUNCTION("""COMPUTED_VALUE"""),0.844913860407994)</f>
        <v>0.84491386040799399</v>
      </c>
      <c r="S8" s="2">
        <f ca="1">IFERROR(__xludf.DUMMYFUNCTION("""COMPUTED_VALUE"""),1.2014704129225)</f>
        <v>1.2014704129225</v>
      </c>
      <c r="T8" s="2">
        <f ca="1">IFERROR(__xludf.DUMMYFUNCTION("""COMPUTED_VALUE"""),2.25124996982019)</f>
        <v>2.25124996982019</v>
      </c>
      <c r="U8" s="2">
        <f ca="1">IFERROR(__xludf.DUMMYFUNCTION("""COMPUTED_VALUE"""),1.47374801493238)</f>
        <v>1.4737480149323801</v>
      </c>
      <c r="V8" s="2">
        <f ca="1">IFERROR(__xludf.DUMMYFUNCTION("""COMPUTED_VALUE"""),1.66171873046934)</f>
        <v>1.6617187304693399</v>
      </c>
      <c r="W8" s="2">
        <f ca="1">IFERROR(__xludf.DUMMYFUNCTION("""COMPUTED_VALUE"""),1.37150884742177)</f>
        <v>1.37150884742177</v>
      </c>
      <c r="X8" s="2">
        <f ca="1">IFERROR(__xludf.DUMMYFUNCTION("""COMPUTED_VALUE"""),1.6434082938735)</f>
        <v>1.6434082938735</v>
      </c>
      <c r="Y8" s="2">
        <f ca="1">IFERROR(__xludf.DUMMYFUNCTION("""COMPUTED_VALUE"""),1.27458531587723)</f>
        <v>1.27458531587723</v>
      </c>
      <c r="Z8" s="2">
        <f ca="1">IFERROR(__xludf.DUMMYFUNCTION("""COMPUTED_VALUE"""),1.43853926938321)</f>
        <v>1.43853926938321</v>
      </c>
      <c r="AA8" s="2">
        <f ca="1">IFERROR(__xludf.DUMMYFUNCTION("""COMPUTED_VALUE"""),1.18188701066385)</f>
        <v>1.1818870106638499</v>
      </c>
      <c r="AB8" s="2">
        <f ca="1">IFERROR(__xludf.DUMMYFUNCTION("""COMPUTED_VALUE"""),1.60188681235967)</f>
        <v>1.6018868123596699</v>
      </c>
      <c r="AC8" s="2">
        <f ca="1">IFERROR(__xludf.DUMMYFUNCTION("""COMPUTED_VALUE"""),2.11784883830588)</f>
        <v>2.1178488383058802</v>
      </c>
      <c r="AD8" s="2">
        <f ca="1">IFERROR(__xludf.DUMMYFUNCTION("""COMPUTED_VALUE"""),1.2305467124981)</f>
        <v>1.2305467124981</v>
      </c>
      <c r="AE8" s="2">
        <f ca="1">IFERROR(__xludf.DUMMYFUNCTION("""COMPUTED_VALUE"""),1.76305894731004)</f>
        <v>1.76305894731004</v>
      </c>
      <c r="AF8" s="2">
        <f ca="1">IFERROR(__xludf.DUMMYFUNCTION("""COMPUTED_VALUE"""),1.63630464591359)</f>
        <v>1.6363046459135899</v>
      </c>
      <c r="AG8" s="2">
        <f ca="1">IFERROR(__xludf.DUMMYFUNCTION("""COMPUTED_VALUE"""),1.00093626437571)</f>
        <v>1.00093626437571</v>
      </c>
      <c r="AH8" s="2">
        <f ca="1">IFERROR(__xludf.DUMMYFUNCTION("""COMPUTED_VALUE"""),1.53415757026075)</f>
        <v>1.5341575702607499</v>
      </c>
      <c r="AI8" s="2">
        <f ca="1">IFERROR(__xludf.DUMMYFUNCTION("""COMPUTED_VALUE"""),0.661691487515071)</f>
        <v>0.66169148751507101</v>
      </c>
      <c r="AJ8" s="2">
        <f ca="1">IFERROR(__xludf.DUMMYFUNCTION("""COMPUTED_VALUE"""),1.55715907034484)</f>
        <v>1.5571590703448399</v>
      </c>
    </row>
    <row r="9" spans="1:36" ht="15.75" customHeight="1" x14ac:dyDescent="0.25">
      <c r="A9" s="1" t="str">
        <f ca="1">IFERROR(__xludf.DUMMYFUNCTION("""COMPUTED_VALUE"""),"Everton")</f>
        <v>Everton</v>
      </c>
      <c r="B9" s="2">
        <f ca="1">IFERROR(__xludf.DUMMYFUNCTION("""COMPUTED_VALUE"""),1.32014555760639)</f>
        <v>1.3201455576063901</v>
      </c>
      <c r="C9" s="2">
        <f ca="1">IFERROR(__xludf.DUMMYFUNCTION("""COMPUTED_VALUE"""),1.12100313030152)</f>
        <v>1.12100313030152</v>
      </c>
      <c r="D9" s="2">
        <f ca="1">IFERROR(__xludf.DUMMYFUNCTION("""COMPUTED_VALUE"""),1.23773485952376)</f>
        <v>1.2377348595237601</v>
      </c>
      <c r="E9" s="2">
        <f ca="1">IFERROR(__xludf.DUMMYFUNCTION("""COMPUTED_VALUE"""),1.01212136893111)</f>
        <v>1.0121213689311099</v>
      </c>
      <c r="F9" s="2">
        <f ca="1">IFERROR(__xludf.DUMMYFUNCTION("""COMPUTED_VALUE"""),1.34064925226415)</f>
        <v>1.34064925226415</v>
      </c>
      <c r="G9" s="2">
        <f ca="1">IFERROR(__xludf.DUMMYFUNCTION("""COMPUTED_VALUE"""),1.24840726692923)</f>
        <v>1.2484072669292301</v>
      </c>
      <c r="H9" s="2">
        <f ca="1">IFERROR(__xludf.DUMMYFUNCTION("""COMPUTED_VALUE"""),1.26768878030581)</f>
        <v>1.2676887803058099</v>
      </c>
      <c r="I9" s="2">
        <f ca="1">IFERROR(__xludf.DUMMYFUNCTION("""COMPUTED_VALUE"""),1.33812205012025)</f>
        <v>1.33812205012025</v>
      </c>
      <c r="J9" s="2">
        <f ca="1">IFERROR(__xludf.DUMMYFUNCTION("""COMPUTED_VALUE"""),1.21756036385336)</f>
        <v>1.2175603638533601</v>
      </c>
      <c r="K9" s="2">
        <f ca="1">IFERROR(__xludf.DUMMYFUNCTION("""COMPUTED_VALUE"""),1.42240898899975)</f>
        <v>1.42240898899975</v>
      </c>
      <c r="L9" s="2">
        <f ca="1">IFERROR(__xludf.DUMMYFUNCTION("""COMPUTED_VALUE"""),1.10651235799114)</f>
        <v>1.10651235799114</v>
      </c>
      <c r="M9" s="2">
        <f ca="1">IFERROR(__xludf.DUMMYFUNCTION("""COMPUTED_VALUE"""),1.32587667211522)</f>
        <v>1.32587667211522</v>
      </c>
      <c r="N9" s="2">
        <f ca="1">IFERROR(__xludf.DUMMYFUNCTION("""COMPUTED_VALUE"""),1.02831593539001)</f>
        <v>1.02831593539001</v>
      </c>
      <c r="O9" s="2">
        <f ca="1">IFERROR(__xludf.DUMMYFUNCTION("""COMPUTED_VALUE"""),1.47253069551391)</f>
        <v>1.4725306955139099</v>
      </c>
      <c r="P9" s="2">
        <f ca="1">IFERROR(__xludf.DUMMYFUNCTION("""COMPUTED_VALUE"""),0.915563785848593)</f>
        <v>0.91556378584859299</v>
      </c>
      <c r="Q9" s="2">
        <f ca="1">IFERROR(__xludf.DUMMYFUNCTION("""COMPUTED_VALUE"""),0.533842570165941)</f>
        <v>0.53384257016594105</v>
      </c>
      <c r="R9" s="2">
        <f ca="1">IFERROR(__xludf.DUMMYFUNCTION("""COMPUTED_VALUE"""),1.18899735437587)</f>
        <v>1.1889973543758701</v>
      </c>
      <c r="S9" s="2">
        <f ca="1">IFERROR(__xludf.DUMMYFUNCTION("""COMPUTED_VALUE"""),0.807540066675644)</f>
        <v>0.80754006667564404</v>
      </c>
      <c r="T9" s="2">
        <f ca="1">IFERROR(__xludf.DUMMYFUNCTION("""COMPUTED_VALUE"""),1.25629211793534)</f>
        <v>1.2562921179353399</v>
      </c>
      <c r="U9" s="2">
        <f ca="1">IFERROR(__xludf.DUMMYFUNCTION("""COMPUTED_VALUE"""),0.969327950132164)</f>
        <v>0.969327950132164</v>
      </c>
      <c r="V9" s="2">
        <f ca="1">IFERROR(__xludf.DUMMYFUNCTION("""COMPUTED_VALUE"""),1.29237777598814)</f>
        <v>1.2923777759881401</v>
      </c>
      <c r="W9" s="2">
        <f ca="1">IFERROR(__xludf.DUMMYFUNCTION("""COMPUTED_VALUE"""),1.43140889708202)</f>
        <v>1.43140889708202</v>
      </c>
      <c r="X9" s="2">
        <f ca="1">IFERROR(__xludf.DUMMYFUNCTION("""COMPUTED_VALUE"""),1.03386761501009)</f>
        <v>1.0338676150100901</v>
      </c>
      <c r="Y9" s="2">
        <f ca="1">IFERROR(__xludf.DUMMYFUNCTION("""COMPUTED_VALUE"""),1.7118750302161)</f>
        <v>1.7118750302161001</v>
      </c>
      <c r="Z9" s="2">
        <f ca="1">IFERROR(__xludf.DUMMYFUNCTION("""COMPUTED_VALUE"""),0.977686010595379)</f>
        <v>0.97768601059537896</v>
      </c>
      <c r="AA9" s="2">
        <f ca="1">IFERROR(__xludf.DUMMYFUNCTION("""COMPUTED_VALUE"""),1.3130566178995)</f>
        <v>1.3130566178995</v>
      </c>
      <c r="AB9" s="2">
        <f ca="1">IFERROR(__xludf.DUMMYFUNCTION("""COMPUTED_VALUE"""),1.03835591832972)</f>
        <v>1.03835591832972</v>
      </c>
      <c r="AC9" s="2">
        <f ca="1">IFERROR(__xludf.DUMMYFUNCTION("""COMPUTED_VALUE"""),1.15320753035783)</f>
        <v>1.15320753035783</v>
      </c>
      <c r="AD9" s="2">
        <f ca="1">IFERROR(__xludf.DUMMYFUNCTION("""COMPUTED_VALUE"""),1.41290562991888)</f>
        <v>1.41290562991888</v>
      </c>
      <c r="AE9" s="2">
        <f ca="1">IFERROR(__xludf.DUMMYFUNCTION("""COMPUTED_VALUE"""),0.717020742304482)</f>
        <v>0.71702074230448198</v>
      </c>
      <c r="AF9" s="2">
        <f ca="1">IFERROR(__xludf.DUMMYFUNCTION("""COMPUTED_VALUE"""),0.68166357784489)</f>
        <v>0.68166357784488996</v>
      </c>
      <c r="AG9" s="2">
        <f ca="1">IFERROR(__xludf.DUMMYFUNCTION("""COMPUTED_VALUE"""),0.983861005509709)</f>
        <v>0.98386100550970901</v>
      </c>
      <c r="AH9" s="2">
        <f ca="1">IFERROR(__xludf.DUMMYFUNCTION("""COMPUTED_VALUE"""),1.03114791113813)</f>
        <v>1.0311479111381301</v>
      </c>
      <c r="AI9" s="2">
        <f ca="1">IFERROR(__xludf.DUMMYFUNCTION("""COMPUTED_VALUE"""),0.931159334619686)</f>
        <v>0.93115933461968603</v>
      </c>
      <c r="AJ9" s="2">
        <f ca="1">IFERROR(__xludf.DUMMYFUNCTION("""COMPUTED_VALUE"""),1.70864804579855)</f>
        <v>1.70864804579855</v>
      </c>
    </row>
    <row r="10" spans="1:36" ht="15.75" customHeight="1" x14ac:dyDescent="0.25">
      <c r="A10" s="1" t="str">
        <f ca="1">IFERROR(__xludf.DUMMYFUNCTION("""COMPUTED_VALUE"""),"Fulham")</f>
        <v>Fulham</v>
      </c>
      <c r="B10" s="2">
        <f ca="1">IFERROR(__xludf.DUMMYFUNCTION("""COMPUTED_VALUE"""),1.20730642509724)</f>
        <v>1.2073064250972401</v>
      </c>
      <c r="C10" s="2">
        <f ca="1">IFERROR(__xludf.DUMMYFUNCTION("""COMPUTED_VALUE"""),2.00984702445515)</f>
        <v>2.0098470244551501</v>
      </c>
      <c r="D10" s="2">
        <f ca="1">IFERROR(__xludf.DUMMYFUNCTION("""COMPUTED_VALUE"""),1.57103793987375)</f>
        <v>1.57103793987375</v>
      </c>
      <c r="E10" s="2">
        <f ca="1">IFERROR(__xludf.DUMMYFUNCTION("""COMPUTED_VALUE"""),1.65883848178446)</f>
        <v>1.6588384817844599</v>
      </c>
      <c r="F10" s="2">
        <f ca="1">IFERROR(__xludf.DUMMYFUNCTION("""COMPUTED_VALUE"""),1.48834493059414)</f>
        <v>1.4883449305941401</v>
      </c>
      <c r="G10" s="2">
        <f ca="1">IFERROR(__xludf.DUMMYFUNCTION("""COMPUTED_VALUE"""),1.15511359152865)</f>
        <v>1.1551135915286499</v>
      </c>
      <c r="H10" s="2">
        <f ca="1">IFERROR(__xludf.DUMMYFUNCTION("""COMPUTED_VALUE"""),0.948101918357598)</f>
        <v>0.94810191835759805</v>
      </c>
      <c r="I10" s="2">
        <f ca="1">IFERROR(__xludf.DUMMYFUNCTION("""COMPUTED_VALUE"""),1.51733133651341)</f>
        <v>1.51733133651341</v>
      </c>
      <c r="J10" s="2">
        <f ca="1">IFERROR(__xludf.DUMMYFUNCTION("""COMPUTED_VALUE"""),1.06712043339557)</f>
        <v>1.0671204333955699</v>
      </c>
      <c r="K10" s="2">
        <f ca="1">IFERROR(__xludf.DUMMYFUNCTION("""COMPUTED_VALUE"""),1.55666110972416)</f>
        <v>1.5566611097241601</v>
      </c>
      <c r="L10" s="2">
        <f ca="1">IFERROR(__xludf.DUMMYFUNCTION("""COMPUTED_VALUE"""),1.14786376608255)</f>
        <v>1.1478637660825499</v>
      </c>
      <c r="M10" s="2">
        <f ca="1">IFERROR(__xludf.DUMMYFUNCTION("""COMPUTED_VALUE"""),1.72884199171005)</f>
        <v>1.7288419917100499</v>
      </c>
      <c r="N10" s="2">
        <f ca="1">IFERROR(__xludf.DUMMYFUNCTION("""COMPUTED_VALUE"""),1.31612691701976)</f>
        <v>1.31612691701976</v>
      </c>
      <c r="O10" s="2">
        <f ca="1">IFERROR(__xludf.DUMMYFUNCTION("""COMPUTED_VALUE"""),1.54993242729169)</f>
        <v>1.5499324272916899</v>
      </c>
      <c r="P10" s="2">
        <f ca="1">IFERROR(__xludf.DUMMYFUNCTION("""COMPUTED_VALUE"""),0.800315145339817)</f>
        <v>0.80031514533981696</v>
      </c>
      <c r="Q10" s="2">
        <f ca="1">IFERROR(__xludf.DUMMYFUNCTION("""COMPUTED_VALUE"""),0.841826640354329)</f>
        <v>0.84182664035432897</v>
      </c>
      <c r="R10" s="2">
        <f ca="1">IFERROR(__xludf.DUMMYFUNCTION("""COMPUTED_VALUE"""),2.13241790816746)</f>
        <v>2.1324179081674601</v>
      </c>
      <c r="S10" s="2">
        <f ca="1">IFERROR(__xludf.DUMMYFUNCTION("""COMPUTED_VALUE"""),1.09323857463051)</f>
        <v>1.09323857463051</v>
      </c>
      <c r="T10" s="2">
        <f ca="1">IFERROR(__xludf.DUMMYFUNCTION("""COMPUTED_VALUE"""),1.45317717740424)</f>
        <v>1.4531771774042399</v>
      </c>
      <c r="U10" s="2">
        <f ca="1">IFERROR(__xludf.DUMMYFUNCTION("""COMPUTED_VALUE"""),2.00605834542479)</f>
        <v>2.00605834542479</v>
      </c>
      <c r="V10" s="2">
        <f ca="1">IFERROR(__xludf.DUMMYFUNCTION("""COMPUTED_VALUE"""),1.29911385526232)</f>
        <v>1.29911385526232</v>
      </c>
      <c r="W10" s="2">
        <f ca="1">IFERROR(__xludf.DUMMYFUNCTION("""COMPUTED_VALUE"""),1.57400503129074)</f>
        <v>1.5740050312907401</v>
      </c>
      <c r="X10" s="2">
        <f ca="1">IFERROR(__xludf.DUMMYFUNCTION("""COMPUTED_VALUE"""),1.54160957420666)</f>
        <v>1.54160957420666</v>
      </c>
      <c r="Y10" s="2">
        <f ca="1">IFERROR(__xludf.DUMMYFUNCTION("""COMPUTED_VALUE"""),1.165592396111)</f>
        <v>1.165592396111</v>
      </c>
      <c r="Z10" s="2">
        <f ca="1">IFERROR(__xludf.DUMMYFUNCTION("""COMPUTED_VALUE"""),1.47496454502293)</f>
        <v>1.4749645450229301</v>
      </c>
      <c r="AA10" s="2">
        <f ca="1">IFERROR(__xludf.DUMMYFUNCTION("""COMPUTED_VALUE"""),1.46570724291082)</f>
        <v>1.46570724291082</v>
      </c>
      <c r="AB10" s="2">
        <f ca="1">IFERROR(__xludf.DUMMYFUNCTION("""COMPUTED_VALUE"""),1.35393687188507)</f>
        <v>1.3539368718850699</v>
      </c>
      <c r="AC10" s="2">
        <f ca="1">IFERROR(__xludf.DUMMYFUNCTION("""COMPUTED_VALUE"""),1.21382443988698)</f>
        <v>1.21382443988698</v>
      </c>
      <c r="AD10" s="2">
        <f ca="1">IFERROR(__xludf.DUMMYFUNCTION("""COMPUTED_VALUE"""),1.68056246034253)</f>
        <v>1.68056246034253</v>
      </c>
      <c r="AE10" s="2">
        <f ca="1">IFERROR(__xludf.DUMMYFUNCTION("""COMPUTED_VALUE"""),0.626764151726695)</f>
        <v>0.62676415172669497</v>
      </c>
      <c r="AF10" s="2">
        <f ca="1">IFERROR(__xludf.DUMMYFUNCTION("""COMPUTED_VALUE"""),1.07492843706844)</f>
        <v>1.07492843706844</v>
      </c>
      <c r="AG10" s="2">
        <f ca="1">IFERROR(__xludf.DUMMYFUNCTION("""COMPUTED_VALUE"""),1.13805088683863)</f>
        <v>1.1380508868386301</v>
      </c>
      <c r="AH10" s="2">
        <f ca="1">IFERROR(__xludf.DUMMYFUNCTION("""COMPUTED_VALUE"""),1.3959563359457)</f>
        <v>1.3959563359456999</v>
      </c>
      <c r="AI10" s="2">
        <f ca="1">IFERROR(__xludf.DUMMYFUNCTION("""COMPUTED_VALUE"""),1.66999601234823)</f>
        <v>1.66999601234823</v>
      </c>
      <c r="AJ10" s="2">
        <f ca="1">IFERROR(__xludf.DUMMYFUNCTION("""COMPUTED_VALUE"""),1.1882930037696)</f>
        <v>1.1882930037696</v>
      </c>
    </row>
    <row r="11" spans="1:36" ht="15.75" customHeight="1" x14ac:dyDescent="0.25">
      <c r="A11" s="1" t="str">
        <f ca="1">IFERROR(__xludf.DUMMYFUNCTION("""COMPUTED_VALUE"""),"Ipswich")</f>
        <v>Ipswich</v>
      </c>
      <c r="B11" s="2">
        <f ca="1">IFERROR(__xludf.DUMMYFUNCTION("""COMPUTED_VALUE"""),0.825428617535951)</f>
        <v>0.82542861753595098</v>
      </c>
      <c r="C11" s="2">
        <f ca="1">IFERROR(__xludf.DUMMYFUNCTION("""COMPUTED_VALUE"""),0.728039587349075)</f>
        <v>0.72803958734907503</v>
      </c>
      <c r="D11" s="2">
        <f ca="1">IFERROR(__xludf.DUMMYFUNCTION("""COMPUTED_VALUE"""),1.09769432063169)</f>
        <v>1.09769432063169</v>
      </c>
      <c r="E11" s="2">
        <f ca="1">IFERROR(__xludf.DUMMYFUNCTION("""COMPUTED_VALUE"""),0.932085704309516)</f>
        <v>0.93208570430951598</v>
      </c>
      <c r="F11" s="2">
        <f ca="1">IFERROR(__xludf.DUMMYFUNCTION("""COMPUTED_VALUE"""),1.28237606544535)</f>
        <v>1.28237606544535</v>
      </c>
      <c r="G11" s="2">
        <f ca="1">IFERROR(__xludf.DUMMYFUNCTION("""COMPUTED_VALUE"""),1.16514612903714)</f>
        <v>1.1651461290371401</v>
      </c>
      <c r="H11" s="2">
        <f ca="1">IFERROR(__xludf.DUMMYFUNCTION("""COMPUTED_VALUE"""),0.997578737888298)</f>
        <v>0.99757873788829798</v>
      </c>
      <c r="I11" s="2">
        <f ca="1">IFERROR(__xludf.DUMMYFUNCTION("""COMPUTED_VALUE"""),1.04633389092002)</f>
        <v>1.0463338909200199</v>
      </c>
      <c r="J11" s="2">
        <f ca="1">IFERROR(__xludf.DUMMYFUNCTION("""COMPUTED_VALUE"""),0.936132144395361)</f>
        <v>0.93613214439536097</v>
      </c>
      <c r="K11" s="2">
        <f ca="1">IFERROR(__xludf.DUMMYFUNCTION("""COMPUTED_VALUE"""),1.54334483454467)</f>
        <v>1.5433448345446701</v>
      </c>
      <c r="L11" s="2">
        <f ca="1">IFERROR(__xludf.DUMMYFUNCTION("""COMPUTED_VALUE"""),1.01064292668657)</f>
        <v>1.01064292668657</v>
      </c>
      <c r="M11" s="2">
        <f ca="1">IFERROR(__xludf.DUMMYFUNCTION("""COMPUTED_VALUE"""),1.18378918608567)</f>
        <v>1.18378918608567</v>
      </c>
      <c r="N11" s="2">
        <f ca="1">IFERROR(__xludf.DUMMYFUNCTION("""COMPUTED_VALUE"""),0.887002131558432)</f>
        <v>0.88700213155843199</v>
      </c>
      <c r="O11" s="2">
        <f ca="1">IFERROR(__xludf.DUMMYFUNCTION("""COMPUTED_VALUE"""),1.12550441639425)</f>
        <v>1.12550441639425</v>
      </c>
      <c r="P11" s="2">
        <f ca="1">IFERROR(__xludf.DUMMYFUNCTION("""COMPUTED_VALUE"""),1.11588268317736)</f>
        <v>1.1158826831773601</v>
      </c>
      <c r="Q11" s="2">
        <f ca="1">IFERROR(__xludf.DUMMYFUNCTION("""COMPUTED_VALUE"""),1.03967687694533)</f>
        <v>1.03967687694533</v>
      </c>
      <c r="R11" s="2">
        <f ca="1">IFERROR(__xludf.DUMMYFUNCTION("""COMPUTED_VALUE"""),1.14288770871799)</f>
        <v>1.1428877087179901</v>
      </c>
      <c r="S11" s="2">
        <f ca="1">IFERROR(__xludf.DUMMYFUNCTION("""COMPUTED_VALUE"""),0.481286985663696)</f>
        <v>0.48128698566369599</v>
      </c>
      <c r="T11" s="2">
        <f ca="1">IFERROR(__xludf.DUMMYFUNCTION("""COMPUTED_VALUE"""),1.07194327434733)</f>
        <v>1.0719432743473301</v>
      </c>
      <c r="U11" s="2">
        <f ca="1">IFERROR(__xludf.DUMMYFUNCTION("""COMPUTED_VALUE"""),0.859655666560964)</f>
        <v>0.85965566656096404</v>
      </c>
      <c r="V11" s="2">
        <f ca="1">IFERROR(__xludf.DUMMYFUNCTION("""COMPUTED_VALUE"""),1.19018023583282)</f>
        <v>1.19018023583282</v>
      </c>
      <c r="W11" s="2">
        <f ca="1">IFERROR(__xludf.DUMMYFUNCTION("""COMPUTED_VALUE"""),0.929633749086033)</f>
        <v>0.92963374908603302</v>
      </c>
      <c r="X11" s="2">
        <f ca="1">IFERROR(__xludf.DUMMYFUNCTION("""COMPUTED_VALUE"""),0.646431684185097)</f>
        <v>0.646431684185097</v>
      </c>
      <c r="Y11" s="2">
        <f ca="1">IFERROR(__xludf.DUMMYFUNCTION("""COMPUTED_VALUE"""),1.63746599796717)</f>
        <v>1.63746599796717</v>
      </c>
      <c r="Z11" s="2">
        <f ca="1">IFERROR(__xludf.DUMMYFUNCTION("""COMPUTED_VALUE"""),0.912480326601254)</f>
        <v>0.912480326601254</v>
      </c>
      <c r="AA11" s="2">
        <f ca="1">IFERROR(__xludf.DUMMYFUNCTION("""COMPUTED_VALUE"""),1.29048995308608)</f>
        <v>1.2904899530860801</v>
      </c>
      <c r="AB11" s="2">
        <f ca="1">IFERROR(__xludf.DUMMYFUNCTION("""COMPUTED_VALUE"""),0.927080574896758)</f>
        <v>0.92708057489675799</v>
      </c>
      <c r="AC11" s="2">
        <f ca="1">IFERROR(__xludf.DUMMYFUNCTION("""COMPUTED_VALUE"""),0.881435050821722)</f>
        <v>0.88143505082172202</v>
      </c>
      <c r="AD11" s="2">
        <f ca="1">IFERROR(__xludf.DUMMYFUNCTION("""COMPUTED_VALUE"""),1.13261302178696)</f>
        <v>1.1326130217869601</v>
      </c>
      <c r="AE11" s="2">
        <f ca="1">IFERROR(__xludf.DUMMYFUNCTION("""COMPUTED_VALUE"""),0.873899822364603)</f>
        <v>0.87389982236460295</v>
      </c>
      <c r="AF11" s="2">
        <f ca="1">IFERROR(__xludf.DUMMYFUNCTION("""COMPUTED_VALUE"""),1.32756340417149)</f>
        <v>1.3275634041714901</v>
      </c>
      <c r="AG11" s="2">
        <f ca="1">IFERROR(__xludf.DUMMYFUNCTION("""COMPUTED_VALUE"""),0.839488820069963)</f>
        <v>0.83948882006996295</v>
      </c>
      <c r="AH11" s="2">
        <f ca="1">IFERROR(__xludf.DUMMYFUNCTION("""COMPUTED_VALUE"""),0.614555351993974)</f>
        <v>0.61455535199397404</v>
      </c>
      <c r="AI11" s="2">
        <f ca="1">IFERROR(__xludf.DUMMYFUNCTION("""COMPUTED_VALUE"""),0.895048718551171)</f>
        <v>0.89504871855117096</v>
      </c>
      <c r="AJ11" s="2">
        <f ca="1">IFERROR(__xludf.DUMMYFUNCTION("""COMPUTED_VALUE"""),0.819432916375613)</f>
        <v>0.819432916375613</v>
      </c>
    </row>
    <row r="12" spans="1:36" ht="15.75" customHeight="1" x14ac:dyDescent="0.25">
      <c r="A12" s="1" t="str">
        <f ca="1">IFERROR(__xludf.DUMMYFUNCTION("""COMPUTED_VALUE"""),"Leicester")</f>
        <v>Leicester</v>
      </c>
      <c r="B12" s="2">
        <f ca="1">IFERROR(__xludf.DUMMYFUNCTION("""COMPUTED_VALUE"""),1.16415068756738)</f>
        <v>1.1641506875673799</v>
      </c>
      <c r="C12" s="2">
        <f ca="1">IFERROR(__xludf.DUMMYFUNCTION("""COMPUTED_VALUE"""),0.775495177552447)</f>
        <v>0.77549517755244701</v>
      </c>
      <c r="D12" s="2">
        <f ca="1">IFERROR(__xludf.DUMMYFUNCTION("""COMPUTED_VALUE"""),1.05107805294519)</f>
        <v>1.05107805294519</v>
      </c>
      <c r="E12" s="2">
        <f ca="1">IFERROR(__xludf.DUMMYFUNCTION("""COMPUTED_VALUE"""),0.79514235504602)</f>
        <v>0.79514235504602004</v>
      </c>
      <c r="F12" s="2">
        <f ca="1">IFERROR(__xludf.DUMMYFUNCTION("""COMPUTED_VALUE"""),0.943897560478211)</f>
        <v>0.94389756047821105</v>
      </c>
      <c r="G12" s="2">
        <f ca="1">IFERROR(__xludf.DUMMYFUNCTION("""COMPUTED_VALUE"""),0.434168878213846)</f>
        <v>0.43416887821384598</v>
      </c>
      <c r="H12" s="2">
        <f ca="1">IFERROR(__xludf.DUMMYFUNCTION("""COMPUTED_VALUE"""),1.00663750985344)</f>
        <v>1.0066375098534399</v>
      </c>
      <c r="I12" s="2">
        <f ca="1">IFERROR(__xludf.DUMMYFUNCTION("""COMPUTED_VALUE"""),1.15683115140732)</f>
        <v>1.15683115140732</v>
      </c>
      <c r="J12" s="2">
        <f ca="1">IFERROR(__xludf.DUMMYFUNCTION("""COMPUTED_VALUE"""),1.02172994443538)</f>
        <v>1.02172994443538</v>
      </c>
      <c r="K12" s="2">
        <f ca="1">IFERROR(__xludf.DUMMYFUNCTION("""COMPUTED_VALUE"""),1.08828141830902)</f>
        <v>1.0882814183090199</v>
      </c>
      <c r="L12" s="2">
        <f ca="1">IFERROR(__xludf.DUMMYFUNCTION("""COMPUTED_VALUE"""),0.836319171734327)</f>
        <v>0.83631917173432702</v>
      </c>
      <c r="M12" s="2">
        <f ca="1">IFERROR(__xludf.DUMMYFUNCTION("""COMPUTED_VALUE"""),0.966999779332213)</f>
        <v>0.96699977933221304</v>
      </c>
      <c r="N12" s="2">
        <f ca="1">IFERROR(__xludf.DUMMYFUNCTION("""COMPUTED_VALUE"""),0.844484590481031)</f>
        <v>0.84448459048103097</v>
      </c>
      <c r="O12" s="2">
        <f ca="1">IFERROR(__xludf.DUMMYFUNCTION("""COMPUTED_VALUE"""),1.14910216353339)</f>
        <v>1.14910216353339</v>
      </c>
      <c r="P12" s="2">
        <f ca="1">IFERROR(__xludf.DUMMYFUNCTION("""COMPUTED_VALUE"""),1.07366131488314)</f>
        <v>1.07366131488314</v>
      </c>
      <c r="Q12" s="2">
        <f ca="1">IFERROR(__xludf.DUMMYFUNCTION("""COMPUTED_VALUE"""),0.807423241549362)</f>
        <v>0.80742324154936196</v>
      </c>
      <c r="R12" s="2">
        <f ca="1">IFERROR(__xludf.DUMMYFUNCTION("""COMPUTED_VALUE"""),1.19759463919859)</f>
        <v>1.1975946391985901</v>
      </c>
      <c r="S12" s="2">
        <f ca="1">IFERROR(__xludf.DUMMYFUNCTION("""COMPUTED_VALUE"""),0.583145872472532)</f>
        <v>0.58314587247253202</v>
      </c>
      <c r="T12" s="2">
        <f ca="1">IFERROR(__xludf.DUMMYFUNCTION("""COMPUTED_VALUE"""),0.838622389578694)</f>
        <v>0.83862238957869395</v>
      </c>
      <c r="U12" s="2">
        <f ca="1">IFERROR(__xludf.DUMMYFUNCTION("""COMPUTED_VALUE"""),0.823148291131019)</f>
        <v>0.82314829113101895</v>
      </c>
      <c r="V12" s="2">
        <f ca="1">IFERROR(__xludf.DUMMYFUNCTION("""COMPUTED_VALUE"""),1.01531727315826)</f>
        <v>1.01531727315826</v>
      </c>
      <c r="W12" s="2">
        <f ca="1">IFERROR(__xludf.DUMMYFUNCTION("""COMPUTED_VALUE"""),0.99022979221672)</f>
        <v>0.99022979221672003</v>
      </c>
      <c r="X12" s="2">
        <f ca="1">IFERROR(__xludf.DUMMYFUNCTION("""COMPUTED_VALUE"""),0.911700749915722)</f>
        <v>0.91170074991572203</v>
      </c>
      <c r="Y12" s="2">
        <f ca="1">IFERROR(__xludf.DUMMYFUNCTION("""COMPUTED_VALUE"""),0.739210243933128)</f>
        <v>0.73921024393312795</v>
      </c>
      <c r="Z12" s="2">
        <f ca="1">IFERROR(__xludf.DUMMYFUNCTION("""COMPUTED_VALUE"""),0.554390240591261)</f>
        <v>0.55439024059126096</v>
      </c>
      <c r="AA12" s="2">
        <f ca="1">IFERROR(__xludf.DUMMYFUNCTION("""COMPUTED_VALUE"""),1.07832237358522)</f>
        <v>1.0783223735852201</v>
      </c>
      <c r="AB12" s="2">
        <f ca="1">IFERROR(__xludf.DUMMYFUNCTION("""COMPUTED_VALUE"""),0.899915548228832)</f>
        <v>0.89991554822883202</v>
      </c>
      <c r="AC12" s="2">
        <f ca="1">IFERROR(__xludf.DUMMYFUNCTION("""COMPUTED_VALUE"""),0.757302670007215)</f>
        <v>0.75730267000721496</v>
      </c>
      <c r="AD12" s="2">
        <f ca="1">IFERROR(__xludf.DUMMYFUNCTION("""COMPUTED_VALUE"""),1.06789595038756)</f>
        <v>1.06789595038756</v>
      </c>
      <c r="AE12" s="2">
        <f ca="1">IFERROR(__xludf.DUMMYFUNCTION("""COMPUTED_VALUE"""),0.656764343001562)</f>
        <v>0.65676434300156195</v>
      </c>
      <c r="AF12" s="2">
        <f ca="1">IFERROR(__xludf.DUMMYFUNCTION("""COMPUTED_VALUE"""),1.03099873713438)</f>
        <v>1.0309987371343801</v>
      </c>
      <c r="AG12" s="2">
        <f ca="1">IFERROR(__xludf.DUMMYFUNCTION("""COMPUTED_VALUE"""),0.84083429781748)</f>
        <v>0.84083429781747998</v>
      </c>
      <c r="AH12" s="2">
        <f ca="1">IFERROR(__xludf.DUMMYFUNCTION("""COMPUTED_VALUE"""),0.744618964560176)</f>
        <v>0.74461896456017596</v>
      </c>
      <c r="AI12" s="2">
        <f ca="1">IFERROR(__xludf.DUMMYFUNCTION("""COMPUTED_VALUE"""),0.937892269714619)</f>
        <v>0.93789226971461903</v>
      </c>
      <c r="AJ12" s="2">
        <f ca="1">IFERROR(__xludf.DUMMYFUNCTION("""COMPUTED_VALUE"""),1.47715769723201)</f>
        <v>1.47715769723201</v>
      </c>
    </row>
    <row r="13" spans="1:36" ht="15.75" customHeight="1" x14ac:dyDescent="0.25">
      <c r="A13" s="1" t="str">
        <f ca="1">IFERROR(__xludf.DUMMYFUNCTION("""COMPUTED_VALUE"""),"Liverpool")</f>
        <v>Liverpool</v>
      </c>
      <c r="B13" s="2">
        <f ca="1">IFERROR(__xludf.DUMMYFUNCTION("""COMPUTED_VALUE"""),2.5110730217839)</f>
        <v>2.5110730217839001</v>
      </c>
      <c r="C13" s="2">
        <f ca="1">IFERROR(__xludf.DUMMYFUNCTION("""COMPUTED_VALUE"""),2.48809377385415)</f>
        <v>2.4880937738541502</v>
      </c>
      <c r="D13" s="2">
        <f ca="1">IFERROR(__xludf.DUMMYFUNCTION("""COMPUTED_VALUE"""),1.92970170620555)</f>
        <v>1.9297017062055499</v>
      </c>
      <c r="E13" s="2">
        <f ca="1">IFERROR(__xludf.DUMMYFUNCTION("""COMPUTED_VALUE"""),2.35751383406596)</f>
        <v>2.3575138340659598</v>
      </c>
      <c r="F13" s="2">
        <f ca="1">IFERROR(__xludf.DUMMYFUNCTION("""COMPUTED_VALUE"""),2.32268993220183)</f>
        <v>2.32268993220183</v>
      </c>
      <c r="G13" s="2">
        <f ca="1">IFERROR(__xludf.DUMMYFUNCTION("""COMPUTED_VALUE"""),2.16406890368434)</f>
        <v>2.1640689036843401</v>
      </c>
      <c r="H13" s="2">
        <f ca="1">IFERROR(__xludf.DUMMYFUNCTION("""COMPUTED_VALUE"""),1.83469136074766)</f>
        <v>1.83469136074766</v>
      </c>
      <c r="I13" s="2">
        <f ca="1">IFERROR(__xludf.DUMMYFUNCTION("""COMPUTED_VALUE"""),2.2312308352421)</f>
        <v>2.2312308352421</v>
      </c>
      <c r="J13" s="2">
        <f ca="1">IFERROR(__xludf.DUMMYFUNCTION("""COMPUTED_VALUE"""),1.00179028938578)</f>
        <v>1.00179028938578</v>
      </c>
      <c r="K13" s="2">
        <f ca="1">IFERROR(__xludf.DUMMYFUNCTION("""COMPUTED_VALUE"""),2.47733896488392)</f>
        <v>2.4773389648839199</v>
      </c>
      <c r="L13" s="2">
        <f ca="1">IFERROR(__xludf.DUMMYFUNCTION("""COMPUTED_VALUE"""),2.42523091742285)</f>
        <v>2.4252309174228501</v>
      </c>
      <c r="M13" s="2">
        <f ca="1">IFERROR(__xludf.DUMMYFUNCTION("""COMPUTED_VALUE"""),2.66924294230051)</f>
        <v>2.6692429423005102</v>
      </c>
      <c r="N13" s="2">
        <f ca="1">IFERROR(__xludf.DUMMYFUNCTION("""COMPUTED_VALUE"""),1.93501609281087)</f>
        <v>1.9350160928108699</v>
      </c>
      <c r="O13" s="2">
        <f ca="1">IFERROR(__xludf.DUMMYFUNCTION("""COMPUTED_VALUE"""),1.86302796767976)</f>
        <v>1.8630279676797601</v>
      </c>
      <c r="P13" s="2">
        <f ca="1">IFERROR(__xludf.DUMMYFUNCTION("""COMPUTED_VALUE"""),1.70563502209838)</f>
        <v>1.70563502209838</v>
      </c>
      <c r="Q13" s="2">
        <f ca="1">IFERROR(__xludf.DUMMYFUNCTION("""COMPUTED_VALUE"""),2.28483117948083)</f>
        <v>2.2848311794808298</v>
      </c>
      <c r="R13" s="2">
        <f ca="1">IFERROR(__xludf.DUMMYFUNCTION("""COMPUTED_VALUE"""),2.10363525328836)</f>
        <v>2.1036352532883602</v>
      </c>
      <c r="S13" s="2">
        <f ca="1">IFERROR(__xludf.DUMMYFUNCTION("""COMPUTED_VALUE"""),3.21244478756989)</f>
        <v>3.2124447875698898</v>
      </c>
      <c r="T13" s="2">
        <f ca="1">IFERROR(__xludf.DUMMYFUNCTION("""COMPUTED_VALUE"""),2.07644237696579)</f>
        <v>2.0764423769657898</v>
      </c>
      <c r="U13" s="2">
        <f ca="1">IFERROR(__xludf.DUMMYFUNCTION("""COMPUTED_VALUE"""),2.46403610865387)</f>
        <v>2.46403610865387</v>
      </c>
      <c r="V13" s="2">
        <f ca="1">IFERROR(__xludf.DUMMYFUNCTION("""COMPUTED_VALUE"""),1.84627914015659)</f>
        <v>1.8462791401565899</v>
      </c>
      <c r="W13" s="2">
        <f ca="1">IFERROR(__xludf.DUMMYFUNCTION("""COMPUTED_VALUE"""),1.94854238691687)</f>
        <v>1.9485423869168701</v>
      </c>
      <c r="X13" s="2">
        <f ca="1">IFERROR(__xludf.DUMMYFUNCTION("""COMPUTED_VALUE"""),3.20638914151586)</f>
        <v>3.2063891415158601</v>
      </c>
      <c r="Y13" s="2">
        <f ca="1">IFERROR(__xludf.DUMMYFUNCTION("""COMPUTED_VALUE"""),1.81900691690957)</f>
        <v>1.8190069169095699</v>
      </c>
      <c r="Z13" s="2">
        <f ca="1">IFERROR(__xludf.DUMMYFUNCTION("""COMPUTED_VALUE"""),2.76329958311453)</f>
        <v>2.7632995831145299</v>
      </c>
      <c r="AA13" s="2">
        <f ca="1">IFERROR(__xludf.DUMMYFUNCTION("""COMPUTED_VALUE"""),1.51540143535976)</f>
        <v>1.51540143535976</v>
      </c>
      <c r="AB13" s="2">
        <f ca="1">IFERROR(__xludf.DUMMYFUNCTION("""COMPUTED_VALUE"""),2.37890041193028)</f>
        <v>2.3789004119302799</v>
      </c>
      <c r="AC13" s="2">
        <f ca="1">IFERROR(__xludf.DUMMYFUNCTION("""COMPUTED_VALUE"""),3.40835631302352)</f>
        <v>3.4083563130235199</v>
      </c>
      <c r="AD13" s="2">
        <f ca="1">IFERROR(__xludf.DUMMYFUNCTION("""COMPUTED_VALUE"""),1.89931154939529)</f>
        <v>1.8993115493952899</v>
      </c>
      <c r="AE13" s="2">
        <f ca="1">IFERROR(__xludf.DUMMYFUNCTION("""COMPUTED_VALUE"""),2.17792535971742)</f>
        <v>2.17792535971742</v>
      </c>
      <c r="AF13" s="2">
        <f ca="1">IFERROR(__xludf.DUMMYFUNCTION("""COMPUTED_VALUE"""),1.78935796027945)</f>
        <v>1.78935796027945</v>
      </c>
      <c r="AG13" s="2">
        <f ca="1">IFERROR(__xludf.DUMMYFUNCTION("""COMPUTED_VALUE"""),2.65140927114761)</f>
        <v>2.6514092711476098</v>
      </c>
      <c r="AH13" s="2">
        <f ca="1">IFERROR(__xludf.DUMMYFUNCTION("""COMPUTED_VALUE"""),2.5158154809068)</f>
        <v>2.5158154809068001</v>
      </c>
      <c r="AI13" s="2">
        <f ca="1">IFERROR(__xludf.DUMMYFUNCTION("""COMPUTED_VALUE"""),2.6861318549239)</f>
        <v>2.6861318549239002</v>
      </c>
      <c r="AJ13" s="2">
        <f ca="1">IFERROR(__xludf.DUMMYFUNCTION("""COMPUTED_VALUE"""),1.74738102846119)</f>
        <v>1.7473810284611899</v>
      </c>
    </row>
    <row r="14" spans="1:36" ht="15.75" customHeight="1" x14ac:dyDescent="0.25">
      <c r="A14" s="1" t="str">
        <f ca="1">IFERROR(__xludf.DUMMYFUNCTION("""COMPUTED_VALUE"""),"Man City")</f>
        <v>Man City</v>
      </c>
      <c r="B14" s="2">
        <f ca="1">IFERROR(__xludf.DUMMYFUNCTION("""COMPUTED_VALUE"""),1.6588124838887)</f>
        <v>1.6588124838887</v>
      </c>
      <c r="C14" s="2">
        <f ca="1">IFERROR(__xludf.DUMMYFUNCTION("""COMPUTED_VALUE"""),3.04386865229709)</f>
        <v>3.0438686522970899</v>
      </c>
      <c r="D14" s="2">
        <f ca="1">IFERROR(__xludf.DUMMYFUNCTION("""COMPUTED_VALUE"""),1.97119488015711)</f>
        <v>1.97119488015711</v>
      </c>
      <c r="E14" s="2">
        <f ca="1">IFERROR(__xludf.DUMMYFUNCTION("""COMPUTED_VALUE"""),2.36198112828868)</f>
        <v>2.3619811282886798</v>
      </c>
      <c r="F14" s="2">
        <f ca="1">IFERROR(__xludf.DUMMYFUNCTION("""COMPUTED_VALUE"""),1.21434861972701)</f>
        <v>1.2143486197270099</v>
      </c>
      <c r="G14" s="2">
        <f ca="1">IFERROR(__xludf.DUMMYFUNCTION("""COMPUTED_VALUE"""),1.76859769007707)</f>
        <v>1.7685976900770699</v>
      </c>
      <c r="H14" s="2">
        <f ca="1">IFERROR(__xludf.DUMMYFUNCTION("""COMPUTED_VALUE"""),2.16902119364237)</f>
        <v>2.16902119364237</v>
      </c>
      <c r="I14" s="2">
        <f ca="1">IFERROR(__xludf.DUMMYFUNCTION("""COMPUTED_VALUE"""),2.05437992913784)</f>
        <v>2.05437992913784</v>
      </c>
      <c r="J14" s="2">
        <f ca="1">IFERROR(__xludf.DUMMYFUNCTION("""COMPUTED_VALUE"""),3.23559882446659)</f>
        <v>3.2355988244665901</v>
      </c>
      <c r="K14" s="2">
        <f ca="1">IFERROR(__xludf.DUMMYFUNCTION("""COMPUTED_VALUE"""),1.72680791018242)</f>
        <v>1.7268079101824201</v>
      </c>
      <c r="L14" s="2">
        <f ca="1">IFERROR(__xludf.DUMMYFUNCTION("""COMPUTED_VALUE"""),1.84178200518973)</f>
        <v>1.84178200518973</v>
      </c>
      <c r="M14" s="2">
        <f ca="1">IFERROR(__xludf.DUMMYFUNCTION("""COMPUTED_VALUE"""),2.54998136167405)</f>
        <v>2.5499813616740501</v>
      </c>
      <c r="N14" s="2">
        <f ca="1">IFERROR(__xludf.DUMMYFUNCTION("""COMPUTED_VALUE"""),1.27733559050622)</f>
        <v>1.27733559050622</v>
      </c>
      <c r="O14" s="2">
        <f ca="1">IFERROR(__xludf.DUMMYFUNCTION("""COMPUTED_VALUE"""),2.23801982234681)</f>
        <v>2.2380198223468102</v>
      </c>
      <c r="P14" s="2">
        <f ca="1">IFERROR(__xludf.DUMMYFUNCTION("""COMPUTED_VALUE"""),1.74169736521123)</f>
        <v>1.74169736521123</v>
      </c>
      <c r="Q14" s="2">
        <f ca="1">IFERROR(__xludf.DUMMYFUNCTION("""COMPUTED_VALUE"""),2.33914286078009)</f>
        <v>2.3391428607800901</v>
      </c>
      <c r="R14" s="2">
        <f ca="1">IFERROR(__xludf.DUMMYFUNCTION("""COMPUTED_VALUE"""),1.80304218577068)</f>
        <v>1.80304218577068</v>
      </c>
      <c r="S14" s="2">
        <f ca="1">IFERROR(__xludf.DUMMYFUNCTION("""COMPUTED_VALUE"""),2.06753405057773)</f>
        <v>2.0675340505777302</v>
      </c>
      <c r="T14" s="2">
        <f ca="1">IFERROR(__xludf.DUMMYFUNCTION("""COMPUTED_VALUE"""),2.38829772036828)</f>
        <v>2.3882977203682798</v>
      </c>
      <c r="U14" s="2">
        <f ca="1">IFERROR(__xludf.DUMMYFUNCTION("""COMPUTED_VALUE"""),2.51701874247261)</f>
        <v>2.5170187424726098</v>
      </c>
      <c r="V14" s="2">
        <f ca="1">IFERROR(__xludf.DUMMYFUNCTION("""COMPUTED_VALUE"""),1.84977768681077)</f>
        <v>1.84977768681077</v>
      </c>
      <c r="W14" s="2">
        <f ca="1">IFERROR(__xludf.DUMMYFUNCTION("""COMPUTED_VALUE"""),2.38379563967193)</f>
        <v>2.3837956396719302</v>
      </c>
      <c r="X14" s="2">
        <f ca="1">IFERROR(__xludf.DUMMYFUNCTION("""COMPUTED_VALUE"""),2.11813766067748)</f>
        <v>2.1181376606774802</v>
      </c>
      <c r="Y14" s="2">
        <f ca="1">IFERROR(__xludf.DUMMYFUNCTION("""COMPUTED_VALUE"""),0.951013093998758)</f>
        <v>0.951013093998758</v>
      </c>
      <c r="Z14" s="2">
        <f ca="1">IFERROR(__xludf.DUMMYFUNCTION("""COMPUTED_VALUE"""),2.25832239045942)</f>
        <v>2.2583223904594201</v>
      </c>
      <c r="AA14" s="2">
        <f ca="1">IFERROR(__xludf.DUMMYFUNCTION("""COMPUTED_VALUE"""),1.63102981551739)</f>
        <v>1.6310298155173899</v>
      </c>
      <c r="AB14" s="2">
        <f ca="1">IFERROR(__xludf.DUMMYFUNCTION("""COMPUTED_VALUE"""),1.99700944606003)</f>
        <v>1.9970094460600301</v>
      </c>
      <c r="AC14" s="2">
        <f ca="1">IFERROR(__xludf.DUMMYFUNCTION("""COMPUTED_VALUE"""),1.75269780119572)</f>
        <v>1.7526978011957199</v>
      </c>
      <c r="AD14" s="2">
        <f ca="1">IFERROR(__xludf.DUMMYFUNCTION("""COMPUTED_VALUE"""),2.35177144242677)</f>
        <v>2.3517714424267702</v>
      </c>
      <c r="AE14" s="2">
        <f ca="1">IFERROR(__xludf.DUMMYFUNCTION("""COMPUTED_VALUE"""),3.04961735913825)</f>
        <v>3.0496173591382498</v>
      </c>
      <c r="AF14" s="2">
        <f ca="1">IFERROR(__xludf.DUMMYFUNCTION("""COMPUTED_VALUE"""),1.83189197335742)</f>
        <v>1.8318919733574199</v>
      </c>
      <c r="AG14" s="2">
        <f ca="1">IFERROR(__xludf.DUMMYFUNCTION("""COMPUTED_VALUE"""),2.22397336563822)</f>
        <v>2.2239733656382201</v>
      </c>
      <c r="AH14" s="2">
        <f ca="1">IFERROR(__xludf.DUMMYFUNCTION("""COMPUTED_VALUE"""),1.61918243447234)</f>
        <v>1.61918243447234</v>
      </c>
      <c r="AI14" s="2">
        <f ca="1">IFERROR(__xludf.DUMMYFUNCTION("""COMPUTED_VALUE"""),2.30230456701059)</f>
        <v>2.3023045670105899</v>
      </c>
      <c r="AJ14" s="2">
        <f ca="1">IFERROR(__xludf.DUMMYFUNCTION("""COMPUTED_VALUE"""),2.6232377315161)</f>
        <v>2.6232377315161002</v>
      </c>
    </row>
    <row r="15" spans="1:36" ht="15.75" customHeight="1" x14ac:dyDescent="0.25">
      <c r="A15" s="1" t="str">
        <f ca="1">IFERROR(__xludf.DUMMYFUNCTION("""COMPUTED_VALUE"""),"Man Utd")</f>
        <v>Man Utd</v>
      </c>
      <c r="B15" s="2">
        <f ca="1">IFERROR(__xludf.DUMMYFUNCTION("""COMPUTED_VALUE"""),1.50146347468302)</f>
        <v>1.50146347468302</v>
      </c>
      <c r="C15" s="2">
        <f ca="1">IFERROR(__xludf.DUMMYFUNCTION("""COMPUTED_VALUE"""),1.27493839950776)</f>
        <v>1.2749383995077599</v>
      </c>
      <c r="D15" s="2">
        <f ca="1">IFERROR(__xludf.DUMMYFUNCTION("""COMPUTED_VALUE"""),1.12904922335311)</f>
        <v>1.12904922335311</v>
      </c>
      <c r="E15" s="2">
        <f ca="1">IFERROR(__xludf.DUMMYFUNCTION("""COMPUTED_VALUE"""),1.75407742108558)</f>
        <v>1.7540774210855801</v>
      </c>
      <c r="F15" s="2">
        <f ca="1">IFERROR(__xludf.DUMMYFUNCTION("""COMPUTED_VALUE"""),1.2056567199442)</f>
        <v>1.2056567199442001</v>
      </c>
      <c r="G15" s="2">
        <f ca="1">IFERROR(__xludf.DUMMYFUNCTION("""COMPUTED_VALUE"""),1.76517587144763)</f>
        <v>1.76517587144763</v>
      </c>
      <c r="H15" s="2">
        <f ca="1">IFERROR(__xludf.DUMMYFUNCTION("""COMPUTED_VALUE"""),1.24812149977253)</f>
        <v>1.2481214997725301</v>
      </c>
      <c r="I15" s="2">
        <f ca="1">IFERROR(__xludf.DUMMYFUNCTION("""COMPUTED_VALUE"""),1.63503630227818)</f>
        <v>1.63503630227818</v>
      </c>
      <c r="J15" s="2">
        <f ca="1">IFERROR(__xludf.DUMMYFUNCTION("""COMPUTED_VALUE"""),1.3645219893255)</f>
        <v>1.3645219893255001</v>
      </c>
      <c r="K15" s="2">
        <f ca="1">IFERROR(__xludf.DUMMYFUNCTION("""COMPUTED_VALUE"""),1.46624032129312)</f>
        <v>1.4662403212931201</v>
      </c>
      <c r="L15" s="2">
        <f ca="1">IFERROR(__xludf.DUMMYFUNCTION("""COMPUTED_VALUE"""),2.11103934342669)</f>
        <v>2.1110393434266901</v>
      </c>
      <c r="M15" s="2">
        <f ca="1">IFERROR(__xludf.DUMMYFUNCTION("""COMPUTED_VALUE"""),1.65013698094191)</f>
        <v>1.65013698094191</v>
      </c>
      <c r="N15" s="2">
        <f ca="1">IFERROR(__xludf.DUMMYFUNCTION("""COMPUTED_VALUE"""),1.43121093915772)</f>
        <v>1.4312109391577199</v>
      </c>
      <c r="O15" s="2">
        <f ca="1">IFERROR(__xludf.DUMMYFUNCTION("""COMPUTED_VALUE"""),0.658320641941989)</f>
        <v>0.65832064194198903</v>
      </c>
      <c r="P15" s="2">
        <f ca="1">IFERROR(__xludf.DUMMYFUNCTION("""COMPUTED_VALUE"""),1.54922645694737)</f>
        <v>1.5492264569473699</v>
      </c>
      <c r="Q15" s="2">
        <f ca="1">IFERROR(__xludf.DUMMYFUNCTION("""COMPUTED_VALUE"""),0.995837208940712)</f>
        <v>0.99583720894071204</v>
      </c>
      <c r="R15" s="2">
        <f ca="1">IFERROR(__xludf.DUMMYFUNCTION("""COMPUTED_VALUE"""),1.52634213307937)</f>
        <v>1.5263421330793701</v>
      </c>
      <c r="S15" s="2">
        <f ca="1">IFERROR(__xludf.DUMMYFUNCTION("""COMPUTED_VALUE"""),1.42210524994572)</f>
        <v>1.4221052499457201</v>
      </c>
      <c r="T15" s="2">
        <f ca="1">IFERROR(__xludf.DUMMYFUNCTION("""COMPUTED_VALUE"""),1.56328052177287)</f>
        <v>1.56328052177287</v>
      </c>
      <c r="U15" s="2">
        <f ca="1">IFERROR(__xludf.DUMMYFUNCTION("""COMPUTED_VALUE"""),0.884211154634748)</f>
        <v>0.88421115463474798</v>
      </c>
      <c r="V15" s="2">
        <f ca="1">IFERROR(__xludf.DUMMYFUNCTION("""COMPUTED_VALUE"""),2.23978145898417)</f>
        <v>2.23978145898417</v>
      </c>
      <c r="W15" s="2">
        <f ca="1">IFERROR(__xludf.DUMMYFUNCTION("""COMPUTED_VALUE"""),1.62796884233147)</f>
        <v>1.62796884233147</v>
      </c>
      <c r="X15" s="2">
        <f ca="1">IFERROR(__xludf.DUMMYFUNCTION("""COMPUTED_VALUE"""),1.1758661404049)</f>
        <v>1.1758661404049</v>
      </c>
      <c r="Y15" s="2">
        <f ca="1">IFERROR(__xludf.DUMMYFUNCTION("""COMPUTED_VALUE"""),1.53950306569675)</f>
        <v>1.5395030656967501</v>
      </c>
      <c r="Z15" s="2">
        <f ca="1">IFERROR(__xludf.DUMMYFUNCTION("""COMPUTED_VALUE"""),1.38239162929566)</f>
        <v>1.38239162929566</v>
      </c>
      <c r="AA15" s="2">
        <f ca="1">IFERROR(__xludf.DUMMYFUNCTION("""COMPUTED_VALUE"""),1.12084810020966)</f>
        <v>1.12084810020966</v>
      </c>
      <c r="AB15" s="2">
        <f ca="1">IFERROR(__xludf.DUMMYFUNCTION("""COMPUTED_VALUE"""),2.10705991096473)</f>
        <v>2.1070599109647299</v>
      </c>
      <c r="AC15" s="2">
        <f ca="1">IFERROR(__xludf.DUMMYFUNCTION("""COMPUTED_VALUE"""),0.840609627695726)</f>
        <v>0.840609627695726</v>
      </c>
      <c r="AD15" s="2">
        <f ca="1">IFERROR(__xludf.DUMMYFUNCTION("""COMPUTED_VALUE"""),1.65325346027621)</f>
        <v>1.6532534602762099</v>
      </c>
      <c r="AE15" s="2">
        <f ca="1">IFERROR(__xludf.DUMMYFUNCTION("""COMPUTED_VALUE"""),1.21327156155327)</f>
        <v>1.2132715615532701</v>
      </c>
      <c r="AF15" s="2">
        <f ca="1">IFERROR(__xludf.DUMMYFUNCTION("""COMPUTED_VALUE"""),1.27158453209639)</f>
        <v>1.2715845320963901</v>
      </c>
      <c r="AG15" s="2">
        <f ca="1">IFERROR(__xludf.DUMMYFUNCTION("""COMPUTED_VALUE"""),1.22427795580928)</f>
        <v>1.22427795580928</v>
      </c>
      <c r="AH15" s="2">
        <f ca="1">IFERROR(__xludf.DUMMYFUNCTION("""COMPUTED_VALUE"""),1.81588619365569)</f>
        <v>1.81588619365569</v>
      </c>
      <c r="AI15" s="2">
        <f ca="1">IFERROR(__xludf.DUMMYFUNCTION("""COMPUTED_VALUE"""),1.1953497792148)</f>
        <v>1.1953497792148</v>
      </c>
      <c r="AJ15" s="2">
        <f ca="1">IFERROR(__xludf.DUMMYFUNCTION("""COMPUTED_VALUE"""),1.28047325732491)</f>
        <v>1.28047325732491</v>
      </c>
    </row>
    <row r="16" spans="1:36" ht="15.75" customHeight="1" x14ac:dyDescent="0.25">
      <c r="A16" s="1" t="str">
        <f ca="1">IFERROR(__xludf.DUMMYFUNCTION("""COMPUTED_VALUE"""),"Newcastle")</f>
        <v>Newcastle</v>
      </c>
      <c r="B16" s="2">
        <f ca="1">IFERROR(__xludf.DUMMYFUNCTION("""COMPUTED_VALUE"""),2.78464613815413)</f>
        <v>2.7846461381541299</v>
      </c>
      <c r="C16" s="2">
        <f ca="1">IFERROR(__xludf.DUMMYFUNCTION("""COMPUTED_VALUE"""),1.48613880746362)</f>
        <v>1.4861388074636199</v>
      </c>
      <c r="D16" s="2">
        <f ca="1">IFERROR(__xludf.DUMMYFUNCTION("""COMPUTED_VALUE"""),2.1945847233769)</f>
        <v>2.1945847233769</v>
      </c>
      <c r="E16" s="2">
        <f ca="1">IFERROR(__xludf.DUMMYFUNCTION("""COMPUTED_VALUE"""),1.76805637729768)</f>
        <v>1.7680563772976801</v>
      </c>
      <c r="F16" s="2">
        <f ca="1">IFERROR(__xludf.DUMMYFUNCTION("""COMPUTED_VALUE"""),1.46191544435311)</f>
        <v>1.4619154443531099</v>
      </c>
      <c r="G16" s="2">
        <f ca="1">IFERROR(__xludf.DUMMYFUNCTION("""COMPUTED_VALUE"""),1.58091895190733)</f>
        <v>1.5809189519073299</v>
      </c>
      <c r="H16" s="2">
        <f ca="1">IFERROR(__xludf.DUMMYFUNCTION("""COMPUTED_VALUE"""),1.39351333639568)</f>
        <v>1.39351333639568</v>
      </c>
      <c r="I16" s="2">
        <f ca="1">IFERROR(__xludf.DUMMYFUNCTION("""COMPUTED_VALUE"""),2.02399976642793)</f>
        <v>2.0239997664279299</v>
      </c>
      <c r="J16" s="2">
        <f ca="1">IFERROR(__xludf.DUMMYFUNCTION("""COMPUTED_VALUE"""),1.42762005668117)</f>
        <v>1.4276200566811701</v>
      </c>
      <c r="K16" s="2">
        <f ca="1">IFERROR(__xludf.DUMMYFUNCTION("""COMPUTED_VALUE"""),1.04510212104341)</f>
        <v>1.0451021210434099</v>
      </c>
      <c r="L16" s="2">
        <f ca="1">IFERROR(__xludf.DUMMYFUNCTION("""COMPUTED_VALUE"""),1.50842036612975)</f>
        <v>1.5084203661297499</v>
      </c>
      <c r="M16" s="2">
        <f ca="1">IFERROR(__xludf.DUMMYFUNCTION("""COMPUTED_VALUE"""),2.16621617855959)</f>
        <v>2.1662161785595901</v>
      </c>
      <c r="N16" s="2">
        <f ca="1">IFERROR(__xludf.DUMMYFUNCTION("""COMPUTED_VALUE"""),1.49895308565277)</f>
        <v>1.49895308565277</v>
      </c>
      <c r="O16" s="2">
        <f ca="1">IFERROR(__xludf.DUMMYFUNCTION("""COMPUTED_VALUE"""),1.40370952129502)</f>
        <v>1.4037095212950199</v>
      </c>
      <c r="P16" s="2">
        <f ca="1">IFERROR(__xludf.DUMMYFUNCTION("""COMPUTED_VALUE"""),1.59197000971542)</f>
        <v>1.5919700097154199</v>
      </c>
      <c r="Q16" s="2">
        <f ca="1">IFERROR(__xludf.DUMMYFUNCTION("""COMPUTED_VALUE"""),2.62458532799476)</f>
        <v>2.62458532799476</v>
      </c>
      <c r="R16" s="2">
        <f ca="1">IFERROR(__xludf.DUMMYFUNCTION("""COMPUTED_VALUE"""),2.05156067926789)</f>
        <v>2.0515606792678902</v>
      </c>
      <c r="S16" s="2">
        <f ca="1">IFERROR(__xludf.DUMMYFUNCTION("""COMPUTED_VALUE"""),1.98142720070914)</f>
        <v>1.98142720070914</v>
      </c>
      <c r="T16" s="2">
        <f ca="1">IFERROR(__xludf.DUMMYFUNCTION("""COMPUTED_VALUE"""),1.57657706837813)</f>
        <v>1.5765770683781299</v>
      </c>
      <c r="U16" s="2">
        <f ca="1">IFERROR(__xludf.DUMMYFUNCTION("""COMPUTED_VALUE"""),1.71868174749542)</f>
        <v>1.7186817474954199</v>
      </c>
      <c r="V16" s="2">
        <f ca="1">IFERROR(__xludf.DUMMYFUNCTION("""COMPUTED_VALUE"""),2.2576311881714)</f>
        <v>2.2576311881714002</v>
      </c>
      <c r="W16" s="2">
        <f ca="1">IFERROR(__xludf.DUMMYFUNCTION("""COMPUTED_VALUE"""),1.8976506432503)</f>
        <v>1.8976506432503</v>
      </c>
      <c r="X16" s="2">
        <f ca="1">IFERROR(__xludf.DUMMYFUNCTION("""COMPUTED_VALUE"""),2.18078638746505)</f>
        <v>2.1807863874650502</v>
      </c>
      <c r="Y16" s="2">
        <f ca="1">IFERROR(__xludf.DUMMYFUNCTION("""COMPUTED_VALUE"""),1.86671983089449)</f>
        <v>1.8667198308944899</v>
      </c>
      <c r="Z16" s="2">
        <f ca="1">IFERROR(__xludf.DUMMYFUNCTION("""COMPUTED_VALUE"""),1.23809143386901)</f>
        <v>1.2380914338690101</v>
      </c>
      <c r="AA16" s="2">
        <f ca="1">IFERROR(__xludf.DUMMYFUNCTION("""COMPUTED_VALUE"""),1.92610196551108)</f>
        <v>1.92610196551108</v>
      </c>
      <c r="AB16" s="2">
        <f ca="1">IFERROR(__xludf.DUMMYFUNCTION("""COMPUTED_VALUE"""),1.09931045602242)</f>
        <v>1.0993104560224201</v>
      </c>
      <c r="AC16" s="2">
        <f ca="1">IFERROR(__xludf.DUMMYFUNCTION("""COMPUTED_VALUE"""),1.6964650157096)</f>
        <v>1.6964650157096</v>
      </c>
      <c r="AD16" s="2">
        <f ca="1">IFERROR(__xludf.DUMMYFUNCTION("""COMPUTED_VALUE"""),1.91401319507002)</f>
        <v>1.9140131950700201</v>
      </c>
      <c r="AE16" s="2">
        <f ca="1">IFERROR(__xludf.DUMMYFUNCTION("""COMPUTED_VALUE"""),2.03278650540563)</f>
        <v>2.03278650540563</v>
      </c>
      <c r="AF16" s="2">
        <f ca="1">IFERROR(__xludf.DUMMYFUNCTION("""COMPUTED_VALUE"""),2.05543529485062)</f>
        <v>2.05543529485062</v>
      </c>
      <c r="AG16" s="2">
        <f ca="1">IFERROR(__xludf.DUMMYFUNCTION("""COMPUTED_VALUE"""),2.01313125861204)</f>
        <v>2.0131312586120398</v>
      </c>
      <c r="AH16" s="2">
        <f ca="1">IFERROR(__xludf.DUMMYFUNCTION("""COMPUTED_VALUE"""),1.55174814058199)</f>
        <v>1.55174814058199</v>
      </c>
      <c r="AI16" s="2">
        <f ca="1">IFERROR(__xludf.DUMMYFUNCTION("""COMPUTED_VALUE"""),2.61963783135717)</f>
        <v>2.6196378313571702</v>
      </c>
      <c r="AJ16" s="2">
        <f ca="1">IFERROR(__xludf.DUMMYFUNCTION("""COMPUTED_VALUE"""),1.58508870422737)</f>
        <v>1.58508870422737</v>
      </c>
    </row>
    <row r="17" spans="1:36" ht="15.75" customHeight="1" x14ac:dyDescent="0.25">
      <c r="A17" s="1" t="str">
        <f ca="1">IFERROR(__xludf.DUMMYFUNCTION("""COMPUTED_VALUE"""),"Nott'm Forest")</f>
        <v>Nott'm Forest</v>
      </c>
      <c r="B17" s="2">
        <f ca="1">IFERROR(__xludf.DUMMYFUNCTION("""COMPUTED_VALUE"""),1.33895005912084)</f>
        <v>1.3389500591208401</v>
      </c>
      <c r="C17" s="2">
        <f ca="1">IFERROR(__xludf.DUMMYFUNCTION("""COMPUTED_VALUE"""),1.53872583070661)</f>
        <v>1.5387258307066101</v>
      </c>
      <c r="D17" s="2">
        <f ca="1">IFERROR(__xludf.DUMMYFUNCTION("""COMPUTED_VALUE"""),1.59294621674809)</f>
        <v>1.5929462167480899</v>
      </c>
      <c r="E17" s="2">
        <f ca="1">IFERROR(__xludf.DUMMYFUNCTION("""COMPUTED_VALUE"""),0.775654784150505)</f>
        <v>0.77565478415050504</v>
      </c>
      <c r="F17" s="2">
        <f ca="1">IFERROR(__xludf.DUMMYFUNCTION("""COMPUTED_VALUE"""),1.11841166433134)</f>
        <v>1.11841166433134</v>
      </c>
      <c r="G17" s="2">
        <f ca="1">IFERROR(__xludf.DUMMYFUNCTION("""COMPUTED_VALUE"""),1.31712580333394)</f>
        <v>1.3171258033339399</v>
      </c>
      <c r="H17" s="2">
        <f ca="1">IFERROR(__xludf.DUMMYFUNCTION("""COMPUTED_VALUE"""),1.00730446148997)</f>
        <v>1.00730446148997</v>
      </c>
      <c r="I17" s="2">
        <f ca="1">IFERROR(__xludf.DUMMYFUNCTION("""COMPUTED_VALUE"""),1.35049519773964)</f>
        <v>1.35049519773964</v>
      </c>
      <c r="J17" s="2">
        <f ca="1">IFERROR(__xludf.DUMMYFUNCTION("""COMPUTED_VALUE"""),1.45028022905494)</f>
        <v>1.4502802290549399</v>
      </c>
      <c r="K17" s="2">
        <f ca="1">IFERROR(__xludf.DUMMYFUNCTION("""COMPUTED_VALUE"""),1.52844533880218)</f>
        <v>1.5284453388021799</v>
      </c>
      <c r="L17" s="2">
        <f ca="1">IFERROR(__xludf.DUMMYFUNCTION("""COMPUTED_VALUE"""),1.37135344801583)</f>
        <v>1.37135344801583</v>
      </c>
      <c r="M17" s="2">
        <f ca="1">IFERROR(__xludf.DUMMYFUNCTION("""COMPUTED_VALUE"""),0.577497301126298)</f>
        <v>0.57749730112629805</v>
      </c>
      <c r="N17" s="2">
        <f ca="1">IFERROR(__xludf.DUMMYFUNCTION("""COMPUTED_VALUE"""),1.84837195489424)</f>
        <v>1.8483719548942401</v>
      </c>
      <c r="O17" s="2">
        <f ca="1">IFERROR(__xludf.DUMMYFUNCTION("""COMPUTED_VALUE"""),0.873576284693021)</f>
        <v>0.87357628469302095</v>
      </c>
      <c r="P17" s="2">
        <f ca="1">IFERROR(__xludf.DUMMYFUNCTION("""COMPUTED_VALUE"""),1.11240599866043)</f>
        <v>1.11240599866043</v>
      </c>
      <c r="Q17" s="2">
        <f ca="1">IFERROR(__xludf.DUMMYFUNCTION("""COMPUTED_VALUE"""),1.39806137497945)</f>
        <v>1.3980613749794499</v>
      </c>
      <c r="R17" s="2">
        <f ca="1">IFERROR(__xludf.DUMMYFUNCTION("""COMPUTED_VALUE"""),1.12326699659328)</f>
        <v>1.12326699659328</v>
      </c>
      <c r="S17" s="2">
        <f ca="1">IFERROR(__xludf.DUMMYFUNCTION("""COMPUTED_VALUE"""),1.5484617021383)</f>
        <v>1.5484617021383</v>
      </c>
      <c r="T17" s="2">
        <f ca="1">IFERROR(__xludf.DUMMYFUNCTION("""COMPUTED_VALUE"""),0.983239339015985)</f>
        <v>0.98323933901598504</v>
      </c>
      <c r="U17" s="2">
        <f ca="1">IFERROR(__xludf.DUMMYFUNCTION("""COMPUTED_VALUE"""),1.24751054643911)</f>
        <v>1.2475105464391101</v>
      </c>
      <c r="V17" s="2">
        <f ca="1">IFERROR(__xludf.DUMMYFUNCTION("""COMPUTED_VALUE"""),0.99043359388178)</f>
        <v>0.99043359388177998</v>
      </c>
      <c r="W17" s="2">
        <f ca="1">IFERROR(__xludf.DUMMYFUNCTION("""COMPUTED_VALUE"""),1.96479901322927)</f>
        <v>1.9647990132292701</v>
      </c>
      <c r="X17" s="2">
        <f ca="1">IFERROR(__xludf.DUMMYFUNCTION("""COMPUTED_VALUE"""),1.04859429800363)</f>
        <v>1.04859429800363</v>
      </c>
      <c r="Y17" s="2">
        <f ca="1">IFERROR(__xludf.DUMMYFUNCTION("""COMPUTED_VALUE"""),1.42809985418469)</f>
        <v>1.4280998541846901</v>
      </c>
      <c r="Z17" s="2">
        <f ca="1">IFERROR(__xludf.DUMMYFUNCTION("""COMPUTED_VALUE"""),1.03150270446702)</f>
        <v>1.03150270446702</v>
      </c>
      <c r="AA17" s="2">
        <f ca="1">IFERROR(__xludf.DUMMYFUNCTION("""COMPUTED_VALUE"""),1.07397090454682)</f>
        <v>1.07397090454682</v>
      </c>
      <c r="AB17" s="2">
        <f ca="1">IFERROR(__xludf.DUMMYFUNCTION("""COMPUTED_VALUE"""),0.737406303808171)</f>
        <v>0.73740630380817096</v>
      </c>
      <c r="AC17" s="2">
        <f ca="1">IFERROR(__xludf.DUMMYFUNCTION("""COMPUTED_VALUE"""),1.11546955792451)</f>
        <v>1.11546955792451</v>
      </c>
      <c r="AD17" s="2">
        <f ca="1">IFERROR(__xludf.DUMMYFUNCTION("""COMPUTED_VALUE"""),1.44754636611657)</f>
        <v>1.4475463661165699</v>
      </c>
      <c r="AE17" s="2">
        <f ca="1">IFERROR(__xludf.DUMMYFUNCTION("""COMPUTED_VALUE"""),1.42043121968951)</f>
        <v>1.4204312196895099</v>
      </c>
      <c r="AF17" s="2">
        <f ca="1">IFERROR(__xludf.DUMMYFUNCTION("""COMPUTED_VALUE"""),1.09488712896816)</f>
        <v>1.0948871289681601</v>
      </c>
      <c r="AG17" s="2">
        <f ca="1">IFERROR(__xludf.DUMMYFUNCTION("""COMPUTED_VALUE"""),1.25549831198951)</f>
        <v>1.25549831198951</v>
      </c>
      <c r="AH17" s="2">
        <f ca="1">IFERROR(__xludf.DUMMYFUNCTION("""COMPUTED_VALUE"""),1.21267264636095)</f>
        <v>1.2126726463609501</v>
      </c>
      <c r="AI17" s="2">
        <f ca="1">IFERROR(__xludf.DUMMYFUNCTION("""COMPUTED_VALUE"""),1.43429962794996)</f>
        <v>1.43429962794996</v>
      </c>
      <c r="AJ17" s="2">
        <f ca="1">IFERROR(__xludf.DUMMYFUNCTION("""COMPUTED_VALUE"""),1.05763583502204)</f>
        <v>1.0576358350220401</v>
      </c>
    </row>
    <row r="18" spans="1:36" ht="15.75" customHeight="1" x14ac:dyDescent="0.25">
      <c r="A18" s="1" t="str">
        <f ca="1">IFERROR(__xludf.DUMMYFUNCTION("""COMPUTED_VALUE"""),"Southampton")</f>
        <v>Southampton</v>
      </c>
      <c r="B18" s="2">
        <f ca="1">IFERROR(__xludf.DUMMYFUNCTION("""COMPUTED_VALUE"""),0.826164410009148)</f>
        <v>0.82616441000914798</v>
      </c>
      <c r="C18" s="2">
        <f ca="1">IFERROR(__xludf.DUMMYFUNCTION("""COMPUTED_VALUE"""),1.04544540371833)</f>
        <v>1.0454454037183301</v>
      </c>
      <c r="D18" s="2">
        <f ca="1">IFERROR(__xludf.DUMMYFUNCTION("""COMPUTED_VALUE"""),0.864085993013771)</f>
        <v>0.86408599301377098</v>
      </c>
      <c r="E18" s="2">
        <f ca="1">IFERROR(__xludf.DUMMYFUNCTION("""COMPUTED_VALUE"""),1.09268297269984)</f>
        <v>1.0926829726998399</v>
      </c>
      <c r="F18" s="2">
        <f ca="1">IFERROR(__xludf.DUMMYFUNCTION("""COMPUTED_VALUE"""),1.42188128107346)</f>
        <v>1.42188128107346</v>
      </c>
      <c r="G18" s="2">
        <f ca="1">IFERROR(__xludf.DUMMYFUNCTION("""COMPUTED_VALUE"""),0.806643164988426)</f>
        <v>0.80664316498842603</v>
      </c>
      <c r="H18" s="2">
        <f ca="1">IFERROR(__xludf.DUMMYFUNCTION("""COMPUTED_VALUE"""),0.444246408396144)</f>
        <v>0.44424640839614399</v>
      </c>
      <c r="I18" s="2">
        <f ca="1">IFERROR(__xludf.DUMMYFUNCTION("""COMPUTED_VALUE"""),1.42456667245579)</f>
        <v>1.4245666724557899</v>
      </c>
      <c r="J18" s="2">
        <f ca="1">IFERROR(__xludf.DUMMYFUNCTION("""COMPUTED_VALUE"""),0.672008555153486)</f>
        <v>0.67200855515348601</v>
      </c>
      <c r="K18" s="2">
        <f ca="1">IFERROR(__xludf.DUMMYFUNCTION("""COMPUTED_VALUE"""),0.965806445780743)</f>
        <v>0.96580644578074304</v>
      </c>
      <c r="L18" s="2">
        <f ca="1">IFERROR(__xludf.DUMMYFUNCTION("""COMPUTED_VALUE"""),0.959661765710454)</f>
        <v>0.95966176571045403</v>
      </c>
      <c r="M18" s="2">
        <f ca="1">IFERROR(__xludf.DUMMYFUNCTION("""COMPUTED_VALUE"""),0.761902377688582)</f>
        <v>0.76190237768858204</v>
      </c>
      <c r="N18" s="2">
        <f ca="1">IFERROR(__xludf.DUMMYFUNCTION("""COMPUTED_VALUE"""),0.860350973101592)</f>
        <v>0.86035097310159203</v>
      </c>
      <c r="O18" s="2">
        <f ca="1">IFERROR(__xludf.DUMMYFUNCTION("""COMPUTED_VALUE"""),0.989444892170761)</f>
        <v>0.98944489217076104</v>
      </c>
      <c r="P18" s="2">
        <f ca="1">IFERROR(__xludf.DUMMYFUNCTION("""COMPUTED_VALUE"""),0.842254455033199)</f>
        <v>0.84225445503319896</v>
      </c>
      <c r="Q18" s="2">
        <f ca="1">IFERROR(__xludf.DUMMYFUNCTION("""COMPUTED_VALUE"""),1.19117188664311)</f>
        <v>1.19117188664311</v>
      </c>
      <c r="R18" s="2">
        <f ca="1">IFERROR(__xludf.DUMMYFUNCTION("""COMPUTED_VALUE"""),0.793495261045676)</f>
        <v>0.79349526104567603</v>
      </c>
      <c r="S18" s="2">
        <f ca="1">IFERROR(__xludf.DUMMYFUNCTION("""COMPUTED_VALUE"""),1.17577407005786)</f>
        <v>1.1757740700578601</v>
      </c>
      <c r="T18" s="2">
        <f ca="1">IFERROR(__xludf.DUMMYFUNCTION("""COMPUTED_VALUE"""),0.813598470820981)</f>
        <v>0.81359847082098102</v>
      </c>
      <c r="U18" s="2">
        <f ca="1">IFERROR(__xludf.DUMMYFUNCTION("""COMPUTED_VALUE"""),1.10335140447928)</f>
        <v>1.10335140447928</v>
      </c>
      <c r="V18" s="2">
        <f ca="1">IFERROR(__xludf.DUMMYFUNCTION("""COMPUTED_VALUE"""),0.855731046048901)</f>
        <v>0.85573104604890105</v>
      </c>
      <c r="W18" s="2">
        <f ca="1">IFERROR(__xludf.DUMMYFUNCTION("""COMPUTED_VALUE"""),0.81873710057039)</f>
        <v>0.81873710057038995</v>
      </c>
      <c r="X18" s="2">
        <f ca="1">IFERROR(__xludf.DUMMYFUNCTION("""COMPUTED_VALUE"""),1.05492933514068)</f>
        <v>1.0549293351406801</v>
      </c>
      <c r="Y18" s="2">
        <f ca="1">IFERROR(__xludf.DUMMYFUNCTION("""COMPUTED_VALUE"""),1.11354160942396)</f>
        <v>1.1135416094239601</v>
      </c>
      <c r="Z18" s="2">
        <f ca="1">IFERROR(__xludf.DUMMYFUNCTION("""COMPUTED_VALUE"""),1.03000265737372)</f>
        <v>1.03000265737372</v>
      </c>
      <c r="AA18" s="2">
        <f ca="1">IFERROR(__xludf.DUMMYFUNCTION("""COMPUTED_VALUE"""),1.09858215755342)</f>
        <v>1.09858215755342</v>
      </c>
      <c r="AB18" s="2">
        <f ca="1">IFERROR(__xludf.DUMMYFUNCTION("""COMPUTED_VALUE"""),0.774880485684674)</f>
        <v>0.77488048568467405</v>
      </c>
      <c r="AC18" s="2">
        <f ca="1">IFERROR(__xludf.DUMMYFUNCTION("""COMPUTED_VALUE"""),0.596681320141422)</f>
        <v>0.59668132014142194</v>
      </c>
      <c r="AD18" s="2">
        <f ca="1">IFERROR(__xludf.DUMMYFUNCTION("""COMPUTED_VALUE"""),1.22539210863567)</f>
        <v>1.2253921086356701</v>
      </c>
      <c r="AE18" s="2">
        <f ca="1">IFERROR(__xludf.DUMMYFUNCTION("""COMPUTED_VALUE"""),1.03888388739131)</f>
        <v>1.03888388739131</v>
      </c>
      <c r="AF18" s="2">
        <f ca="1">IFERROR(__xludf.DUMMYFUNCTION("""COMPUTED_VALUE"""),0.932862312352663)</f>
        <v>0.93286231235266304</v>
      </c>
      <c r="AG18" s="2">
        <f ca="1">IFERROR(__xludf.DUMMYFUNCTION("""COMPUTED_VALUE"""),1.07547471363189)</f>
        <v>1.0754747136318901</v>
      </c>
      <c r="AH18" s="2">
        <f ca="1">IFERROR(__xludf.DUMMYFUNCTION("""COMPUTED_VALUE"""),0.920803563362722)</f>
        <v>0.92080356336272196</v>
      </c>
      <c r="AI18" s="2">
        <f ca="1">IFERROR(__xludf.DUMMYFUNCTION("""COMPUTED_VALUE"""),1.01321409882922)</f>
        <v>1.01321409882922</v>
      </c>
      <c r="AJ18" s="2">
        <f ca="1">IFERROR(__xludf.DUMMYFUNCTION("""COMPUTED_VALUE"""),1.1156446647786)</f>
        <v>1.1156446647786</v>
      </c>
    </row>
    <row r="19" spans="1:36" ht="15.75" customHeight="1" x14ac:dyDescent="0.25">
      <c r="A19" s="1" t="str">
        <f ca="1">IFERROR(__xludf.DUMMYFUNCTION("""COMPUTED_VALUE"""),"Spurs")</f>
        <v>Spurs</v>
      </c>
      <c r="B19" s="2">
        <f ca="1">IFERROR(__xludf.DUMMYFUNCTION("""COMPUTED_VALUE"""),2.01874911108417)</f>
        <v>2.01874911108417</v>
      </c>
      <c r="C19" s="2">
        <f ca="1">IFERROR(__xludf.DUMMYFUNCTION("""COMPUTED_VALUE"""),1.74761818476151)</f>
        <v>1.74761818476151</v>
      </c>
      <c r="D19" s="2">
        <f ca="1">IFERROR(__xludf.DUMMYFUNCTION("""COMPUTED_VALUE"""),1.49493716141808)</f>
        <v>1.49493716141808</v>
      </c>
      <c r="E19" s="2">
        <f ca="1">IFERROR(__xludf.DUMMYFUNCTION("""COMPUTED_VALUE"""),1.02644874452343)</f>
        <v>1.02644874452343</v>
      </c>
      <c r="F19" s="2">
        <f ca="1">IFERROR(__xludf.DUMMYFUNCTION("""COMPUTED_VALUE"""),1.99650456576875)</f>
        <v>1.9965045657687499</v>
      </c>
      <c r="G19" s="2">
        <f ca="1">IFERROR(__xludf.DUMMYFUNCTION("""COMPUTED_VALUE"""),1.54843772670321)</f>
        <v>1.5484377267032099</v>
      </c>
      <c r="H19" s="2">
        <f ca="1">IFERROR(__xludf.DUMMYFUNCTION("""COMPUTED_VALUE"""),1.55679744366806)</f>
        <v>1.5567974436680601</v>
      </c>
      <c r="I19" s="2">
        <f ca="1">IFERROR(__xludf.DUMMYFUNCTION("""COMPUTED_VALUE"""),2.12755273583114)</f>
        <v>2.1275527358311401</v>
      </c>
      <c r="J19" s="2">
        <f ca="1">IFERROR(__xludf.DUMMYFUNCTION("""COMPUTED_VALUE"""),1.47219920607538)</f>
        <v>1.4721992060753799</v>
      </c>
      <c r="K19" s="2">
        <f ca="1">IFERROR(__xludf.DUMMYFUNCTION("""COMPUTED_VALUE"""),1.94606194129808)</f>
        <v>1.94606194129808</v>
      </c>
      <c r="L19" s="2">
        <f ca="1">IFERROR(__xludf.DUMMYFUNCTION("""COMPUTED_VALUE"""),2.57288154809033)</f>
        <v>2.5728815480903302</v>
      </c>
      <c r="M19" s="2">
        <f ca="1">IFERROR(__xludf.DUMMYFUNCTION("""COMPUTED_VALUE"""),1.21599351136258)</f>
        <v>1.2159935113625799</v>
      </c>
      <c r="N19" s="2">
        <f ca="1">IFERROR(__xludf.DUMMYFUNCTION("""COMPUTED_VALUE"""),1.8334019118492)</f>
        <v>1.8334019118492</v>
      </c>
      <c r="O19" s="2">
        <f ca="1">IFERROR(__xludf.DUMMYFUNCTION("""COMPUTED_VALUE"""),1.45961364195262)</f>
        <v>1.45961364195262</v>
      </c>
      <c r="P19" s="2">
        <f ca="1">IFERROR(__xludf.DUMMYFUNCTION("""COMPUTED_VALUE"""),1.79039174353322)</f>
        <v>1.7903917435332199</v>
      </c>
      <c r="Q19" s="2">
        <f ca="1">IFERROR(__xludf.DUMMYFUNCTION("""COMPUTED_VALUE"""),2.14186289015704)</f>
        <v>2.1418628901570398</v>
      </c>
      <c r="R19" s="2">
        <f ca="1">IFERROR(__xludf.DUMMYFUNCTION("""COMPUTED_VALUE"""),1.37865558474837)</f>
        <v>1.3786555847483699</v>
      </c>
      <c r="S19" s="2">
        <f ca="1">IFERROR(__xludf.DUMMYFUNCTION("""COMPUTED_VALUE"""),1.48149751096251)</f>
        <v>1.4814975109625099</v>
      </c>
      <c r="T19" s="2">
        <f ca="1">IFERROR(__xludf.DUMMYFUNCTION("""COMPUTED_VALUE"""),2.21733613590018)</f>
        <v>2.21733613590018</v>
      </c>
      <c r="U19" s="2">
        <f ca="1">IFERROR(__xludf.DUMMYFUNCTION("""COMPUTED_VALUE"""),1.90888526141475)</f>
        <v>1.90888526141475</v>
      </c>
      <c r="V19" s="2">
        <f ca="1">IFERROR(__xludf.DUMMYFUNCTION("""COMPUTED_VALUE"""),0.803859929926728)</f>
        <v>0.80385992992672795</v>
      </c>
      <c r="W19" s="2">
        <f ca="1">IFERROR(__xludf.DUMMYFUNCTION("""COMPUTED_VALUE"""),1.36864138519971)</f>
        <v>1.3686413851997099</v>
      </c>
      <c r="X19" s="2">
        <f ca="1">IFERROR(__xludf.DUMMYFUNCTION("""COMPUTED_VALUE"""),2.57774073994338)</f>
        <v>2.5777407399433798</v>
      </c>
      <c r="Y19" s="2">
        <f ca="1">IFERROR(__xludf.DUMMYFUNCTION("""COMPUTED_VALUE"""),1.56355592902244)</f>
        <v>1.5635559290224399</v>
      </c>
      <c r="Z19" s="2">
        <f ca="1">IFERROR(__xludf.DUMMYFUNCTION("""COMPUTED_VALUE"""),1.97720013322734)</f>
        <v>1.9772001332273399</v>
      </c>
      <c r="AA19" s="2">
        <f ca="1">IFERROR(__xludf.DUMMYFUNCTION("""COMPUTED_VALUE"""),2.01494365110058)</f>
        <v>2.0149436511005798</v>
      </c>
      <c r="AB19" s="2">
        <f ca="1">IFERROR(__xludf.DUMMYFUNCTION("""COMPUTED_VALUE"""),1.55270211465888)</f>
        <v>1.55270211465888</v>
      </c>
      <c r="AC19" s="2">
        <f ca="1">IFERROR(__xludf.DUMMYFUNCTION("""COMPUTED_VALUE"""),1.86378065940931)</f>
        <v>1.86378065940931</v>
      </c>
      <c r="AD19" s="2">
        <f ca="1">IFERROR(__xludf.DUMMYFUNCTION("""COMPUTED_VALUE"""),1.43582262655588)</f>
        <v>1.43582262655588</v>
      </c>
      <c r="AE19" s="2">
        <f ca="1">IFERROR(__xludf.DUMMYFUNCTION("""COMPUTED_VALUE"""),1.40213935588787)</f>
        <v>1.4021393558878701</v>
      </c>
      <c r="AF19" s="2">
        <f ca="1">IFERROR(__xludf.DUMMYFUNCTION("""COMPUTED_VALUE"""),2.73494472444152)</f>
        <v>2.7349447244415201</v>
      </c>
      <c r="AG19" s="2">
        <f ca="1">IFERROR(__xludf.DUMMYFUNCTION("""COMPUTED_VALUE"""),1.73649944075509)</f>
        <v>1.73649944075509</v>
      </c>
      <c r="AH19" s="2">
        <f ca="1">IFERROR(__xludf.DUMMYFUNCTION("""COMPUTED_VALUE"""),1.89172417174803)</f>
        <v>1.89172417174803</v>
      </c>
      <c r="AI19" s="2">
        <f ca="1">IFERROR(__xludf.DUMMYFUNCTION("""COMPUTED_VALUE"""),1.07968954871045)</f>
        <v>1.0796895487104501</v>
      </c>
      <c r="AJ19" s="2">
        <f ca="1">IFERROR(__xludf.DUMMYFUNCTION("""COMPUTED_VALUE"""),1.666185868769)</f>
        <v>1.6661858687690001</v>
      </c>
    </row>
    <row r="20" spans="1:36" ht="15.75" customHeight="1" x14ac:dyDescent="0.25">
      <c r="A20" s="1" t="str">
        <f ca="1">IFERROR(__xludf.DUMMYFUNCTION("""COMPUTED_VALUE"""),"West Ham")</f>
        <v>West Ham</v>
      </c>
      <c r="B20" s="2">
        <f ca="1">IFERROR(__xludf.DUMMYFUNCTION("""COMPUTED_VALUE"""),1.45719265098086)</f>
        <v>1.4571926509808599</v>
      </c>
      <c r="C20" s="2">
        <f ca="1">IFERROR(__xludf.DUMMYFUNCTION("""COMPUTED_VALUE"""),1.10236874703071)</f>
        <v>1.10236874703071</v>
      </c>
      <c r="D20" s="2">
        <f ca="1">IFERROR(__xludf.DUMMYFUNCTION("""COMPUTED_VALUE"""),1.16264855841852)</f>
        <v>1.16264855841852</v>
      </c>
      <c r="E20" s="2">
        <f ca="1">IFERROR(__xludf.DUMMYFUNCTION("""COMPUTED_VALUE"""),1.07513031066918)</f>
        <v>1.0751303106691801</v>
      </c>
      <c r="F20" s="2">
        <f ca="1">IFERROR(__xludf.DUMMYFUNCTION("""COMPUTED_VALUE"""),1.34062828920707)</f>
        <v>1.34062828920707</v>
      </c>
      <c r="G20" s="2">
        <f ca="1">IFERROR(__xludf.DUMMYFUNCTION("""COMPUTED_VALUE"""),1.17077579126248)</f>
        <v>1.1707757912624801</v>
      </c>
      <c r="H20" s="2">
        <f ca="1">IFERROR(__xludf.DUMMYFUNCTION("""COMPUTED_VALUE"""),1.92654920388643)</f>
        <v>1.92654920388643</v>
      </c>
      <c r="I20" s="2">
        <f ca="1">IFERROR(__xludf.DUMMYFUNCTION("""COMPUTED_VALUE"""),1.26396287026288)</f>
        <v>1.26396287026288</v>
      </c>
      <c r="J20" s="2">
        <f ca="1">IFERROR(__xludf.DUMMYFUNCTION("""COMPUTED_VALUE"""),1.48050863259545)</f>
        <v>1.48050863259545</v>
      </c>
      <c r="K20" s="2">
        <f ca="1">IFERROR(__xludf.DUMMYFUNCTION("""COMPUTED_VALUE"""),1.10933122919048)</f>
        <v>1.10933122919048</v>
      </c>
      <c r="L20" s="2">
        <f ca="1">IFERROR(__xludf.DUMMYFUNCTION("""COMPUTED_VALUE"""),1.30859985569438)</f>
        <v>1.3085998556943801</v>
      </c>
      <c r="M20" s="2">
        <f ca="1">IFERROR(__xludf.DUMMYFUNCTION("""COMPUTED_VALUE"""),1.11939471147745)</f>
        <v>1.1193947114774501</v>
      </c>
      <c r="N20" s="2">
        <f ca="1">IFERROR(__xludf.DUMMYFUNCTION("""COMPUTED_VALUE"""),0.768595045916366)</f>
        <v>0.76859504591636596</v>
      </c>
      <c r="O20" s="2">
        <f ca="1">IFERROR(__xludf.DUMMYFUNCTION("""COMPUTED_VALUE"""),1.5116201115797)</f>
        <v>1.5116201115797001</v>
      </c>
      <c r="P20" s="2">
        <f ca="1">IFERROR(__xludf.DUMMYFUNCTION("""COMPUTED_VALUE"""),1.66032018478961)</f>
        <v>1.6603201847896101</v>
      </c>
      <c r="Q20" s="2">
        <f ca="1">IFERROR(__xludf.DUMMYFUNCTION("""COMPUTED_VALUE"""),1.09294479645702)</f>
        <v>1.09294479645702</v>
      </c>
      <c r="R20" s="2">
        <f ca="1">IFERROR(__xludf.DUMMYFUNCTION("""COMPUTED_VALUE"""),1.48850161346841)</f>
        <v>1.4885016134684099</v>
      </c>
      <c r="S20" s="2">
        <f ca="1">IFERROR(__xludf.DUMMYFUNCTION("""COMPUTED_VALUE"""),1.60380653704352)</f>
        <v>1.6038065370435199</v>
      </c>
      <c r="T20" s="2">
        <f ca="1">IFERROR(__xludf.DUMMYFUNCTION("""COMPUTED_VALUE"""),1.03232417411596)</f>
        <v>1.0323241741159599</v>
      </c>
      <c r="U20" s="2">
        <f ca="1">IFERROR(__xludf.DUMMYFUNCTION("""COMPUTED_VALUE"""),0.910524362454794)</f>
        <v>0.91052436245479396</v>
      </c>
      <c r="V20" s="2">
        <f ca="1">IFERROR(__xludf.DUMMYFUNCTION("""COMPUTED_VALUE"""),1.37283389369347)</f>
        <v>1.3728338936934701</v>
      </c>
      <c r="W20" s="2">
        <f ca="1">IFERROR(__xludf.DUMMYFUNCTION("""COMPUTED_VALUE"""),1.40761465308351)</f>
        <v>1.4076146530835101</v>
      </c>
      <c r="X20" s="2">
        <f ca="1">IFERROR(__xludf.DUMMYFUNCTION("""COMPUTED_VALUE"""),1.14119559165233)</f>
        <v>1.14119559165233</v>
      </c>
      <c r="Y20" s="2">
        <f ca="1">IFERROR(__xludf.DUMMYFUNCTION("""COMPUTED_VALUE"""),1.0499085983296)</f>
        <v>1.0499085983295999</v>
      </c>
      <c r="Z20" s="2">
        <f ca="1">IFERROR(__xludf.DUMMYFUNCTION("""COMPUTED_VALUE"""),1.49496360786306)</f>
        <v>1.4949636078630599</v>
      </c>
      <c r="AA20" s="2">
        <f ca="1">IFERROR(__xludf.DUMMYFUNCTION("""COMPUTED_VALUE"""),0.601922661066932)</f>
        <v>0.60192266106693204</v>
      </c>
      <c r="AB20" s="2">
        <f ca="1">IFERROR(__xludf.DUMMYFUNCTION("""COMPUTED_VALUE"""),1.93018772047612)</f>
        <v>1.93018772047612</v>
      </c>
      <c r="AC20" s="2">
        <f ca="1">IFERROR(__xludf.DUMMYFUNCTION("""COMPUTED_VALUE"""),1.42935510708556)</f>
        <v>1.4293551070855599</v>
      </c>
      <c r="AD20" s="2">
        <f ca="1">IFERROR(__xludf.DUMMYFUNCTION("""COMPUTED_VALUE"""),1.02482563685048)</f>
        <v>1.02482563685048</v>
      </c>
      <c r="AE20" s="2">
        <f ca="1">IFERROR(__xludf.DUMMYFUNCTION("""COMPUTED_VALUE"""),1.30027424605655)</f>
        <v>1.30027424605655</v>
      </c>
      <c r="AF20" s="2">
        <f ca="1">IFERROR(__xludf.DUMMYFUNCTION("""COMPUTED_VALUE"""),1.39558121059597)</f>
        <v>1.39558121059597</v>
      </c>
      <c r="AG20" s="2">
        <f ca="1">IFERROR(__xludf.DUMMYFUNCTION("""COMPUTED_VALUE"""),0.808461253125513)</f>
        <v>0.80846125312551298</v>
      </c>
      <c r="AH20" s="2">
        <f ca="1">IFERROR(__xludf.DUMMYFUNCTION("""COMPUTED_VALUE"""),2.04790056715088)</f>
        <v>2.0479005671508799</v>
      </c>
      <c r="AI20" s="2">
        <f ca="1">IFERROR(__xludf.DUMMYFUNCTION("""COMPUTED_VALUE"""),1.16571510178433)</f>
        <v>1.1657151017843299</v>
      </c>
      <c r="AJ20" s="2">
        <f ca="1">IFERROR(__xludf.DUMMYFUNCTION("""COMPUTED_VALUE"""),1.61395418903867)</f>
        <v>1.6139541890386699</v>
      </c>
    </row>
    <row r="21" spans="1:36" ht="15.75" customHeight="1" x14ac:dyDescent="0.25">
      <c r="A21" s="1" t="str">
        <f ca="1">IFERROR(__xludf.DUMMYFUNCTION("""COMPUTED_VALUE"""),"Wolves")</f>
        <v>Wolves</v>
      </c>
      <c r="B21" s="2">
        <f ca="1">IFERROR(__xludf.DUMMYFUNCTION("""COMPUTED_VALUE"""),0.55719972485244)</f>
        <v>0.55719972485243996</v>
      </c>
      <c r="C21" s="2">
        <f ca="1">IFERROR(__xludf.DUMMYFUNCTION("""COMPUTED_VALUE"""),1.24101942357759)</f>
        <v>1.24101942357759</v>
      </c>
      <c r="D21" s="2">
        <f ca="1">IFERROR(__xludf.DUMMYFUNCTION("""COMPUTED_VALUE"""),1.02690776682093)</f>
        <v>1.0269077668209301</v>
      </c>
      <c r="E21" s="2">
        <f ca="1">IFERROR(__xludf.DUMMYFUNCTION("""COMPUTED_VALUE"""),1.32315382672716)</f>
        <v>1.3231538267271601</v>
      </c>
      <c r="F21" s="2">
        <f ca="1">IFERROR(__xludf.DUMMYFUNCTION("""COMPUTED_VALUE"""),1.05640460278466)</f>
        <v>1.0564046027846601</v>
      </c>
      <c r="G21" s="2">
        <f ca="1">IFERROR(__xludf.DUMMYFUNCTION("""COMPUTED_VALUE"""),0.955622346492745)</f>
        <v>0.95562234649274502</v>
      </c>
      <c r="H21" s="2">
        <f ca="1">IFERROR(__xludf.DUMMYFUNCTION("""COMPUTED_VALUE"""),1.08378698950962)</f>
        <v>1.0837869895096199</v>
      </c>
      <c r="I21" s="2">
        <f ca="1">IFERROR(__xludf.DUMMYFUNCTION("""COMPUTED_VALUE"""),1.07626361117986)</f>
        <v>1.07626361117986</v>
      </c>
      <c r="J21" s="2">
        <f ca="1">IFERROR(__xludf.DUMMYFUNCTION("""COMPUTED_VALUE"""),1.0791023099533)</f>
        <v>1.0791023099532999</v>
      </c>
      <c r="K21" s="2">
        <f ca="1">IFERROR(__xludf.DUMMYFUNCTION("""COMPUTED_VALUE"""),1.30302869143712)</f>
        <v>1.3030286914371201</v>
      </c>
      <c r="L21" s="2">
        <f ca="1">IFERROR(__xludf.DUMMYFUNCTION("""COMPUTED_VALUE"""),1.89574127433414)</f>
        <v>1.89574127433414</v>
      </c>
      <c r="M21" s="2">
        <f ca="1">IFERROR(__xludf.DUMMYFUNCTION("""COMPUTED_VALUE"""),0.995247981233209)</f>
        <v>0.99524798123320901</v>
      </c>
      <c r="N21" s="2">
        <f ca="1">IFERROR(__xludf.DUMMYFUNCTION("""COMPUTED_VALUE"""),1.29188933537566)</f>
        <v>1.29188933537566</v>
      </c>
      <c r="O21" s="2">
        <f ca="1">IFERROR(__xludf.DUMMYFUNCTION("""COMPUTED_VALUE"""),0.948680951573806)</f>
        <v>0.94868095157380605</v>
      </c>
      <c r="P21" s="2">
        <f ca="1">IFERROR(__xludf.DUMMYFUNCTION("""COMPUTED_VALUE"""),1.15492547030642)</f>
        <v>1.15492547030642</v>
      </c>
      <c r="Q21" s="2">
        <f ca="1">IFERROR(__xludf.DUMMYFUNCTION("""COMPUTED_VALUE"""),1.7834063339922)</f>
        <v>1.7834063339921999</v>
      </c>
      <c r="R21" s="2">
        <f ca="1">IFERROR(__xludf.DUMMYFUNCTION("""COMPUTED_VALUE"""),1.39930653011245)</f>
        <v>1.3993065301124501</v>
      </c>
      <c r="S21" s="2">
        <f ca="1">IFERROR(__xludf.DUMMYFUNCTION("""COMPUTED_VALUE"""),1.37050663828075)</f>
        <v>1.37050663828075</v>
      </c>
      <c r="T21" s="2">
        <f ca="1">IFERROR(__xludf.DUMMYFUNCTION("""COMPUTED_VALUE"""),1.17005025576843)</f>
        <v>1.17005025576843</v>
      </c>
      <c r="U21" s="2">
        <f ca="1">IFERROR(__xludf.DUMMYFUNCTION("""COMPUTED_VALUE"""),1.31125852745365)</f>
        <v>1.3112585274536499</v>
      </c>
      <c r="V21" s="2">
        <f ca="1">IFERROR(__xludf.DUMMYFUNCTION("""COMPUTED_VALUE"""),1.03622353099472)</f>
        <v>1.0362235309947201</v>
      </c>
      <c r="W21" s="2">
        <f ca="1">IFERROR(__xludf.DUMMYFUNCTION("""COMPUTED_VALUE"""),0.971900245577254)</f>
        <v>0.97190024557725396</v>
      </c>
      <c r="X21" s="2">
        <f ca="1">IFERROR(__xludf.DUMMYFUNCTION("""COMPUTED_VALUE"""),0.711488328664081)</f>
        <v>0.71148832866408096</v>
      </c>
      <c r="Y21" s="2">
        <f ca="1">IFERROR(__xludf.DUMMYFUNCTION("""COMPUTED_VALUE"""),1.34892303729573)</f>
        <v>1.3489230372957299</v>
      </c>
      <c r="Z21" s="2">
        <f ca="1">IFERROR(__xludf.DUMMYFUNCTION("""COMPUTED_VALUE"""),0.748392471213678)</f>
        <v>0.74839247121367802</v>
      </c>
      <c r="AA21" s="2">
        <f ca="1">IFERROR(__xludf.DUMMYFUNCTION("""COMPUTED_VALUE"""),1.01173884828542)</f>
        <v>1.0117388482854199</v>
      </c>
      <c r="AB21" s="2">
        <f ca="1">IFERROR(__xludf.DUMMYFUNCTION("""COMPUTED_VALUE"""),1.27083214723668)</f>
        <v>1.2708321472366799</v>
      </c>
      <c r="AC21" s="2">
        <f ca="1">IFERROR(__xludf.DUMMYFUNCTION("""COMPUTED_VALUE"""),1.21137070706459)</f>
        <v>1.21137070706459</v>
      </c>
      <c r="AD21" s="2">
        <f ca="1">IFERROR(__xludf.DUMMYFUNCTION("""COMPUTED_VALUE"""),1.4846434915296)</f>
        <v>1.4846434915296001</v>
      </c>
      <c r="AE21" s="2">
        <f ca="1">IFERROR(__xludf.DUMMYFUNCTION("""COMPUTED_VALUE"""),1.47472433303426)</f>
        <v>1.4747243330342601</v>
      </c>
      <c r="AF21" s="2">
        <f ca="1">IFERROR(__xludf.DUMMYFUNCTION("""COMPUTED_VALUE"""),1.39666875557381)</f>
        <v>1.39666875557381</v>
      </c>
      <c r="AG21" s="2">
        <f ca="1">IFERROR(__xludf.DUMMYFUNCTION("""COMPUTED_VALUE"""),1.4940371715907)</f>
        <v>1.4940371715906999</v>
      </c>
      <c r="AH21" s="2">
        <f ca="1">IFERROR(__xludf.DUMMYFUNCTION("""COMPUTED_VALUE"""),1.07330772831134)</f>
        <v>1.0733077283113399</v>
      </c>
      <c r="AI21" s="2">
        <f ca="1">IFERROR(__xludf.DUMMYFUNCTION("""COMPUTED_VALUE"""),1.78677450830059)</f>
        <v>1.7867745083005899</v>
      </c>
      <c r="AJ21" s="2">
        <f ca="1">IFERROR(__xludf.DUMMYFUNCTION("""COMPUTED_VALUE"""),0.842872277531413)</f>
        <v>0.84287227753141303</v>
      </c>
    </row>
  </sheetData>
  <pageMargins left="0.7" right="0.7" top="0.75" bottom="0.75" header="0.3" footer="0.3"/>
  <headerFooter>
    <oddFooter>&amp;R_x000D_&amp;1#&amp;"Calibri"&amp;9&amp;K000000 Ierobežotas pieejamības ārēja informācija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EFB4-2615-4BD3-8866-41EA86E2D002}">
  <dimension ref="A1:AJ21"/>
  <sheetViews>
    <sheetView workbookViewId="0">
      <selection activeCell="C28" sqref="C28"/>
    </sheetView>
  </sheetViews>
  <sheetFormatPr defaultRowHeight="14" x14ac:dyDescent="0.3"/>
  <cols>
    <col min="1" max="1" width="13.90625" style="3" customWidth="1"/>
    <col min="2" max="16384" width="8.7265625" style="3"/>
  </cols>
  <sheetData>
    <row r="1" spans="1:36" ht="14.5" x14ac:dyDescent="0.3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</row>
    <row r="2" spans="1:36" ht="14.5" x14ac:dyDescent="0.3">
      <c r="A2" s="4" t="s">
        <v>1</v>
      </c>
      <c r="B2" s="3">
        <v>2.3929262161254878</v>
      </c>
      <c r="C2" s="3">
        <v>1.5644546747207639</v>
      </c>
      <c r="D2" s="3">
        <v>1.8797316551208501</v>
      </c>
      <c r="E2" s="3">
        <v>1.073670029640198</v>
      </c>
      <c r="F2" s="3">
        <v>0.68791991472244263</v>
      </c>
      <c r="G2" s="3">
        <v>1.9146132469177251</v>
      </c>
      <c r="H2" s="3">
        <v>1.8995140790939331</v>
      </c>
      <c r="I2" s="3">
        <v>1.9421031475067141</v>
      </c>
      <c r="J2" s="3">
        <v>1.1463663578033449</v>
      </c>
      <c r="K2" s="3">
        <v>1.368282198905945</v>
      </c>
      <c r="L2" s="3">
        <v>1.3238228559494021</v>
      </c>
      <c r="M2" s="3">
        <v>2.0881586074829102</v>
      </c>
      <c r="N2" s="3">
        <v>1.8834999799728389</v>
      </c>
      <c r="O2" s="3">
        <v>2.135240793228149</v>
      </c>
      <c r="P2" s="3">
        <v>1.628772020339966</v>
      </c>
      <c r="Q2" s="3">
        <v>2.0962879657745361</v>
      </c>
      <c r="R2" s="3">
        <v>1.554719805717468</v>
      </c>
      <c r="S2" s="3">
        <v>1.2153360843658449</v>
      </c>
      <c r="T2" s="3">
        <v>1.6189684867858889</v>
      </c>
      <c r="U2" s="3">
        <v>1.6996386051177981</v>
      </c>
      <c r="V2" s="3">
        <v>1.9883649349212651</v>
      </c>
      <c r="W2" s="3">
        <v>2.1270477771759029</v>
      </c>
      <c r="X2" s="3">
        <v>1.4787852764129641</v>
      </c>
      <c r="Y2" s="3">
        <v>0.9388081431388855</v>
      </c>
      <c r="Z2" s="3">
        <v>1.31885290145874</v>
      </c>
      <c r="AA2" s="3">
        <v>2.051314115524292</v>
      </c>
      <c r="AB2" s="3">
        <v>1.24741530418396</v>
      </c>
      <c r="AC2" s="3">
        <v>1.3694115877151489</v>
      </c>
      <c r="AD2" s="3">
        <v>2.213140726089478</v>
      </c>
      <c r="AE2" s="3">
        <v>2.449286937713623</v>
      </c>
      <c r="AF2" s="3">
        <v>1.393734455108643</v>
      </c>
      <c r="AG2" s="3">
        <v>1.877512574195862</v>
      </c>
      <c r="AH2" s="3">
        <v>1.941145658493042</v>
      </c>
      <c r="AI2" s="3">
        <v>1.79546594619751</v>
      </c>
      <c r="AJ2" s="3">
        <v>2.6410412788391109</v>
      </c>
    </row>
    <row r="3" spans="1:36" ht="14.5" x14ac:dyDescent="0.3">
      <c r="A3" s="4" t="s">
        <v>2</v>
      </c>
      <c r="B3" s="3">
        <v>1.348790764808655</v>
      </c>
      <c r="C3" s="3">
        <v>0.80629712343215942</v>
      </c>
      <c r="D3" s="3">
        <v>1.2507035732269289</v>
      </c>
      <c r="E3" s="3">
        <v>1.5181658267974849</v>
      </c>
      <c r="F3" s="3">
        <v>1.3640284538269041</v>
      </c>
      <c r="G3" s="3">
        <v>2.1125979423522949</v>
      </c>
      <c r="H3" s="3">
        <v>1.5067237615585329</v>
      </c>
      <c r="I3" s="3">
        <v>1.2443475723266599</v>
      </c>
      <c r="J3" s="3">
        <v>1.6887505054473879</v>
      </c>
      <c r="K3" s="3">
        <v>1.2552366256713869</v>
      </c>
      <c r="L3" s="3">
        <v>0.77909010648727417</v>
      </c>
      <c r="M3" s="3">
        <v>1.719778418540955</v>
      </c>
      <c r="N3" s="3">
        <v>1.160969614982605</v>
      </c>
      <c r="O3" s="3">
        <v>1.495518684387207</v>
      </c>
      <c r="P3" s="3">
        <v>1.7913070917129521</v>
      </c>
      <c r="Q3" s="3">
        <v>1.2843655347824099</v>
      </c>
      <c r="R3" s="3">
        <v>1.1088523864746089</v>
      </c>
      <c r="S3" s="3">
        <v>1.102280378341675</v>
      </c>
      <c r="T3" s="3">
        <v>1.6938879489898679</v>
      </c>
      <c r="U3" s="3">
        <v>1.4668112993240361</v>
      </c>
      <c r="V3" s="3">
        <v>1.3621500730514531</v>
      </c>
      <c r="W3" s="3">
        <v>1.1020528078079219</v>
      </c>
      <c r="X3" s="3">
        <v>1.566805243492126</v>
      </c>
      <c r="Y3" s="3">
        <v>1.481817364692688</v>
      </c>
      <c r="Z3" s="3">
        <v>2.2243728637695308</v>
      </c>
      <c r="AA3" s="3">
        <v>1.2669520378112791</v>
      </c>
      <c r="AB3" s="3">
        <v>1.133498072624207</v>
      </c>
      <c r="AC3" s="3">
        <v>1.0663843154907231</v>
      </c>
      <c r="AD3" s="3">
        <v>1.8818643093109131</v>
      </c>
      <c r="AE3" s="3">
        <v>1.092712879180908</v>
      </c>
      <c r="AF3" s="3">
        <v>1.7694170475006099</v>
      </c>
      <c r="AG3" s="3">
        <v>1.516769647598267</v>
      </c>
      <c r="AH3" s="3">
        <v>1.3514530658721919</v>
      </c>
      <c r="AI3" s="3">
        <v>0.5906720757484436</v>
      </c>
      <c r="AJ3" s="3">
        <v>1.7497026920318599</v>
      </c>
    </row>
    <row r="4" spans="1:36" ht="14.5" x14ac:dyDescent="0.3">
      <c r="A4" s="4" t="s">
        <v>3</v>
      </c>
      <c r="B4" s="3">
        <v>1.3064602613449099</v>
      </c>
      <c r="C4" s="3">
        <v>1.360747337341309</v>
      </c>
      <c r="D4" s="3">
        <v>1.1341450214385991</v>
      </c>
      <c r="E4" s="3">
        <v>1.2589104175567629</v>
      </c>
      <c r="F4" s="3">
        <v>0.74219685792922974</v>
      </c>
      <c r="G4" s="3">
        <v>1.5606386661529541</v>
      </c>
      <c r="H4" s="3">
        <v>1.011543750762939</v>
      </c>
      <c r="I4" s="3">
        <v>0.77833092212677002</v>
      </c>
      <c r="J4" s="3">
        <v>1.1624013185501101</v>
      </c>
      <c r="K4" s="3">
        <v>0.74216264486312866</v>
      </c>
      <c r="L4" s="3">
        <v>1.1334570646286011</v>
      </c>
      <c r="M4" s="3">
        <v>1.578647255897522</v>
      </c>
      <c r="N4" s="3">
        <v>1.1879914999008181</v>
      </c>
      <c r="O4" s="3">
        <v>0.9848819375038147</v>
      </c>
      <c r="P4" s="3">
        <v>1.4507541656494141</v>
      </c>
      <c r="Q4" s="3">
        <v>1.5136972665786741</v>
      </c>
      <c r="R4" s="3">
        <v>0.96253538131713867</v>
      </c>
      <c r="S4" s="3">
        <v>1.6594066619873049</v>
      </c>
      <c r="T4" s="3">
        <v>1.122737050056458</v>
      </c>
      <c r="U4" s="3">
        <v>1.799859881401062</v>
      </c>
      <c r="V4" s="3">
        <v>0.88975679874420166</v>
      </c>
      <c r="W4" s="3">
        <v>1.1858257055282591</v>
      </c>
      <c r="X4" s="3">
        <v>1.586115717887878</v>
      </c>
      <c r="Y4" s="3">
        <v>1.6863557100296021</v>
      </c>
      <c r="Z4" s="3">
        <v>1.69713819026947</v>
      </c>
      <c r="AA4" s="3">
        <v>0.99130308628082275</v>
      </c>
      <c r="AB4" s="3">
        <v>1.1231627464294429</v>
      </c>
      <c r="AC4" s="3">
        <v>1.282966256141663</v>
      </c>
      <c r="AD4" s="3">
        <v>1.26953649520874</v>
      </c>
      <c r="AE4" s="3">
        <v>2.65944504737854</v>
      </c>
      <c r="AF4" s="3">
        <v>1.1781038045883181</v>
      </c>
      <c r="AG4" s="3">
        <v>1.46902072429657</v>
      </c>
      <c r="AH4" s="3">
        <v>1.073251366615295</v>
      </c>
      <c r="AI4" s="3">
        <v>1.578492999076843</v>
      </c>
      <c r="AJ4" s="3">
        <v>0.7648504376411438</v>
      </c>
    </row>
    <row r="5" spans="1:36" ht="14.5" x14ac:dyDescent="0.3">
      <c r="A5" s="4" t="s">
        <v>4</v>
      </c>
      <c r="B5" s="3">
        <v>1.270194530487061</v>
      </c>
      <c r="C5" s="3">
        <v>0.72787696123123169</v>
      </c>
      <c r="D5" s="3">
        <v>2.1938643455505371</v>
      </c>
      <c r="E5" s="3">
        <v>0.66743969917297363</v>
      </c>
      <c r="F5" s="3">
        <v>1.153160452842712</v>
      </c>
      <c r="G5" s="3">
        <v>1.5154522657394409</v>
      </c>
      <c r="H5" s="3">
        <v>1.539165854454041</v>
      </c>
      <c r="I5" s="3">
        <v>1.221028685569763</v>
      </c>
      <c r="J5" s="3">
        <v>2.3335199356079102</v>
      </c>
      <c r="K5" s="3">
        <v>1.7355693578720091</v>
      </c>
      <c r="L5" s="3">
        <v>1.948560357093811</v>
      </c>
      <c r="M5" s="3">
        <v>1.169450044631958</v>
      </c>
      <c r="N5" s="3">
        <v>1.244113445281982</v>
      </c>
      <c r="O5" s="3">
        <v>1.066195487976074</v>
      </c>
      <c r="P5" s="3">
        <v>1.6434023380279541</v>
      </c>
      <c r="Q5" s="3">
        <v>1.3247169256210329</v>
      </c>
      <c r="R5" s="3">
        <v>1.570867776870728</v>
      </c>
      <c r="S5" s="3">
        <v>1.1595005989074709</v>
      </c>
      <c r="T5" s="3">
        <v>0.94255262613296509</v>
      </c>
      <c r="U5" s="3">
        <v>1.533316493034363</v>
      </c>
      <c r="V5" s="3">
        <v>0.99423658847808838</v>
      </c>
      <c r="W5" s="3">
        <v>1.485055804252625</v>
      </c>
      <c r="X5" s="3">
        <v>1.201058149337769</v>
      </c>
      <c r="Y5" s="3">
        <v>1.614291191101074</v>
      </c>
      <c r="Z5" s="3">
        <v>1.321176171302795</v>
      </c>
      <c r="AA5" s="3">
        <v>1.3359237909317021</v>
      </c>
      <c r="AB5" s="3">
        <v>1.5667986869812009</v>
      </c>
      <c r="AC5" s="3">
        <v>1.6016737222671511</v>
      </c>
      <c r="AD5" s="3">
        <v>0.95380574464797974</v>
      </c>
      <c r="AE5" s="3">
        <v>1.153110146522522</v>
      </c>
      <c r="AF5" s="3">
        <v>1.746267437934875</v>
      </c>
      <c r="AG5" s="3">
        <v>0.99331188201904297</v>
      </c>
      <c r="AH5" s="3">
        <v>1.27821946144104</v>
      </c>
      <c r="AI5" s="3">
        <v>1.571117162704468</v>
      </c>
      <c r="AJ5" s="3">
        <v>1.358351349830627</v>
      </c>
    </row>
    <row r="6" spans="1:36" ht="14.5" x14ac:dyDescent="0.3">
      <c r="A6" s="4" t="s">
        <v>5</v>
      </c>
      <c r="B6" s="3">
        <v>1.3786683082580571</v>
      </c>
      <c r="C6" s="3">
        <v>2.1739742755889888</v>
      </c>
      <c r="D6" s="3">
        <v>0.95240509510040283</v>
      </c>
      <c r="E6" s="3">
        <v>1.8747144937515261</v>
      </c>
      <c r="F6" s="3">
        <v>1.4708948135375981</v>
      </c>
      <c r="G6" s="3">
        <v>1.3284568786621089</v>
      </c>
      <c r="H6" s="3">
        <v>1.711880564689636</v>
      </c>
      <c r="I6" s="3">
        <v>1.2294918298721309</v>
      </c>
      <c r="J6" s="3">
        <v>2.0287826061248779</v>
      </c>
      <c r="K6" s="3">
        <v>0.9369317889213562</v>
      </c>
      <c r="L6" s="3">
        <v>1.201663136482239</v>
      </c>
      <c r="M6" s="3">
        <v>1.3298487663269041</v>
      </c>
      <c r="N6" s="3">
        <v>2.0291697978973389</v>
      </c>
      <c r="O6" s="3">
        <v>1.179579019546509</v>
      </c>
      <c r="P6" s="3">
        <v>1.3290801048278811</v>
      </c>
      <c r="Q6" s="3">
        <v>1.767544627189636</v>
      </c>
      <c r="R6" s="3">
        <v>1.4917494058609011</v>
      </c>
      <c r="S6" s="3">
        <v>2.191407442092896</v>
      </c>
      <c r="T6" s="3">
        <v>1.228216171264648</v>
      </c>
      <c r="U6" s="3">
        <v>0.94272845983505249</v>
      </c>
      <c r="V6" s="3">
        <v>1.086585164070129</v>
      </c>
      <c r="W6" s="3">
        <v>1.2968790531158449</v>
      </c>
      <c r="X6" s="3">
        <v>1.731486439704895</v>
      </c>
      <c r="Y6" s="3">
        <v>1.4491754770278931</v>
      </c>
      <c r="Z6" s="3">
        <v>1.405316233634949</v>
      </c>
      <c r="AA6" s="3">
        <v>1.1777669191360469</v>
      </c>
      <c r="AB6" s="3">
        <v>1.772046685218811</v>
      </c>
      <c r="AC6" s="3">
        <v>1.7778778076171879</v>
      </c>
      <c r="AD6" s="3">
        <v>0.3864617645740509</v>
      </c>
      <c r="AE6" s="3">
        <v>2.0624582767486568</v>
      </c>
      <c r="AF6" s="3">
        <v>1.564889550209045</v>
      </c>
      <c r="AG6" s="3">
        <v>1.326916575431824</v>
      </c>
      <c r="AH6" s="3">
        <v>1.307400107383728</v>
      </c>
      <c r="AI6" s="3">
        <v>1.33961009979248</v>
      </c>
      <c r="AJ6" s="3">
        <v>1.4878247976303101</v>
      </c>
    </row>
    <row r="7" spans="1:36" ht="14.5" x14ac:dyDescent="0.3">
      <c r="A7" s="4" t="s">
        <v>7</v>
      </c>
      <c r="B7" s="3">
        <v>1.358801960945129</v>
      </c>
      <c r="C7" s="3">
        <v>1.311506986618042</v>
      </c>
      <c r="D7" s="3">
        <v>1.8937902450561519</v>
      </c>
      <c r="E7" s="3">
        <v>1.472344756126404</v>
      </c>
      <c r="F7" s="3">
        <v>1.7437634468078611</v>
      </c>
      <c r="G7" s="3">
        <v>1.4372497797012329</v>
      </c>
      <c r="H7" s="3">
        <v>2.129759550094604</v>
      </c>
      <c r="I7" s="3">
        <v>0.87258529663085938</v>
      </c>
      <c r="J7" s="3">
        <v>1.88089382648468</v>
      </c>
      <c r="K7" s="3">
        <v>1.605970144271851</v>
      </c>
      <c r="L7" s="3">
        <v>1.1261695623397829</v>
      </c>
      <c r="M7" s="3">
        <v>1.4159901142120359</v>
      </c>
      <c r="N7" s="3">
        <v>1.6230317354202271</v>
      </c>
      <c r="O7" s="3">
        <v>2.0954303741455078</v>
      </c>
      <c r="P7" s="3">
        <v>2.3697092533111568</v>
      </c>
      <c r="Q7" s="3">
        <v>1.5488543510437009</v>
      </c>
      <c r="R7" s="3">
        <v>1.0950386524200439</v>
      </c>
      <c r="S7" s="3">
        <v>1.90753710269928</v>
      </c>
      <c r="T7" s="3">
        <v>1.8790880441665649</v>
      </c>
      <c r="U7" s="3">
        <v>1.32543957233429</v>
      </c>
      <c r="V7" s="3">
        <v>1.8156701326370239</v>
      </c>
      <c r="W7" s="3">
        <v>1.770001173019409</v>
      </c>
      <c r="X7" s="3">
        <v>0.76323246955871582</v>
      </c>
      <c r="Y7" s="3">
        <v>2.354912281036377</v>
      </c>
      <c r="Z7" s="3">
        <v>1.432894825935364</v>
      </c>
      <c r="AA7" s="3">
        <v>2.0032930374145508</v>
      </c>
      <c r="AB7" s="3">
        <v>2.1312003135681148</v>
      </c>
      <c r="AC7" s="3">
        <v>2.0490481853485112</v>
      </c>
      <c r="AD7" s="3">
        <v>1.636508464813232</v>
      </c>
      <c r="AE7" s="3">
        <v>1.673733115196228</v>
      </c>
      <c r="AF7" s="3">
        <v>1.40624463558197</v>
      </c>
      <c r="AG7" s="3">
        <v>2.4244966506958008</v>
      </c>
      <c r="AH7" s="3">
        <v>1.486256957054138</v>
      </c>
      <c r="AI7" s="3">
        <v>2.1936428546905522</v>
      </c>
      <c r="AJ7" s="3">
        <v>1.462334990501404</v>
      </c>
    </row>
    <row r="8" spans="1:36" ht="14.5" x14ac:dyDescent="0.3">
      <c r="A8" s="4" t="s">
        <v>8</v>
      </c>
      <c r="B8" s="3">
        <v>1.077095031738281</v>
      </c>
      <c r="C8" s="3">
        <v>1.574870228767395</v>
      </c>
      <c r="D8" s="3">
        <v>0.79498946666717529</v>
      </c>
      <c r="E8" s="3">
        <v>1.565240740776062</v>
      </c>
      <c r="F8" s="3">
        <v>1.2065144777297969</v>
      </c>
      <c r="G8" s="3">
        <v>1.089632511138916</v>
      </c>
      <c r="H8" s="3">
        <v>1.296294689178467</v>
      </c>
      <c r="I8" s="3">
        <v>1.2471809387207029</v>
      </c>
      <c r="J8" s="3">
        <v>1.209376215934753</v>
      </c>
      <c r="K8" s="3">
        <v>1.6092090606689451</v>
      </c>
      <c r="L8" s="3">
        <v>1.027592539787292</v>
      </c>
      <c r="M8" s="3">
        <v>1.139960408210754</v>
      </c>
      <c r="N8" s="3">
        <v>1.3058451414108281</v>
      </c>
      <c r="O8" s="3">
        <v>1.468616127967834</v>
      </c>
      <c r="P8" s="3">
        <v>0.76304751634597778</v>
      </c>
      <c r="Q8" s="3">
        <v>0.79898685216903687</v>
      </c>
      <c r="R8" s="3">
        <v>0.99175256490707397</v>
      </c>
      <c r="S8" s="3">
        <v>1.1310633420944209</v>
      </c>
      <c r="T8" s="3">
        <v>1.338193535804749</v>
      </c>
      <c r="U8" s="3">
        <v>0.93363398313522339</v>
      </c>
      <c r="V8" s="3">
        <v>1.025170683860779</v>
      </c>
      <c r="W8" s="3">
        <v>1.1130861043930049</v>
      </c>
      <c r="X8" s="3">
        <v>1.353171825408936</v>
      </c>
      <c r="Y8" s="3">
        <v>1.1431398391723631</v>
      </c>
      <c r="Z8" s="3">
        <v>1.441969037055969</v>
      </c>
      <c r="AA8" s="3">
        <v>1.429099559783936</v>
      </c>
      <c r="AB8" s="3">
        <v>1.633111834526062</v>
      </c>
      <c r="AC8" s="3">
        <v>1.7034957408905029</v>
      </c>
      <c r="AD8" s="3">
        <v>1.007204055786133</v>
      </c>
      <c r="AE8" s="3">
        <v>1.2265892028808589</v>
      </c>
      <c r="AF8" s="3">
        <v>1.2873600721359251</v>
      </c>
      <c r="AG8" s="3">
        <v>0.48649817705154419</v>
      </c>
      <c r="AH8" s="3">
        <v>1.632905960083008</v>
      </c>
      <c r="AI8" s="3">
        <v>0.75497746467590332</v>
      </c>
      <c r="AJ8" s="3">
        <v>1.5334141254425051</v>
      </c>
    </row>
    <row r="9" spans="1:36" ht="14.5" x14ac:dyDescent="0.3">
      <c r="A9" s="4" t="s">
        <v>9</v>
      </c>
      <c r="B9" s="3">
        <v>1.1402162313461299</v>
      </c>
      <c r="C9" s="3">
        <v>0.93155348300933838</v>
      </c>
      <c r="D9" s="3">
        <v>1.5713125467300419</v>
      </c>
      <c r="E9" s="3">
        <v>1.0284321308135991</v>
      </c>
      <c r="F9" s="3">
        <v>1.6676557064056401</v>
      </c>
      <c r="G9" s="3">
        <v>1.433870792388916</v>
      </c>
      <c r="H9" s="3">
        <v>1.425654292106628</v>
      </c>
      <c r="I9" s="3">
        <v>1.0507216453552251</v>
      </c>
      <c r="J9" s="3">
        <v>1.137391090393066</v>
      </c>
      <c r="K9" s="3">
        <v>1.048341631889343</v>
      </c>
      <c r="L9" s="3">
        <v>1.0411001443862919</v>
      </c>
      <c r="M9" s="3">
        <v>1.2257182598114009</v>
      </c>
      <c r="N9" s="3">
        <v>1.242974638938904</v>
      </c>
      <c r="O9" s="3">
        <v>1.2785049676895139</v>
      </c>
      <c r="P9" s="3">
        <v>1.0176988840103149</v>
      </c>
      <c r="Q9" s="3">
        <v>0.82854437828063965</v>
      </c>
      <c r="R9" s="3">
        <v>1.16849672794342</v>
      </c>
      <c r="S9" s="3">
        <v>0.54335010051727295</v>
      </c>
      <c r="T9" s="3">
        <v>1.155275821685791</v>
      </c>
      <c r="U9" s="3">
        <v>1.1050339937210081</v>
      </c>
      <c r="V9" s="3">
        <v>1.521004915237427</v>
      </c>
      <c r="W9" s="3">
        <v>1.3522722721099849</v>
      </c>
      <c r="X9" s="3">
        <v>1.0933793783187871</v>
      </c>
      <c r="Y9" s="3">
        <v>1.3551551103591919</v>
      </c>
      <c r="Z9" s="3">
        <v>1.2238864898681641</v>
      </c>
      <c r="AA9" s="3">
        <v>1.2885949611663821</v>
      </c>
      <c r="AB9" s="3">
        <v>1.214758992195129</v>
      </c>
      <c r="AC9" s="3">
        <v>1.41802990436554</v>
      </c>
      <c r="AD9" s="3">
        <v>1.3588910102844241</v>
      </c>
      <c r="AE9" s="3">
        <v>0.79038751125335693</v>
      </c>
      <c r="AF9" s="3">
        <v>0.9505542516708374</v>
      </c>
      <c r="AG9" s="3">
        <v>1.2883725166320801</v>
      </c>
      <c r="AH9" s="3">
        <v>0.85014420747756958</v>
      </c>
      <c r="AI9" s="3">
        <v>0.95100557804107666</v>
      </c>
      <c r="AJ9" s="3">
        <v>2.7889683246612549</v>
      </c>
    </row>
    <row r="10" spans="1:36" ht="14.5" x14ac:dyDescent="0.3">
      <c r="A10" s="4" t="s">
        <v>10</v>
      </c>
      <c r="B10" s="3">
        <v>1.2293746471405029</v>
      </c>
      <c r="C10" s="3">
        <v>1.158592700958252</v>
      </c>
      <c r="D10" s="3">
        <v>1.097521305084229</v>
      </c>
      <c r="E10" s="3">
        <v>1.59110963344574</v>
      </c>
      <c r="F10" s="3">
        <v>1.063407778739929</v>
      </c>
      <c r="G10" s="3">
        <v>1.0728186368942261</v>
      </c>
      <c r="H10" s="3">
        <v>0.8388856053352356</v>
      </c>
      <c r="I10" s="3">
        <v>1.2972844839096069</v>
      </c>
      <c r="J10" s="3">
        <v>1.500888347625732</v>
      </c>
      <c r="K10" s="3">
        <v>1.2608709335327151</v>
      </c>
      <c r="L10" s="3">
        <v>1.243739128112793</v>
      </c>
      <c r="M10" s="3">
        <v>1.584093332290649</v>
      </c>
      <c r="N10" s="3">
        <v>0.96531343460083008</v>
      </c>
      <c r="O10" s="3">
        <v>1.255969882011414</v>
      </c>
      <c r="P10" s="3">
        <v>0.74698585271835327</v>
      </c>
      <c r="Q10" s="3">
        <v>0.91984099149703979</v>
      </c>
      <c r="R10" s="3">
        <v>1.3750342130661011</v>
      </c>
      <c r="S10" s="3">
        <v>0.8203389048576355</v>
      </c>
      <c r="T10" s="3">
        <v>1.5816279649734499</v>
      </c>
      <c r="U10" s="3">
        <v>2.903443336486816</v>
      </c>
      <c r="V10" s="3">
        <v>1.512860178947449</v>
      </c>
      <c r="W10" s="3">
        <v>1.554218173027039</v>
      </c>
      <c r="X10" s="3">
        <v>1.376510858535767</v>
      </c>
      <c r="Y10" s="3">
        <v>0.98939806222915649</v>
      </c>
      <c r="Z10" s="3">
        <v>1.3743200302124019</v>
      </c>
      <c r="AA10" s="3">
        <v>1.2669357061386111</v>
      </c>
      <c r="AB10" s="3">
        <v>1.4971659183502199</v>
      </c>
      <c r="AC10" s="3">
        <v>0.96014976501464844</v>
      </c>
      <c r="AD10" s="3">
        <v>1.216704726219177</v>
      </c>
      <c r="AE10" s="3">
        <v>0.89109325408935547</v>
      </c>
      <c r="AF10" s="3">
        <v>1.280702471733093</v>
      </c>
      <c r="AG10" s="3">
        <v>1.2393277883529661</v>
      </c>
      <c r="AH10" s="3">
        <v>1.1254187822341919</v>
      </c>
      <c r="AI10" s="3">
        <v>1.78328001499176</v>
      </c>
      <c r="AJ10" s="3">
        <v>0.87685859203338623</v>
      </c>
    </row>
    <row r="11" spans="1:36" ht="14.5" x14ac:dyDescent="0.3">
      <c r="A11" s="4" t="s">
        <v>11</v>
      </c>
      <c r="B11" s="3">
        <v>1.082216739654541</v>
      </c>
      <c r="C11" s="3">
        <v>0.62773770093917847</v>
      </c>
      <c r="D11" s="3">
        <v>1.12408459186554</v>
      </c>
      <c r="E11" s="3">
        <v>0.855904221534729</v>
      </c>
      <c r="F11" s="3">
        <v>0.92809027433395386</v>
      </c>
      <c r="G11" s="3">
        <v>1.391598582267761</v>
      </c>
      <c r="H11" s="3">
        <v>0.72495138645172119</v>
      </c>
      <c r="I11" s="3">
        <v>0.98344600200653076</v>
      </c>
      <c r="J11" s="3">
        <v>0.62628960609436035</v>
      </c>
      <c r="K11" s="3">
        <v>1.163049459457397</v>
      </c>
      <c r="L11" s="3">
        <v>1.106145977973938</v>
      </c>
      <c r="M11" s="3">
        <v>0.99437671899795532</v>
      </c>
      <c r="N11" s="3">
        <v>0.71055573225021362</v>
      </c>
      <c r="O11" s="3">
        <v>0.87524878978729248</v>
      </c>
      <c r="P11" s="3">
        <v>1.1399375200271611</v>
      </c>
      <c r="Q11" s="3">
        <v>1.0409412384033201</v>
      </c>
      <c r="R11" s="3">
        <v>0.76333940029144287</v>
      </c>
      <c r="S11" s="3">
        <v>0.58034908771514893</v>
      </c>
      <c r="T11" s="3">
        <v>0.92204636335372925</v>
      </c>
      <c r="U11" s="3">
        <v>0.75140392780303955</v>
      </c>
      <c r="V11" s="3">
        <v>1.10801112651825</v>
      </c>
      <c r="W11" s="3">
        <v>0.78705018758773804</v>
      </c>
      <c r="X11" s="3">
        <v>0.6973077654838562</v>
      </c>
      <c r="Y11" s="3">
        <v>2.0857832431793208</v>
      </c>
      <c r="Z11" s="3">
        <v>0.96793669462203979</v>
      </c>
      <c r="AA11" s="3">
        <v>1.1665997505187991</v>
      </c>
      <c r="AB11" s="3">
        <v>1.4547945261001589</v>
      </c>
      <c r="AC11" s="3">
        <v>0.82387906312942505</v>
      </c>
      <c r="AD11" s="3">
        <v>1.038490772247314</v>
      </c>
      <c r="AE11" s="3">
        <v>1.065601229667664</v>
      </c>
      <c r="AF11" s="3">
        <v>0.89859467744827271</v>
      </c>
      <c r="AG11" s="3">
        <v>0.67210417985916138</v>
      </c>
      <c r="AH11" s="3">
        <v>0.64252197742462158</v>
      </c>
      <c r="AI11" s="3">
        <v>0.78906559944152832</v>
      </c>
      <c r="AJ11" s="3">
        <v>0.81265389919281006</v>
      </c>
    </row>
    <row r="12" spans="1:36" ht="14.5" x14ac:dyDescent="0.3">
      <c r="A12" s="4" t="s">
        <v>12</v>
      </c>
      <c r="B12" s="3">
        <v>1.472630620002747</v>
      </c>
      <c r="C12" s="3">
        <v>1.6348040103912349</v>
      </c>
      <c r="D12" s="3">
        <v>1.1534373760223391</v>
      </c>
      <c r="E12" s="3">
        <v>1.175451278686523</v>
      </c>
      <c r="F12" s="3">
        <v>1.732568025588989</v>
      </c>
      <c r="G12" s="3">
        <v>0.77336382865905762</v>
      </c>
      <c r="H12" s="3">
        <v>1.851236939430237</v>
      </c>
      <c r="I12" s="3">
        <v>1.8764408826828001</v>
      </c>
      <c r="J12" s="3">
        <v>1.4903653860092161</v>
      </c>
      <c r="K12" s="3">
        <v>1.3342857360839839</v>
      </c>
      <c r="L12" s="3">
        <v>1.153674840927124</v>
      </c>
      <c r="M12" s="3">
        <v>1.4253420829772949</v>
      </c>
      <c r="N12" s="3">
        <v>1.347842693328857</v>
      </c>
      <c r="O12" s="3">
        <v>1.3593719005584719</v>
      </c>
      <c r="P12" s="3">
        <v>1.567245721817017</v>
      </c>
      <c r="Q12" s="3">
        <v>0.71466726064682007</v>
      </c>
      <c r="R12" s="3">
        <v>1.6528429985046389</v>
      </c>
      <c r="S12" s="3">
        <v>0.96206492185592651</v>
      </c>
      <c r="T12" s="3">
        <v>0.70628196001052856</v>
      </c>
      <c r="U12" s="3">
        <v>1.185465335845947</v>
      </c>
      <c r="V12" s="3">
        <v>1.3478596210479741</v>
      </c>
      <c r="W12" s="3">
        <v>1.4827084541320801</v>
      </c>
      <c r="X12" s="3">
        <v>1.35966956615448</v>
      </c>
      <c r="Y12" s="3">
        <v>1.3864670991897581</v>
      </c>
      <c r="Z12" s="3">
        <v>0.71801406145095825</v>
      </c>
      <c r="AA12" s="3">
        <v>1.04174792766571</v>
      </c>
      <c r="AB12" s="3">
        <v>1.3350372314453121</v>
      </c>
      <c r="AC12" s="3">
        <v>1.171932578086853</v>
      </c>
      <c r="AD12" s="3">
        <v>1.391845107078552</v>
      </c>
      <c r="AE12" s="3">
        <v>1.7104722261428831</v>
      </c>
      <c r="AF12" s="3">
        <v>1.3256993293762209</v>
      </c>
      <c r="AG12" s="3">
        <v>0.8326689600944519</v>
      </c>
      <c r="AH12" s="3">
        <v>0.91060256958007813</v>
      </c>
      <c r="AI12" s="3">
        <v>0.9634239673614502</v>
      </c>
      <c r="AJ12" s="3">
        <v>1.340015053749084</v>
      </c>
    </row>
    <row r="13" spans="1:36" ht="14.5" x14ac:dyDescent="0.3">
      <c r="A13" s="4" t="s">
        <v>13</v>
      </c>
      <c r="B13" s="3">
        <v>1.8566199541091919</v>
      </c>
      <c r="C13" s="3">
        <v>2.238118171691895</v>
      </c>
      <c r="D13" s="3">
        <v>2.486784934997559</v>
      </c>
      <c r="E13" s="3">
        <v>2.7393310070037842</v>
      </c>
      <c r="F13" s="3">
        <v>2.6046042442321782</v>
      </c>
      <c r="G13" s="3">
        <v>2.1100368499755859</v>
      </c>
      <c r="H13" s="3">
        <v>1.810400724411011</v>
      </c>
      <c r="I13" s="3">
        <v>1.908769965171814</v>
      </c>
      <c r="J13" s="3">
        <v>1.4528733491897581</v>
      </c>
      <c r="K13" s="3">
        <v>1.828703761100769</v>
      </c>
      <c r="L13" s="3">
        <v>2.013385534286499</v>
      </c>
      <c r="M13" s="3">
        <v>2.4111061096191411</v>
      </c>
      <c r="N13" s="3">
        <v>1.7033141851425171</v>
      </c>
      <c r="O13" s="3">
        <v>1.5662586688995359</v>
      </c>
      <c r="P13" s="3">
        <v>2.2800054550170898</v>
      </c>
      <c r="Q13" s="3">
        <v>2.1361680030822749</v>
      </c>
      <c r="R13" s="3">
        <v>1.66782546043396</v>
      </c>
      <c r="S13" s="3">
        <v>2.4078981876373291</v>
      </c>
      <c r="T13" s="3">
        <v>1.5869846343994141</v>
      </c>
      <c r="U13" s="3">
        <v>2.0374610424041748</v>
      </c>
      <c r="V13" s="3">
        <v>1.8228651285171511</v>
      </c>
      <c r="W13" s="3">
        <v>2.0773360729217529</v>
      </c>
      <c r="X13" s="3">
        <v>3.0163180828094478</v>
      </c>
      <c r="Y13" s="3">
        <v>1.9230597019195561</v>
      </c>
      <c r="Z13" s="3">
        <v>2.206148624420166</v>
      </c>
      <c r="AA13" s="3">
        <v>1.037015318870544</v>
      </c>
      <c r="AB13" s="3">
        <v>3.0200626850128169</v>
      </c>
      <c r="AC13" s="3">
        <v>2.153834342956543</v>
      </c>
      <c r="AD13" s="3">
        <v>2.156186580657959</v>
      </c>
      <c r="AE13" s="3">
        <v>2.1093041896820068</v>
      </c>
      <c r="AF13" s="3">
        <v>1.8072401285171511</v>
      </c>
      <c r="AG13" s="3">
        <v>2.3446145057678218</v>
      </c>
      <c r="AH13" s="3">
        <v>2.1959588527679439</v>
      </c>
      <c r="AI13" s="3">
        <v>2.304385662078857</v>
      </c>
      <c r="AJ13" s="3">
        <v>1.2161968946456909</v>
      </c>
    </row>
    <row r="14" spans="1:36" ht="14.5" x14ac:dyDescent="0.3">
      <c r="A14" s="4" t="s">
        <v>14</v>
      </c>
      <c r="B14" s="3">
        <v>2.3581159114837651</v>
      </c>
      <c r="C14" s="3">
        <v>2.7032706737518311</v>
      </c>
      <c r="D14" s="3">
        <v>2.394019603729248</v>
      </c>
      <c r="E14" s="3">
        <v>2.2763996124267578</v>
      </c>
      <c r="F14" s="3">
        <v>2.187080860137939</v>
      </c>
      <c r="G14" s="3">
        <v>2.4470772743225102</v>
      </c>
      <c r="H14" s="3">
        <v>1.940568089485168</v>
      </c>
      <c r="I14" s="3">
        <v>1.9174150228500371</v>
      </c>
      <c r="J14" s="3">
        <v>1.9702684879302981</v>
      </c>
      <c r="K14" s="3">
        <v>2.0730020999908452</v>
      </c>
      <c r="L14" s="3">
        <v>1.9066363573074341</v>
      </c>
      <c r="M14" s="3">
        <v>2.2591004371643071</v>
      </c>
      <c r="N14" s="3">
        <v>1.802762985229492</v>
      </c>
      <c r="O14" s="3">
        <v>1.982011079788208</v>
      </c>
      <c r="P14" s="3">
        <v>2.1870725154876709</v>
      </c>
      <c r="Q14" s="3">
        <v>2.7959105968475342</v>
      </c>
      <c r="R14" s="3">
        <v>1.5506840944290159</v>
      </c>
      <c r="S14" s="3">
        <v>2.0243363380432129</v>
      </c>
      <c r="T14" s="3">
        <v>1.992811799049377</v>
      </c>
      <c r="U14" s="3">
        <v>1.847583532333374</v>
      </c>
      <c r="V14" s="3">
        <v>1.4994686841964719</v>
      </c>
      <c r="W14" s="3">
        <v>3.9519650936126709</v>
      </c>
      <c r="X14" s="3">
        <v>1.7942206859588621</v>
      </c>
      <c r="Y14" s="3">
        <v>1.4619584083557129</v>
      </c>
      <c r="Z14" s="3">
        <v>2.0513396263122559</v>
      </c>
      <c r="AA14" s="3">
        <v>1.3210405111312871</v>
      </c>
      <c r="AB14" s="3">
        <v>1.783692479133606</v>
      </c>
      <c r="AC14" s="3">
        <v>1.7837092876434331</v>
      </c>
      <c r="AD14" s="3">
        <v>1.6991474628448491</v>
      </c>
      <c r="AE14" s="3">
        <v>1.6638526916503911</v>
      </c>
      <c r="AF14" s="3">
        <v>1.3933379650115969</v>
      </c>
      <c r="AG14" s="3">
        <v>1.4377856254577639</v>
      </c>
      <c r="AH14" s="3">
        <v>1.6818723678588869</v>
      </c>
      <c r="AI14" s="3">
        <v>3.065041065216064</v>
      </c>
      <c r="AJ14" s="3">
        <v>2.808948278427124</v>
      </c>
    </row>
    <row r="15" spans="1:36" ht="14.5" x14ac:dyDescent="0.3">
      <c r="A15" s="4" t="s">
        <v>15</v>
      </c>
      <c r="B15" s="3">
        <v>1.5964978933334351</v>
      </c>
      <c r="C15" s="3">
        <v>1.201033234596252</v>
      </c>
      <c r="D15" s="3">
        <v>1.399904251098633</v>
      </c>
      <c r="E15" s="3">
        <v>1.5410773754119871</v>
      </c>
      <c r="F15" s="3">
        <v>1.1873335838317871</v>
      </c>
      <c r="G15" s="3">
        <v>1.1708143949508669</v>
      </c>
      <c r="H15" s="3">
        <v>1.314858555793762</v>
      </c>
      <c r="I15" s="3">
        <v>1.2916111946105959</v>
      </c>
      <c r="J15" s="3">
        <v>1.1624013185501101</v>
      </c>
      <c r="K15" s="3">
        <v>2.3608143329620361</v>
      </c>
      <c r="L15" s="3">
        <v>1.5381671190261841</v>
      </c>
      <c r="M15" s="3">
        <v>2.0201196670532231</v>
      </c>
      <c r="N15" s="3">
        <v>1.524198532104492</v>
      </c>
      <c r="O15" s="3">
        <v>1.135291218757629</v>
      </c>
      <c r="P15" s="3">
        <v>1.8622323274612429</v>
      </c>
      <c r="Q15" s="3">
        <v>0.59908777475357056</v>
      </c>
      <c r="R15" s="3">
        <v>1.694149494171143</v>
      </c>
      <c r="S15" s="3">
        <v>1.7038567066192629</v>
      </c>
      <c r="T15" s="3">
        <v>1.484158396720886</v>
      </c>
      <c r="U15" s="3">
        <v>0.76646119356155396</v>
      </c>
      <c r="V15" s="3">
        <v>2.3948297500610352</v>
      </c>
      <c r="W15" s="3">
        <v>1.4946926832199099</v>
      </c>
      <c r="X15" s="3">
        <v>1.1804943084716799</v>
      </c>
      <c r="Y15" s="3">
        <v>1.569720983505249</v>
      </c>
      <c r="Z15" s="3">
        <v>1.5811642408370969</v>
      </c>
      <c r="AA15" s="3">
        <v>1.373952984809875</v>
      </c>
      <c r="AB15" s="3">
        <v>2.2264986038208008</v>
      </c>
      <c r="AC15" s="3">
        <v>0.85398375988006592</v>
      </c>
      <c r="AD15" s="3">
        <v>1.423442482948303</v>
      </c>
      <c r="AE15" s="3">
        <v>1.3841860294342041</v>
      </c>
      <c r="AF15" s="3">
        <v>1.1730455160140989</v>
      </c>
      <c r="AG15" s="3">
        <v>1.302610516548157</v>
      </c>
      <c r="AH15" s="3">
        <v>2.077325582504272</v>
      </c>
      <c r="AI15" s="3">
        <v>1.363089442253113</v>
      </c>
      <c r="AJ15" s="3">
        <v>1.141839861869812</v>
      </c>
    </row>
    <row r="16" spans="1:36" ht="14.5" x14ac:dyDescent="0.3">
      <c r="A16" s="4" t="s">
        <v>16</v>
      </c>
      <c r="B16" s="3">
        <v>1.641333222389221</v>
      </c>
      <c r="C16" s="3">
        <v>1.3569750785827639</v>
      </c>
      <c r="D16" s="3">
        <v>2.4413716793060298</v>
      </c>
      <c r="E16" s="3">
        <v>1.297576308250427</v>
      </c>
      <c r="F16" s="3">
        <v>1.5653325319290159</v>
      </c>
      <c r="G16" s="3">
        <v>0.94948190450668335</v>
      </c>
      <c r="H16" s="3">
        <v>1.5746409893035891</v>
      </c>
      <c r="I16" s="3">
        <v>1.8800415992736821</v>
      </c>
      <c r="J16" s="3">
        <v>1.0220011472702031</v>
      </c>
      <c r="K16" s="3">
        <v>0.89206111431121826</v>
      </c>
      <c r="L16" s="3">
        <v>1.0327328443527219</v>
      </c>
      <c r="M16" s="3">
        <v>1.994516968727112</v>
      </c>
      <c r="N16" s="3">
        <v>1.072803735733032</v>
      </c>
      <c r="O16" s="3">
        <v>1.095718145370483</v>
      </c>
      <c r="P16" s="3">
        <v>1.4914577007293699</v>
      </c>
      <c r="Q16" s="3">
        <v>1.604506731033325</v>
      </c>
      <c r="R16" s="3">
        <v>1.679097652435303</v>
      </c>
      <c r="S16" s="3">
        <v>2.4737963676452641</v>
      </c>
      <c r="T16" s="3">
        <v>1.0891571044921879</v>
      </c>
      <c r="U16" s="3">
        <v>1.225002765655518</v>
      </c>
      <c r="V16" s="3">
        <v>1.747550487518311</v>
      </c>
      <c r="W16" s="3">
        <v>2.1432487964630131</v>
      </c>
      <c r="X16" s="3">
        <v>1.138511657714844</v>
      </c>
      <c r="Y16" s="3">
        <v>2.242706298828125</v>
      </c>
      <c r="Z16" s="3">
        <v>0.51678144931793213</v>
      </c>
      <c r="AA16" s="3">
        <v>2.040267705917358</v>
      </c>
      <c r="AB16" s="3">
        <v>0.79855519533157349</v>
      </c>
      <c r="AC16" s="3">
        <v>1.591834545135498</v>
      </c>
      <c r="AD16" s="3">
        <v>1.879514813423157</v>
      </c>
      <c r="AE16" s="3">
        <v>1.878929615020752</v>
      </c>
      <c r="AF16" s="3">
        <v>2.2271726131439209</v>
      </c>
      <c r="AG16" s="3">
        <v>2.1010346412658691</v>
      </c>
      <c r="AH16" s="3">
        <v>1.538000822067261</v>
      </c>
      <c r="AI16" s="3">
        <v>1.993748784065247</v>
      </c>
      <c r="AJ16" s="3">
        <v>0.82584965229034424</v>
      </c>
    </row>
    <row r="17" spans="1:36" ht="14.5" x14ac:dyDescent="0.3">
      <c r="A17" s="4" t="s">
        <v>17</v>
      </c>
      <c r="B17" s="3">
        <v>1.5116086006164551</v>
      </c>
      <c r="C17" s="3">
        <v>1.394527673721313</v>
      </c>
      <c r="D17" s="3">
        <v>1.619987368583679</v>
      </c>
      <c r="E17" s="3">
        <v>0.77818173170089722</v>
      </c>
      <c r="F17" s="3">
        <v>0.69331187009811401</v>
      </c>
      <c r="G17" s="3">
        <v>1.433870792388916</v>
      </c>
      <c r="H17" s="3">
        <v>0.82587432861328125</v>
      </c>
      <c r="I17" s="3">
        <v>1.268871665000916</v>
      </c>
      <c r="J17" s="3">
        <v>1.189869284629822</v>
      </c>
      <c r="K17" s="3">
        <v>1.584806442260742</v>
      </c>
      <c r="L17" s="3">
        <v>1.2761267423629761</v>
      </c>
      <c r="M17" s="3">
        <v>0.81220000982284546</v>
      </c>
      <c r="N17" s="3">
        <v>2.45344066619873</v>
      </c>
      <c r="O17" s="3">
        <v>0.79787600040435791</v>
      </c>
      <c r="P17" s="3">
        <v>0.95621627569198608</v>
      </c>
      <c r="Q17" s="3">
        <v>0.98936516046524048</v>
      </c>
      <c r="R17" s="3">
        <v>1.074120879173279</v>
      </c>
      <c r="S17" s="3">
        <v>1.145511150360107</v>
      </c>
      <c r="T17" s="3">
        <v>1.106220960617065</v>
      </c>
      <c r="U17" s="3">
        <v>1.6052641868591311</v>
      </c>
      <c r="V17" s="3">
        <v>1.045042037963867</v>
      </c>
      <c r="W17" s="3">
        <v>1.473637580871582</v>
      </c>
      <c r="X17" s="3">
        <v>1.45586109161377</v>
      </c>
      <c r="Y17" s="3">
        <v>1.2879699468612671</v>
      </c>
      <c r="Z17" s="3">
        <v>0.86510592699050903</v>
      </c>
      <c r="AA17" s="3">
        <v>1.393847703933716</v>
      </c>
      <c r="AB17" s="3">
        <v>0.89309084415435791</v>
      </c>
      <c r="AC17" s="3">
        <v>0.89106881618499756</v>
      </c>
      <c r="AD17" s="3">
        <v>1.469708919525146</v>
      </c>
      <c r="AE17" s="3">
        <v>1.1549638509750371</v>
      </c>
      <c r="AF17" s="3">
        <v>1.2548457384109499</v>
      </c>
      <c r="AG17" s="3">
        <v>1.247487425804138</v>
      </c>
      <c r="AH17" s="3">
        <v>0.96091306209564209</v>
      </c>
      <c r="AI17" s="3">
        <v>1.2640314102172849</v>
      </c>
      <c r="AJ17" s="3">
        <v>1.109449625015259</v>
      </c>
    </row>
    <row r="18" spans="1:36" ht="14.5" x14ac:dyDescent="0.3">
      <c r="A18" s="4" t="s">
        <v>18</v>
      </c>
      <c r="B18" s="3">
        <v>1.497326016426086</v>
      </c>
      <c r="C18" s="3">
        <v>1.083452463150024</v>
      </c>
      <c r="D18" s="3">
        <v>1.0389958620071409</v>
      </c>
      <c r="E18" s="3">
        <v>0.8983619213104248</v>
      </c>
      <c r="F18" s="3">
        <v>1.609276294708252</v>
      </c>
      <c r="G18" s="3">
        <v>0.87682104110717773</v>
      </c>
      <c r="H18" s="3">
        <v>0.9227750301361084</v>
      </c>
      <c r="I18" s="3">
        <v>1.2288858890533449</v>
      </c>
      <c r="J18" s="3">
        <v>0.52679872512817383</v>
      </c>
      <c r="K18" s="3">
        <v>1.4070115089416499</v>
      </c>
      <c r="L18" s="3">
        <v>0.96797871589660645</v>
      </c>
      <c r="M18" s="3">
        <v>0.9142189621925354</v>
      </c>
      <c r="N18" s="3">
        <v>1.1352914571762081</v>
      </c>
      <c r="O18" s="3">
        <v>0.96663910150527954</v>
      </c>
      <c r="P18" s="3">
        <v>0.8176085352897644</v>
      </c>
      <c r="Q18" s="3">
        <v>1.5052318572998049</v>
      </c>
      <c r="R18" s="3">
        <v>1.085856080055237</v>
      </c>
      <c r="S18" s="3">
        <v>0.71469712257385254</v>
      </c>
      <c r="T18" s="3">
        <v>1.0913246870040889</v>
      </c>
      <c r="U18" s="3">
        <v>1.054115414619446</v>
      </c>
      <c r="V18" s="3">
        <v>0.85695737600326538</v>
      </c>
      <c r="W18" s="3">
        <v>1.644986629486084</v>
      </c>
      <c r="X18" s="3">
        <v>1.3815333843231199</v>
      </c>
      <c r="Y18" s="3">
        <v>1.4244674444198611</v>
      </c>
      <c r="Z18" s="3">
        <v>1.039519190788269</v>
      </c>
      <c r="AA18" s="3">
        <v>1.225723505020142</v>
      </c>
      <c r="AB18" s="3">
        <v>1.405785441398621</v>
      </c>
      <c r="AC18" s="3">
        <v>0.92322498559951782</v>
      </c>
      <c r="AD18" s="3">
        <v>1.04196560382843</v>
      </c>
      <c r="AE18" s="3">
        <v>0.95480966567993164</v>
      </c>
      <c r="AF18" s="3">
        <v>1.0535445213317871</v>
      </c>
      <c r="AG18" s="3">
        <v>1.105613708496094</v>
      </c>
      <c r="AH18" s="3">
        <v>0.88777905702590942</v>
      </c>
      <c r="AI18" s="3">
        <v>1.210912227630615</v>
      </c>
      <c r="AJ18" s="3">
        <v>0.90368616580963135</v>
      </c>
    </row>
    <row r="19" spans="1:36" ht="14.5" x14ac:dyDescent="0.3">
      <c r="A19" s="4" t="s">
        <v>19</v>
      </c>
      <c r="B19" s="3">
        <v>1.6929600238800051</v>
      </c>
      <c r="C19" s="3">
        <v>1.7317876815795901</v>
      </c>
      <c r="D19" s="3">
        <v>1.4687767028808589</v>
      </c>
      <c r="E19" s="3">
        <v>1.3514471054077151</v>
      </c>
      <c r="F19" s="3">
        <v>2.1364281177520752</v>
      </c>
      <c r="G19" s="3">
        <v>1.4195655584335329</v>
      </c>
      <c r="H19" s="3">
        <v>1.645074248313904</v>
      </c>
      <c r="I19" s="3">
        <v>2.1344821453094478</v>
      </c>
      <c r="J19" s="3">
        <v>1.0354657173156741</v>
      </c>
      <c r="K19" s="3">
        <v>1.825876712799072</v>
      </c>
      <c r="L19" s="3">
        <v>1.7248086929321289</v>
      </c>
      <c r="M19" s="3">
        <v>0.55674415826797485</v>
      </c>
      <c r="N19" s="3">
        <v>1.8871196508407591</v>
      </c>
      <c r="O19" s="3">
        <v>1.593575239181519</v>
      </c>
      <c r="P19" s="3">
        <v>1.1893303394317629</v>
      </c>
      <c r="Q19" s="3">
        <v>1.9428539276123049</v>
      </c>
      <c r="R19" s="3">
        <v>1.275937557220459</v>
      </c>
      <c r="S19" s="3">
        <v>1.647257804870605</v>
      </c>
      <c r="T19" s="3">
        <v>1.642277717590332</v>
      </c>
      <c r="U19" s="3">
        <v>2.4718976020812988</v>
      </c>
      <c r="V19" s="3">
        <v>1.019640445709229</v>
      </c>
      <c r="W19" s="3">
        <v>1.3037958145141599</v>
      </c>
      <c r="X19" s="3">
        <v>1.42838990688324</v>
      </c>
      <c r="Y19" s="3">
        <v>1.119983434677124</v>
      </c>
      <c r="Z19" s="3">
        <v>1.800101161003113</v>
      </c>
      <c r="AA19" s="3">
        <v>1.904738187789917</v>
      </c>
      <c r="AB19" s="3">
        <v>1.130046606063843</v>
      </c>
      <c r="AC19" s="3">
        <v>1.8563098907470701</v>
      </c>
      <c r="AD19" s="3">
        <v>1.211712241172791</v>
      </c>
      <c r="AE19" s="3">
        <v>0.97480010986328125</v>
      </c>
      <c r="AF19" s="3">
        <v>1.9011270999908449</v>
      </c>
      <c r="AG19" s="3">
        <v>1.170370936393738</v>
      </c>
      <c r="AH19" s="3">
        <v>1.924249053001404</v>
      </c>
      <c r="AI19" s="3">
        <v>0.80934286117553711</v>
      </c>
      <c r="AJ19" s="3">
        <v>1.079556465148926</v>
      </c>
    </row>
    <row r="20" spans="1:36" ht="14.5" x14ac:dyDescent="0.3">
      <c r="A20" s="4" t="s">
        <v>20</v>
      </c>
      <c r="B20" s="3">
        <v>1.437487006187439</v>
      </c>
      <c r="C20" s="3">
        <v>1.484406471252441</v>
      </c>
      <c r="D20" s="3">
        <v>0.82158315181732178</v>
      </c>
      <c r="E20" s="3">
        <v>1.5819211006164551</v>
      </c>
      <c r="F20" s="3">
        <v>1.1998904943466191</v>
      </c>
      <c r="G20" s="3">
        <v>1.354226350784302</v>
      </c>
      <c r="H20" s="3">
        <v>2.4786243438720699</v>
      </c>
      <c r="I20" s="3">
        <v>1.042975544929504</v>
      </c>
      <c r="J20" s="3">
        <v>1.372811079025269</v>
      </c>
      <c r="K20" s="3">
        <v>1.2770067453384399</v>
      </c>
      <c r="L20" s="3">
        <v>1.4749816656112671</v>
      </c>
      <c r="M20" s="3">
        <v>1.231170773506165</v>
      </c>
      <c r="N20" s="3">
        <v>1.157543897628784</v>
      </c>
      <c r="O20" s="3">
        <v>1.327570796012878</v>
      </c>
      <c r="P20" s="3">
        <v>1.536518812179565</v>
      </c>
      <c r="Q20" s="3">
        <v>1.3297410011291499</v>
      </c>
      <c r="R20" s="3">
        <v>1.342149615287781</v>
      </c>
      <c r="S20" s="3">
        <v>1.3240377902984619</v>
      </c>
      <c r="T20" s="3">
        <v>0.8665352463722229</v>
      </c>
      <c r="U20" s="3">
        <v>0.70616728067398071</v>
      </c>
      <c r="V20" s="3">
        <v>1.4393612146377559</v>
      </c>
      <c r="W20" s="3">
        <v>1.164652347564697</v>
      </c>
      <c r="X20" s="3">
        <v>1.139926075935364</v>
      </c>
      <c r="Y20" s="3">
        <v>0.82059955596923828</v>
      </c>
      <c r="Z20" s="3">
        <v>1.3674196004867549</v>
      </c>
      <c r="AA20" s="3">
        <v>0.99080508947372437</v>
      </c>
      <c r="AB20" s="3">
        <v>1.84721314907074</v>
      </c>
      <c r="AC20" s="3">
        <v>1.080218553543091</v>
      </c>
      <c r="AD20" s="3">
        <v>1.2218765020370479</v>
      </c>
      <c r="AE20" s="3">
        <v>0.99653065204620361</v>
      </c>
      <c r="AF20" s="3">
        <v>1.340625524520874</v>
      </c>
      <c r="AG20" s="3">
        <v>0.79210573434829712</v>
      </c>
      <c r="AH20" s="3">
        <v>1.5587542057037349</v>
      </c>
      <c r="AI20" s="3">
        <v>1.024778366088867</v>
      </c>
      <c r="AJ20" s="3">
        <v>1.32340395450592</v>
      </c>
    </row>
    <row r="21" spans="1:36" ht="14.5" x14ac:dyDescent="0.3">
      <c r="A21" s="4" t="s">
        <v>21</v>
      </c>
      <c r="B21" s="3">
        <v>0.9194977879524231</v>
      </c>
      <c r="C21" s="3">
        <v>0.81077355146408081</v>
      </c>
      <c r="D21" s="3">
        <v>1.1287157535552981</v>
      </c>
      <c r="E21" s="3">
        <v>1.1401268243789671</v>
      </c>
      <c r="F21" s="3">
        <v>1.198950529098511</v>
      </c>
      <c r="G21" s="3">
        <v>0.85419052839279175</v>
      </c>
      <c r="H21" s="3">
        <v>1.118755102157593</v>
      </c>
      <c r="I21" s="3">
        <v>0.68282955884933472</v>
      </c>
      <c r="J21" s="3">
        <v>1.165559649467468</v>
      </c>
      <c r="K21" s="3">
        <v>1.0280123949050901</v>
      </c>
      <c r="L21" s="3">
        <v>1.8003324270248411</v>
      </c>
      <c r="M21" s="3">
        <v>1.101659297943115</v>
      </c>
      <c r="N21" s="3">
        <v>1.146901488304138</v>
      </c>
      <c r="O21" s="3">
        <v>0.73301321268081665</v>
      </c>
      <c r="P21" s="3">
        <v>0.8283001184463501</v>
      </c>
      <c r="Q21" s="3">
        <v>1.3558288812637329</v>
      </c>
      <c r="R21" s="3">
        <v>0.9380912184715271</v>
      </c>
      <c r="S21" s="3">
        <v>1.3458505868911741</v>
      </c>
      <c r="T21" s="3">
        <v>1.0377098321914671</v>
      </c>
      <c r="U21" s="3">
        <v>1.3984746932983401</v>
      </c>
      <c r="V21" s="3">
        <v>0.90401172637939453</v>
      </c>
      <c r="W21" s="3">
        <v>1.193138599395752</v>
      </c>
      <c r="X21" s="3">
        <v>0.84694027900695801</v>
      </c>
      <c r="Y21" s="3">
        <v>1.3058650493621831</v>
      </c>
      <c r="Z21" s="3">
        <v>0.84637266397476196</v>
      </c>
      <c r="AA21" s="3">
        <v>1.549329876899719</v>
      </c>
      <c r="AB21" s="3">
        <v>1.2367346286773679</v>
      </c>
      <c r="AC21" s="3">
        <v>1.45846951007843</v>
      </c>
      <c r="AD21" s="3">
        <v>1.1093543767929079</v>
      </c>
      <c r="AE21" s="3">
        <v>1.445438504219055</v>
      </c>
      <c r="AF21" s="3">
        <v>1.6766208410263059</v>
      </c>
      <c r="AG21" s="3">
        <v>1.6255326271057129</v>
      </c>
      <c r="AH21" s="3">
        <v>1.1100031137466431</v>
      </c>
      <c r="AI21" s="3">
        <v>1.2294726371765139</v>
      </c>
      <c r="AJ21" s="3">
        <v>0.50493776798248291</v>
      </c>
    </row>
  </sheetData>
  <pageMargins left="0.75" right="0.75" top="1" bottom="1" header="0.5" footer="0.5"/>
  <headerFooter>
    <oddFooter>&amp;R_x000D_&amp;1#&amp;"Calibri"&amp;9&amp;K000000 Ierobežotas pieejamības ārēja informācija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D03F-6192-4620-A1D1-F20E5B3D2B66}">
  <dimension ref="A1:AJ21"/>
  <sheetViews>
    <sheetView workbookViewId="0">
      <selection activeCell="A26" activeCellId="6" sqref="A6:XFD6 A13:XFD13 A16:XFD16 A20:XFD20 A22:XFD22 A25:XFD25 A26:XFD26"/>
    </sheetView>
  </sheetViews>
  <sheetFormatPr defaultRowHeight="14" x14ac:dyDescent="0.3"/>
  <cols>
    <col min="1" max="1" width="18.26953125" style="3" customWidth="1"/>
    <col min="2" max="16384" width="8.7265625" style="3"/>
  </cols>
  <sheetData>
    <row r="1" spans="1:36" ht="14.5" x14ac:dyDescent="0.3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</row>
    <row r="2" spans="1:36" ht="14.5" x14ac:dyDescent="0.3">
      <c r="A2" s="4" t="s">
        <v>1</v>
      </c>
      <c r="B2" s="3">
        <v>2</v>
      </c>
      <c r="C2" s="3">
        <v>2</v>
      </c>
      <c r="D2" s="3">
        <v>1</v>
      </c>
      <c r="E2" s="3">
        <v>1</v>
      </c>
      <c r="F2" s="3">
        <v>2</v>
      </c>
      <c r="G2" s="3">
        <v>4</v>
      </c>
      <c r="H2" s="3">
        <v>3</v>
      </c>
      <c r="I2" s="3">
        <v>0</v>
      </c>
      <c r="J2" s="3">
        <v>2</v>
      </c>
      <c r="K2" s="3">
        <v>0</v>
      </c>
      <c r="L2" s="3">
        <v>1</v>
      </c>
      <c r="M2" s="3">
        <v>3</v>
      </c>
      <c r="N2" s="3">
        <v>5</v>
      </c>
      <c r="O2" s="3">
        <v>2</v>
      </c>
      <c r="P2" s="3">
        <v>1</v>
      </c>
      <c r="Q2" s="3">
        <v>0</v>
      </c>
      <c r="R2" s="3">
        <v>5</v>
      </c>
      <c r="S2" s="3">
        <v>1</v>
      </c>
      <c r="T2" s="3">
        <v>3</v>
      </c>
      <c r="U2" s="3">
        <v>1</v>
      </c>
      <c r="V2" s="3">
        <v>2</v>
      </c>
      <c r="W2" s="3">
        <v>2</v>
      </c>
      <c r="X2" s="3">
        <v>1</v>
      </c>
      <c r="Y2" s="3">
        <v>5</v>
      </c>
      <c r="Z2" s="3">
        <v>2</v>
      </c>
      <c r="AA2" s="3">
        <v>0</v>
      </c>
      <c r="AB2" s="3">
        <v>0</v>
      </c>
      <c r="AC2" s="3">
        <v>1</v>
      </c>
      <c r="AD2" s="3">
        <v>1</v>
      </c>
      <c r="AE2" s="3">
        <v>2</v>
      </c>
      <c r="AF2" s="3">
        <v>1</v>
      </c>
      <c r="AG2" s="3">
        <v>1</v>
      </c>
      <c r="AH2" s="3">
        <v>4</v>
      </c>
      <c r="AI2" s="3">
        <v>2</v>
      </c>
      <c r="AJ2" s="3">
        <v>1</v>
      </c>
    </row>
    <row r="3" spans="1:36" ht="14.5" x14ac:dyDescent="0.3">
      <c r="A3" s="4" t="s">
        <v>2</v>
      </c>
      <c r="B3" s="3">
        <v>2</v>
      </c>
      <c r="C3" s="3">
        <v>0</v>
      </c>
      <c r="D3" s="3">
        <v>2</v>
      </c>
      <c r="E3" s="3">
        <v>3</v>
      </c>
      <c r="F3" s="3">
        <v>3</v>
      </c>
      <c r="G3" s="3">
        <v>2</v>
      </c>
      <c r="H3" s="3">
        <v>0</v>
      </c>
      <c r="I3" s="3">
        <v>3</v>
      </c>
      <c r="J3" s="3">
        <v>1</v>
      </c>
      <c r="K3" s="3">
        <v>1</v>
      </c>
      <c r="L3" s="3">
        <v>0</v>
      </c>
      <c r="M3" s="3">
        <v>2</v>
      </c>
      <c r="N3" s="3">
        <v>0</v>
      </c>
      <c r="O3" s="3">
        <v>3</v>
      </c>
      <c r="P3" s="3">
        <v>1</v>
      </c>
      <c r="Q3" s="3">
        <v>1</v>
      </c>
      <c r="R3" s="3">
        <v>2</v>
      </c>
      <c r="S3" s="3">
        <v>0</v>
      </c>
      <c r="T3" s="3">
        <v>2</v>
      </c>
      <c r="U3" s="3">
        <v>2</v>
      </c>
      <c r="V3" s="3">
        <v>1</v>
      </c>
      <c r="W3" s="3">
        <v>2</v>
      </c>
      <c r="X3" s="3">
        <v>1</v>
      </c>
      <c r="Y3" s="3">
        <v>0</v>
      </c>
      <c r="Z3" s="3">
        <v>1</v>
      </c>
      <c r="AA3" s="3">
        <v>2</v>
      </c>
      <c r="AB3" s="3">
        <v>1</v>
      </c>
      <c r="AC3" s="3">
        <v>1</v>
      </c>
      <c r="AD3" s="3">
        <v>2</v>
      </c>
      <c r="AE3" s="3">
        <v>3</v>
      </c>
      <c r="AF3" s="3">
        <v>2</v>
      </c>
      <c r="AG3" s="3">
        <v>3</v>
      </c>
      <c r="AH3" s="3">
        <v>4</v>
      </c>
      <c r="AI3" s="3">
        <v>1</v>
      </c>
      <c r="AJ3" s="3">
        <v>1</v>
      </c>
    </row>
    <row r="4" spans="1:36" ht="14.5" x14ac:dyDescent="0.3">
      <c r="A4" s="4" t="s">
        <v>3</v>
      </c>
      <c r="B4" s="3">
        <v>1</v>
      </c>
      <c r="C4" s="3">
        <v>1</v>
      </c>
      <c r="D4" s="3">
        <v>3</v>
      </c>
      <c r="E4" s="3">
        <v>0</v>
      </c>
      <c r="F4" s="3">
        <v>0</v>
      </c>
      <c r="G4" s="3">
        <v>3</v>
      </c>
      <c r="H4" s="3">
        <v>0</v>
      </c>
      <c r="I4" s="3">
        <v>2</v>
      </c>
      <c r="J4" s="3">
        <v>1</v>
      </c>
      <c r="K4" s="3">
        <v>2</v>
      </c>
      <c r="L4" s="3">
        <v>2</v>
      </c>
      <c r="M4" s="3">
        <v>1</v>
      </c>
      <c r="N4" s="3">
        <v>4</v>
      </c>
      <c r="O4" s="3">
        <v>1</v>
      </c>
      <c r="P4" s="3">
        <v>2</v>
      </c>
      <c r="Q4" s="3">
        <v>1</v>
      </c>
      <c r="R4" s="3">
        <v>3</v>
      </c>
      <c r="S4" s="3">
        <v>0</v>
      </c>
      <c r="T4" s="3">
        <v>2</v>
      </c>
      <c r="U4" s="3">
        <v>1</v>
      </c>
      <c r="V4" s="3">
        <v>2</v>
      </c>
      <c r="W4" s="3">
        <v>4</v>
      </c>
      <c r="X4" s="3">
        <v>5</v>
      </c>
      <c r="Y4" s="3">
        <v>0</v>
      </c>
      <c r="Z4" s="3">
        <v>3</v>
      </c>
      <c r="AA4" s="3">
        <v>0</v>
      </c>
      <c r="AB4" s="3">
        <v>1</v>
      </c>
      <c r="AC4" s="3">
        <v>2</v>
      </c>
      <c r="AD4" s="3">
        <v>1</v>
      </c>
      <c r="AE4" s="3">
        <v>1</v>
      </c>
      <c r="AF4" s="3">
        <v>2</v>
      </c>
      <c r="AG4" s="3">
        <v>1</v>
      </c>
      <c r="AH4" s="3">
        <v>0</v>
      </c>
      <c r="AI4" s="3">
        <v>1</v>
      </c>
      <c r="AJ4" s="3">
        <v>2</v>
      </c>
    </row>
    <row r="5" spans="1:36" ht="14.5" x14ac:dyDescent="0.3">
      <c r="A5" s="4" t="s">
        <v>4</v>
      </c>
      <c r="B5" s="3">
        <v>2</v>
      </c>
      <c r="C5" s="3">
        <v>0</v>
      </c>
      <c r="D5" s="3">
        <v>3</v>
      </c>
      <c r="E5" s="3">
        <v>1</v>
      </c>
      <c r="F5" s="3">
        <v>1</v>
      </c>
      <c r="G5" s="3">
        <v>1</v>
      </c>
      <c r="H5" s="3">
        <v>5</v>
      </c>
      <c r="I5" s="3">
        <v>1</v>
      </c>
      <c r="J5" s="3">
        <v>4</v>
      </c>
      <c r="K5" s="3">
        <v>1</v>
      </c>
      <c r="L5" s="3">
        <v>3</v>
      </c>
      <c r="M5" s="3">
        <v>0</v>
      </c>
      <c r="N5" s="3">
        <v>4</v>
      </c>
      <c r="O5" s="3">
        <v>1</v>
      </c>
      <c r="P5" s="3">
        <v>4</v>
      </c>
      <c r="Q5" s="3">
        <v>1</v>
      </c>
      <c r="R5" s="3">
        <v>0</v>
      </c>
      <c r="S5" s="3">
        <v>0</v>
      </c>
      <c r="T5" s="3">
        <v>1</v>
      </c>
      <c r="U5" s="3">
        <v>5</v>
      </c>
      <c r="V5" s="3">
        <v>2</v>
      </c>
      <c r="W5" s="3">
        <v>0</v>
      </c>
      <c r="X5" s="3">
        <v>2</v>
      </c>
      <c r="Y5" s="3">
        <v>0</v>
      </c>
      <c r="Z5" s="3">
        <v>1</v>
      </c>
      <c r="AA5" s="3">
        <v>4</v>
      </c>
      <c r="AB5" s="3">
        <v>1</v>
      </c>
      <c r="AC5" s="3">
        <v>0</v>
      </c>
      <c r="AD5" s="3">
        <v>2</v>
      </c>
      <c r="AE5" s="3">
        <v>1</v>
      </c>
      <c r="AF5" s="3">
        <v>0</v>
      </c>
      <c r="AG5" s="3">
        <v>1</v>
      </c>
      <c r="AH5" s="3">
        <v>4</v>
      </c>
      <c r="AI5" s="3">
        <v>2</v>
      </c>
      <c r="AJ5" s="3">
        <v>4</v>
      </c>
    </row>
    <row r="6" spans="1:36" ht="14.5" x14ac:dyDescent="0.3">
      <c r="A6" s="4" t="s">
        <v>6</v>
      </c>
      <c r="B6" s="3">
        <v>0</v>
      </c>
      <c r="C6" s="3">
        <v>2</v>
      </c>
      <c r="D6" s="3">
        <v>1</v>
      </c>
      <c r="E6" s="3">
        <v>2</v>
      </c>
      <c r="F6" s="3">
        <v>1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3">
        <v>0</v>
      </c>
      <c r="M6" s="3">
        <v>1</v>
      </c>
      <c r="N6" s="3">
        <v>1</v>
      </c>
      <c r="O6" s="3">
        <v>5</v>
      </c>
      <c r="P6" s="3">
        <v>0</v>
      </c>
      <c r="Q6" s="3">
        <v>1</v>
      </c>
      <c r="R6" s="3">
        <v>0</v>
      </c>
      <c r="S6" s="3">
        <v>2</v>
      </c>
      <c r="T6" s="3">
        <v>0</v>
      </c>
      <c r="U6" s="3">
        <v>2</v>
      </c>
      <c r="V6" s="3">
        <v>1</v>
      </c>
      <c r="W6" s="3">
        <v>1</v>
      </c>
      <c r="X6" s="3">
        <v>2</v>
      </c>
      <c r="Y6" s="3">
        <v>1</v>
      </c>
      <c r="Z6" s="3">
        <v>0</v>
      </c>
      <c r="AA6" s="3">
        <v>0</v>
      </c>
      <c r="AB6" s="3">
        <v>0</v>
      </c>
      <c r="AC6" s="3">
        <v>2</v>
      </c>
      <c r="AD6" s="3">
        <v>2</v>
      </c>
      <c r="AE6" s="3">
        <v>2</v>
      </c>
      <c r="AF6" s="3">
        <v>1</v>
      </c>
      <c r="AG6" s="3">
        <v>0</v>
      </c>
      <c r="AH6" s="3">
        <v>1</v>
      </c>
      <c r="AI6" s="3">
        <v>4</v>
      </c>
      <c r="AJ6" s="3">
        <v>1</v>
      </c>
    </row>
    <row r="7" spans="1:36" ht="14.5" x14ac:dyDescent="0.3">
      <c r="A7" s="4" t="s">
        <v>7</v>
      </c>
      <c r="B7" s="3">
        <v>0</v>
      </c>
      <c r="C7" s="3">
        <v>6</v>
      </c>
      <c r="D7" s="3">
        <v>1</v>
      </c>
      <c r="E7" s="3">
        <v>1</v>
      </c>
      <c r="F7" s="3">
        <v>3</v>
      </c>
      <c r="G7" s="3">
        <v>4</v>
      </c>
      <c r="H7" s="3">
        <v>1</v>
      </c>
      <c r="I7" s="3">
        <v>1</v>
      </c>
      <c r="J7" s="3">
        <v>2</v>
      </c>
      <c r="K7" s="3">
        <v>1</v>
      </c>
      <c r="L7" s="3">
        <v>1</v>
      </c>
      <c r="M7" s="3">
        <v>2</v>
      </c>
      <c r="N7" s="3">
        <v>3</v>
      </c>
      <c r="O7" s="3">
        <v>5</v>
      </c>
      <c r="P7" s="3">
        <v>4</v>
      </c>
      <c r="Q7" s="3">
        <v>2</v>
      </c>
      <c r="R7" s="3">
        <v>0</v>
      </c>
      <c r="S7" s="3">
        <v>1</v>
      </c>
      <c r="T7" s="3">
        <v>0</v>
      </c>
      <c r="U7" s="3">
        <v>1</v>
      </c>
      <c r="V7" s="3">
        <v>2</v>
      </c>
      <c r="W7" s="3">
        <v>3</v>
      </c>
      <c r="X7" s="3">
        <v>1</v>
      </c>
      <c r="Y7" s="3">
        <v>2</v>
      </c>
      <c r="Z7" s="3">
        <v>0</v>
      </c>
      <c r="AA7" s="3">
        <v>1</v>
      </c>
      <c r="AB7" s="3">
        <v>4</v>
      </c>
      <c r="AC7" s="3">
        <v>1</v>
      </c>
      <c r="AD7" s="3">
        <v>0</v>
      </c>
      <c r="AE7" s="3">
        <v>1</v>
      </c>
      <c r="AF7" s="3">
        <v>0</v>
      </c>
      <c r="AG7" s="3">
        <v>2</v>
      </c>
      <c r="AH7" s="3">
        <v>2</v>
      </c>
      <c r="AI7" s="3">
        <v>1</v>
      </c>
      <c r="AJ7" s="3">
        <v>3</v>
      </c>
    </row>
    <row r="8" spans="1:36" ht="14.5" x14ac:dyDescent="0.3">
      <c r="A8" s="4" t="s">
        <v>8</v>
      </c>
      <c r="B8" s="3">
        <v>1</v>
      </c>
      <c r="C8" s="3">
        <v>0</v>
      </c>
      <c r="D8" s="3">
        <v>1</v>
      </c>
      <c r="E8" s="3">
        <v>2</v>
      </c>
      <c r="F8" s="3">
        <v>0</v>
      </c>
      <c r="G8" s="3">
        <v>1</v>
      </c>
      <c r="H8" s="3">
        <v>0</v>
      </c>
      <c r="I8" s="3">
        <v>0</v>
      </c>
      <c r="J8" s="3">
        <v>1</v>
      </c>
      <c r="K8" s="3">
        <v>2</v>
      </c>
      <c r="L8" s="3">
        <v>0</v>
      </c>
      <c r="M8" s="3">
        <v>2</v>
      </c>
      <c r="N8" s="3">
        <v>1</v>
      </c>
      <c r="O8" s="3">
        <v>1</v>
      </c>
      <c r="P8" s="3">
        <v>2</v>
      </c>
      <c r="Q8" s="3">
        <v>3</v>
      </c>
      <c r="R8" s="3">
        <v>1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1</v>
      </c>
      <c r="Y8" s="3">
        <v>2</v>
      </c>
      <c r="Z8" s="3">
        <v>1</v>
      </c>
      <c r="AA8" s="3">
        <v>2</v>
      </c>
      <c r="AB8" s="3">
        <v>4</v>
      </c>
      <c r="AC8" s="3">
        <v>1</v>
      </c>
      <c r="AD8" s="3">
        <v>0</v>
      </c>
      <c r="AE8" s="3">
        <v>1</v>
      </c>
      <c r="AF8" s="3">
        <v>2</v>
      </c>
      <c r="AG8" s="3">
        <v>2</v>
      </c>
      <c r="AH8" s="3">
        <v>0</v>
      </c>
      <c r="AI8" s="3">
        <v>2</v>
      </c>
      <c r="AJ8" s="3">
        <v>1</v>
      </c>
    </row>
    <row r="9" spans="1:36" ht="14.5" x14ac:dyDescent="0.3">
      <c r="A9" s="4" t="s">
        <v>9</v>
      </c>
      <c r="B9" s="3">
        <v>0</v>
      </c>
      <c r="C9" s="3">
        <v>0</v>
      </c>
      <c r="D9" s="3">
        <v>2</v>
      </c>
      <c r="E9" s="3">
        <v>2</v>
      </c>
      <c r="F9" s="3">
        <v>1</v>
      </c>
      <c r="G9" s="3">
        <v>2</v>
      </c>
      <c r="H9" s="3">
        <v>0</v>
      </c>
      <c r="I9" s="3">
        <v>2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4</v>
      </c>
      <c r="P9" s="3">
        <v>2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3</v>
      </c>
      <c r="X9" s="3">
        <v>1</v>
      </c>
      <c r="Y9" s="3">
        <v>4</v>
      </c>
      <c r="Z9" s="3">
        <v>2</v>
      </c>
      <c r="AA9" s="3">
        <v>2</v>
      </c>
      <c r="AB9" s="3">
        <v>1</v>
      </c>
      <c r="AC9" s="3">
        <v>1</v>
      </c>
      <c r="AD9" s="3">
        <v>1</v>
      </c>
      <c r="AE9" s="3">
        <v>0</v>
      </c>
      <c r="AF9" s="3">
        <v>1</v>
      </c>
      <c r="AG9" s="3">
        <v>1</v>
      </c>
      <c r="AH9" s="3">
        <v>0</v>
      </c>
      <c r="AI9" s="3">
        <v>0</v>
      </c>
      <c r="AJ9" s="3">
        <v>2</v>
      </c>
    </row>
    <row r="10" spans="1:36" ht="14.5" x14ac:dyDescent="0.3">
      <c r="A10" s="4" t="s">
        <v>10</v>
      </c>
      <c r="B10" s="3">
        <v>0</v>
      </c>
      <c r="C10" s="3">
        <v>2</v>
      </c>
      <c r="D10" s="3">
        <v>1</v>
      </c>
      <c r="E10" s="3">
        <v>1</v>
      </c>
      <c r="F10" s="3">
        <v>3</v>
      </c>
      <c r="G10" s="3">
        <v>1</v>
      </c>
      <c r="H10" s="3">
        <v>2</v>
      </c>
      <c r="I10" s="3">
        <v>1</v>
      </c>
      <c r="J10" s="3">
        <v>1</v>
      </c>
      <c r="K10" s="3">
        <v>2</v>
      </c>
      <c r="L10" s="3">
        <v>2</v>
      </c>
      <c r="M10" s="3">
        <v>1</v>
      </c>
      <c r="N10" s="3">
        <v>1</v>
      </c>
      <c r="O10" s="3">
        <v>3</v>
      </c>
      <c r="P10" s="3">
        <v>1</v>
      </c>
      <c r="Q10" s="3">
        <v>2</v>
      </c>
      <c r="R10" s="3">
        <v>0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0</v>
      </c>
      <c r="Y10" s="3">
        <v>2</v>
      </c>
      <c r="Z10" s="3">
        <v>2</v>
      </c>
      <c r="AA10" s="3">
        <v>0</v>
      </c>
      <c r="AB10" s="3">
        <v>2</v>
      </c>
      <c r="AC10" s="3">
        <v>1</v>
      </c>
      <c r="AD10" s="3">
        <v>2</v>
      </c>
      <c r="AE10" s="3">
        <v>1</v>
      </c>
      <c r="AF10" s="3">
        <v>3</v>
      </c>
      <c r="AG10" s="3">
        <v>0</v>
      </c>
      <c r="AH10" s="3">
        <v>1</v>
      </c>
      <c r="AI10" s="3">
        <v>2</v>
      </c>
      <c r="AJ10" s="3">
        <v>0</v>
      </c>
    </row>
    <row r="11" spans="1:36" ht="14.5" x14ac:dyDescent="0.3">
      <c r="A11" s="4" t="s">
        <v>11</v>
      </c>
      <c r="B11" s="3">
        <v>0</v>
      </c>
      <c r="C11" s="3">
        <v>1</v>
      </c>
      <c r="D11" s="3">
        <v>1</v>
      </c>
      <c r="E11" s="3">
        <v>0</v>
      </c>
      <c r="F11" s="3">
        <v>1</v>
      </c>
      <c r="G11" s="3">
        <v>2</v>
      </c>
      <c r="H11" s="3">
        <v>1</v>
      </c>
      <c r="I11" s="3">
        <v>0</v>
      </c>
      <c r="J11" s="3">
        <v>3</v>
      </c>
      <c r="K11" s="3">
        <v>1</v>
      </c>
      <c r="L11" s="3">
        <v>2</v>
      </c>
      <c r="M11" s="3">
        <v>1</v>
      </c>
      <c r="N11" s="3">
        <v>0</v>
      </c>
      <c r="O11" s="3">
        <v>0</v>
      </c>
      <c r="P11" s="3">
        <v>1</v>
      </c>
      <c r="Q11" s="3">
        <v>2</v>
      </c>
      <c r="R11" s="3">
        <v>0</v>
      </c>
      <c r="S11" s="3">
        <v>0</v>
      </c>
      <c r="T11" s="3">
        <v>2</v>
      </c>
      <c r="U11" s="3">
        <v>2</v>
      </c>
      <c r="V11" s="3">
        <v>0</v>
      </c>
      <c r="W11" s="3">
        <v>0</v>
      </c>
      <c r="X11" s="3">
        <v>1</v>
      </c>
      <c r="Y11" s="3">
        <v>1</v>
      </c>
      <c r="Z11" s="3">
        <v>1</v>
      </c>
      <c r="AA11" s="3">
        <v>1</v>
      </c>
      <c r="AB11" s="3">
        <v>2</v>
      </c>
      <c r="AC11" s="3">
        <v>0</v>
      </c>
      <c r="AD11" s="3">
        <v>2</v>
      </c>
      <c r="AE11" s="3">
        <v>2</v>
      </c>
      <c r="AF11" s="3">
        <v>1</v>
      </c>
      <c r="AG11" s="3">
        <v>2</v>
      </c>
      <c r="AH11" s="3">
        <v>0</v>
      </c>
      <c r="AI11" s="3">
        <v>0</v>
      </c>
      <c r="AJ11" s="3">
        <v>2</v>
      </c>
    </row>
    <row r="12" spans="1:36" ht="14.5" x14ac:dyDescent="0.3">
      <c r="A12" s="4" t="s">
        <v>12</v>
      </c>
      <c r="B12" s="3">
        <v>1</v>
      </c>
      <c r="C12" s="3">
        <v>1</v>
      </c>
      <c r="D12" s="3">
        <v>1</v>
      </c>
      <c r="E12" s="3">
        <v>2</v>
      </c>
      <c r="F12" s="3">
        <v>1</v>
      </c>
      <c r="G12" s="3">
        <v>2</v>
      </c>
      <c r="H12" s="3">
        <v>1</v>
      </c>
      <c r="I12" s="3">
        <v>3</v>
      </c>
      <c r="J12" s="3">
        <v>1</v>
      </c>
      <c r="K12" s="3">
        <v>1</v>
      </c>
      <c r="L12" s="3">
        <v>0</v>
      </c>
      <c r="M12" s="3">
        <v>1</v>
      </c>
      <c r="N12" s="3">
        <v>1</v>
      </c>
      <c r="O12" s="3">
        <v>3</v>
      </c>
      <c r="P12" s="3">
        <v>2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0</v>
      </c>
      <c r="W12" s="3">
        <v>0</v>
      </c>
      <c r="X12" s="3">
        <v>2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>
        <v>0</v>
      </c>
      <c r="AI12" s="3">
        <v>0</v>
      </c>
      <c r="AJ12" s="3">
        <v>2</v>
      </c>
    </row>
    <row r="13" spans="1:36" ht="14.5" x14ac:dyDescent="0.3">
      <c r="A13" s="4" t="s">
        <v>13</v>
      </c>
      <c r="B13" s="3">
        <v>2</v>
      </c>
      <c r="C13" s="3">
        <v>2</v>
      </c>
      <c r="D13" s="3">
        <v>3</v>
      </c>
      <c r="E13" s="3">
        <v>0</v>
      </c>
      <c r="F13" s="3">
        <v>3</v>
      </c>
      <c r="G13" s="3">
        <v>2</v>
      </c>
      <c r="H13" s="3">
        <v>1</v>
      </c>
      <c r="I13" s="3">
        <v>2</v>
      </c>
      <c r="J13" s="3">
        <v>2</v>
      </c>
      <c r="K13" s="3">
        <v>2</v>
      </c>
      <c r="L13" s="3">
        <v>2</v>
      </c>
      <c r="M13" s="3">
        <v>3</v>
      </c>
      <c r="N13" s="3">
        <v>2</v>
      </c>
      <c r="O13" s="3">
        <v>3</v>
      </c>
      <c r="P13" s="3">
        <v>2</v>
      </c>
      <c r="Q13" s="3">
        <v>2</v>
      </c>
      <c r="R13" s="3">
        <v>6</v>
      </c>
      <c r="S13" s="3">
        <v>3</v>
      </c>
      <c r="T13" s="3">
        <v>5</v>
      </c>
      <c r="U13" s="3">
        <v>2</v>
      </c>
      <c r="V13" s="3">
        <v>1</v>
      </c>
      <c r="W13" s="3">
        <v>2</v>
      </c>
      <c r="X13" s="3">
        <v>4</v>
      </c>
      <c r="Y13" s="3">
        <v>2</v>
      </c>
      <c r="Z13" s="3">
        <v>2</v>
      </c>
      <c r="AA13" s="3">
        <v>2</v>
      </c>
      <c r="AB13" s="3">
        <v>2</v>
      </c>
      <c r="AC13" s="3">
        <v>3</v>
      </c>
      <c r="AD13" s="3">
        <v>2</v>
      </c>
      <c r="AE13" s="3">
        <v>1</v>
      </c>
      <c r="AF13" s="3">
        <v>2</v>
      </c>
      <c r="AG13" s="3">
        <v>2</v>
      </c>
      <c r="AH13" s="3">
        <v>1</v>
      </c>
      <c r="AI13" s="3">
        <v>5</v>
      </c>
      <c r="AJ13" s="3">
        <v>1</v>
      </c>
    </row>
    <row r="14" spans="1:36" ht="14.5" x14ac:dyDescent="0.3">
      <c r="A14" s="4" t="s">
        <v>14</v>
      </c>
      <c r="B14" s="3">
        <v>2</v>
      </c>
      <c r="C14" s="3">
        <v>4</v>
      </c>
      <c r="D14" s="3">
        <v>3</v>
      </c>
      <c r="E14" s="3">
        <v>2</v>
      </c>
      <c r="F14" s="3">
        <v>2</v>
      </c>
      <c r="G14" s="3">
        <v>1</v>
      </c>
      <c r="H14" s="3">
        <v>3</v>
      </c>
      <c r="I14" s="3">
        <v>2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3</v>
      </c>
      <c r="P14" s="3">
        <v>2</v>
      </c>
      <c r="Q14" s="3">
        <v>1</v>
      </c>
      <c r="R14" s="3">
        <v>1</v>
      </c>
      <c r="S14" s="3">
        <v>1</v>
      </c>
      <c r="T14" s="3">
        <v>2</v>
      </c>
      <c r="U14" s="3">
        <v>4</v>
      </c>
      <c r="V14" s="3">
        <v>2</v>
      </c>
      <c r="W14" s="3">
        <v>6</v>
      </c>
      <c r="X14" s="3">
        <v>3</v>
      </c>
      <c r="Y14" s="3">
        <v>1</v>
      </c>
      <c r="Z14" s="3">
        <v>4</v>
      </c>
      <c r="AA14" s="3">
        <v>0</v>
      </c>
      <c r="AB14" s="3">
        <v>1</v>
      </c>
      <c r="AC14" s="3">
        <v>0</v>
      </c>
      <c r="AD14" s="3">
        <v>2</v>
      </c>
      <c r="AE14" s="3">
        <v>2</v>
      </c>
      <c r="AF14" s="3">
        <v>0</v>
      </c>
      <c r="AG14" s="3">
        <v>5</v>
      </c>
      <c r="AH14" s="3">
        <v>2</v>
      </c>
      <c r="AI14" s="3">
        <v>2</v>
      </c>
      <c r="AJ14" s="3">
        <v>1</v>
      </c>
    </row>
    <row r="15" spans="1:36" ht="14.5" x14ac:dyDescent="0.3">
      <c r="A15" s="4" t="s">
        <v>15</v>
      </c>
      <c r="B15" s="3">
        <v>1</v>
      </c>
      <c r="C15" s="3">
        <v>1</v>
      </c>
      <c r="D15" s="3">
        <v>0</v>
      </c>
      <c r="E15" s="3">
        <v>3</v>
      </c>
      <c r="F15" s="3">
        <v>0</v>
      </c>
      <c r="G15" s="3">
        <v>0</v>
      </c>
      <c r="H15" s="3">
        <v>0</v>
      </c>
      <c r="I15" s="3">
        <v>2</v>
      </c>
      <c r="J15" s="3">
        <v>1</v>
      </c>
      <c r="K15" s="3">
        <v>1</v>
      </c>
      <c r="L15" s="3">
        <v>3</v>
      </c>
      <c r="M15" s="3">
        <v>1</v>
      </c>
      <c r="N15" s="3">
        <v>4</v>
      </c>
      <c r="O15" s="3">
        <v>0</v>
      </c>
      <c r="P15" s="3">
        <v>2</v>
      </c>
      <c r="Q15" s="3">
        <v>2</v>
      </c>
      <c r="R15" s="3">
        <v>0</v>
      </c>
      <c r="S15" s="3">
        <v>0</v>
      </c>
      <c r="T15" s="3">
        <v>0</v>
      </c>
      <c r="U15" s="3">
        <v>2</v>
      </c>
      <c r="V15" s="3">
        <v>3</v>
      </c>
      <c r="W15" s="3">
        <v>1</v>
      </c>
      <c r="X15" s="3">
        <v>1</v>
      </c>
      <c r="Y15" s="3">
        <v>0</v>
      </c>
      <c r="Z15" s="3">
        <v>0</v>
      </c>
      <c r="AA15" s="3">
        <v>2</v>
      </c>
      <c r="AB15" s="3">
        <v>3</v>
      </c>
      <c r="AC15" s="3">
        <v>1</v>
      </c>
      <c r="AD15" s="3">
        <v>3</v>
      </c>
      <c r="AE15" s="3">
        <v>0</v>
      </c>
      <c r="AF15" s="3">
        <v>0</v>
      </c>
      <c r="AG15" s="3">
        <v>1</v>
      </c>
      <c r="AH15" s="3">
        <v>0</v>
      </c>
      <c r="AI15" s="3">
        <v>1</v>
      </c>
      <c r="AJ15" s="3">
        <v>3</v>
      </c>
    </row>
    <row r="16" spans="1:36" ht="14.5" x14ac:dyDescent="0.3">
      <c r="A16" s="4" t="s">
        <v>16</v>
      </c>
      <c r="B16" s="3">
        <v>1</v>
      </c>
      <c r="C16" s="3">
        <v>1</v>
      </c>
      <c r="D16" s="3">
        <v>2</v>
      </c>
      <c r="E16" s="3">
        <v>2</v>
      </c>
      <c r="F16" s="3">
        <v>1</v>
      </c>
      <c r="G16" s="3">
        <v>1</v>
      </c>
      <c r="H16" s="3">
        <v>0</v>
      </c>
      <c r="I16" s="3">
        <v>0</v>
      </c>
      <c r="J16" s="3">
        <v>1</v>
      </c>
      <c r="K16" s="3">
        <v>1</v>
      </c>
      <c r="L16" s="3">
        <v>3</v>
      </c>
      <c r="M16" s="3">
        <v>0</v>
      </c>
      <c r="N16" s="3">
        <v>1</v>
      </c>
      <c r="O16" s="3">
        <v>3</v>
      </c>
      <c r="P16" s="3">
        <v>2</v>
      </c>
      <c r="Q16" s="3">
        <v>4</v>
      </c>
      <c r="R16" s="3">
        <v>4</v>
      </c>
      <c r="S16" s="3">
        <v>3</v>
      </c>
      <c r="T16" s="3">
        <v>2</v>
      </c>
      <c r="U16" s="3">
        <v>2</v>
      </c>
      <c r="V16" s="3">
        <v>3</v>
      </c>
      <c r="W16" s="3">
        <v>1</v>
      </c>
      <c r="X16" s="3">
        <v>3</v>
      </c>
      <c r="Y16" s="3">
        <v>1</v>
      </c>
      <c r="Z16" s="3">
        <v>0</v>
      </c>
      <c r="AA16" s="3">
        <v>4</v>
      </c>
      <c r="AB16" s="3">
        <v>0</v>
      </c>
      <c r="AC16" s="3">
        <v>1</v>
      </c>
      <c r="AD16" s="3">
        <v>5</v>
      </c>
      <c r="AE16" s="3">
        <v>2</v>
      </c>
      <c r="AF16" s="3">
        <v>3</v>
      </c>
      <c r="AG16" s="3">
        <v>4</v>
      </c>
      <c r="AH16" s="3">
        <v>1</v>
      </c>
      <c r="AI16" s="3">
        <v>3</v>
      </c>
      <c r="AJ16" s="3">
        <v>1</v>
      </c>
    </row>
    <row r="17" spans="1:36" ht="14.5" x14ac:dyDescent="0.3">
      <c r="A17" s="4" t="s">
        <v>17</v>
      </c>
      <c r="B17" s="3">
        <v>1</v>
      </c>
      <c r="C17" s="3">
        <v>1</v>
      </c>
      <c r="D17" s="3">
        <v>1</v>
      </c>
      <c r="E17" s="3">
        <v>1</v>
      </c>
      <c r="F17" s="3">
        <v>2</v>
      </c>
      <c r="G17" s="3">
        <v>0</v>
      </c>
      <c r="H17" s="3">
        <v>1</v>
      </c>
      <c r="I17" s="3">
        <v>1</v>
      </c>
      <c r="J17" s="3">
        <v>3</v>
      </c>
      <c r="K17" s="3">
        <v>3</v>
      </c>
      <c r="L17" s="3">
        <v>1</v>
      </c>
      <c r="M17" s="3">
        <v>0</v>
      </c>
      <c r="N17" s="3">
        <v>1</v>
      </c>
      <c r="O17" s="3">
        <v>0</v>
      </c>
      <c r="P17" s="3">
        <v>3</v>
      </c>
      <c r="Q17" s="3">
        <v>2</v>
      </c>
      <c r="R17" s="3">
        <v>2</v>
      </c>
      <c r="S17" s="3">
        <v>1</v>
      </c>
      <c r="T17" s="3">
        <v>2</v>
      </c>
      <c r="U17" s="3">
        <v>3</v>
      </c>
      <c r="V17" s="3">
        <v>1</v>
      </c>
      <c r="W17" s="3">
        <v>3</v>
      </c>
      <c r="X17" s="3">
        <v>0</v>
      </c>
      <c r="Y17" s="3">
        <v>7</v>
      </c>
      <c r="Z17" s="3">
        <v>1</v>
      </c>
      <c r="AA17" s="3">
        <v>3</v>
      </c>
      <c r="AB17" s="3">
        <v>0</v>
      </c>
      <c r="AC17" s="3">
        <v>1</v>
      </c>
      <c r="AD17" s="3">
        <v>4</v>
      </c>
      <c r="AE17" s="3">
        <v>1</v>
      </c>
      <c r="AF17" s="3">
        <v>1</v>
      </c>
      <c r="AG17" s="3">
        <v>0</v>
      </c>
      <c r="AH17" s="3">
        <v>2</v>
      </c>
      <c r="AI17" s="3">
        <v>0</v>
      </c>
      <c r="AJ17" s="3">
        <v>1</v>
      </c>
    </row>
    <row r="18" spans="1:36" ht="14.5" x14ac:dyDescent="0.3">
      <c r="A18" s="4" t="s">
        <v>18</v>
      </c>
      <c r="B18" s="3">
        <v>0</v>
      </c>
      <c r="C18" s="3">
        <v>0</v>
      </c>
      <c r="D18" s="3">
        <v>1</v>
      </c>
      <c r="E18" s="3">
        <v>0</v>
      </c>
      <c r="F18" s="3">
        <v>1</v>
      </c>
      <c r="G18" s="3">
        <v>1</v>
      </c>
      <c r="H18" s="3">
        <v>1</v>
      </c>
      <c r="I18" s="3">
        <v>2</v>
      </c>
      <c r="J18" s="3">
        <v>0</v>
      </c>
      <c r="K18" s="3">
        <v>1</v>
      </c>
      <c r="L18" s="3">
        <v>0</v>
      </c>
      <c r="M18" s="3">
        <v>2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1</v>
      </c>
      <c r="W18" s="3">
        <v>2</v>
      </c>
      <c r="X18" s="3">
        <v>1</v>
      </c>
      <c r="Y18" s="3">
        <v>2</v>
      </c>
      <c r="Z18" s="3">
        <v>1</v>
      </c>
      <c r="AA18" s="3">
        <v>0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1</v>
      </c>
      <c r="AI18" s="3">
        <v>1</v>
      </c>
      <c r="AJ18" s="3">
        <v>0</v>
      </c>
    </row>
    <row r="19" spans="1:36" ht="14.5" x14ac:dyDescent="0.3">
      <c r="A19" s="4" t="s">
        <v>19</v>
      </c>
      <c r="B19" s="3">
        <v>1</v>
      </c>
      <c r="C19" s="3">
        <v>4</v>
      </c>
      <c r="D19" s="3">
        <v>1</v>
      </c>
      <c r="E19" s="3">
        <v>0</v>
      </c>
      <c r="F19" s="3">
        <v>3</v>
      </c>
      <c r="G19" s="3">
        <v>3</v>
      </c>
      <c r="H19" s="3">
        <v>2</v>
      </c>
      <c r="I19" s="3">
        <v>4</v>
      </c>
      <c r="J19" s="3">
        <v>0</v>
      </c>
      <c r="K19" s="3">
        <v>4</v>
      </c>
      <c r="L19" s="3">
        <v>1</v>
      </c>
      <c r="M19" s="3">
        <v>4</v>
      </c>
      <c r="N19" s="3">
        <v>1</v>
      </c>
      <c r="O19" s="3">
        <v>0</v>
      </c>
      <c r="P19" s="3">
        <v>3</v>
      </c>
      <c r="Q19" s="3">
        <v>5</v>
      </c>
      <c r="R19" s="3">
        <v>3</v>
      </c>
      <c r="S19" s="3">
        <v>0</v>
      </c>
      <c r="T19" s="3">
        <v>2</v>
      </c>
      <c r="U19" s="3">
        <v>1</v>
      </c>
      <c r="V19" s="3">
        <v>1</v>
      </c>
      <c r="W19" s="3">
        <v>2</v>
      </c>
      <c r="X19" s="3">
        <v>1</v>
      </c>
      <c r="Y19" s="3">
        <v>2</v>
      </c>
      <c r="Z19" s="3">
        <v>1</v>
      </c>
      <c r="AA19" s="3">
        <v>4</v>
      </c>
      <c r="AB19" s="3">
        <v>0</v>
      </c>
      <c r="AC19" s="3">
        <v>2</v>
      </c>
      <c r="AD19" s="3">
        <v>0</v>
      </c>
      <c r="AE19" s="3">
        <v>0</v>
      </c>
      <c r="AF19" s="3">
        <v>3</v>
      </c>
      <c r="AG19" s="3">
        <v>2</v>
      </c>
      <c r="AH19" s="3">
        <v>1</v>
      </c>
      <c r="AI19" s="3">
        <v>1</v>
      </c>
      <c r="AJ19" s="3">
        <v>1</v>
      </c>
    </row>
    <row r="20" spans="1:36" ht="14.5" x14ac:dyDescent="0.3">
      <c r="A20" s="4" t="s">
        <v>20</v>
      </c>
      <c r="B20" s="3">
        <v>1</v>
      </c>
      <c r="C20" s="3">
        <v>2</v>
      </c>
      <c r="D20" s="3">
        <v>1</v>
      </c>
      <c r="E20" s="3">
        <v>1</v>
      </c>
      <c r="F20" s="3">
        <v>0</v>
      </c>
      <c r="G20" s="3">
        <v>1</v>
      </c>
      <c r="H20" s="3">
        <v>4</v>
      </c>
      <c r="I20" s="3">
        <v>1</v>
      </c>
      <c r="J20" s="3">
        <v>2</v>
      </c>
      <c r="K20" s="3">
        <v>0</v>
      </c>
      <c r="L20" s="3">
        <v>0</v>
      </c>
      <c r="M20" s="3">
        <v>2</v>
      </c>
      <c r="N20" s="3">
        <v>2</v>
      </c>
      <c r="O20" s="3">
        <v>1</v>
      </c>
      <c r="P20" s="3">
        <v>2</v>
      </c>
      <c r="Q20" s="3">
        <v>1</v>
      </c>
      <c r="R20" s="3">
        <v>1</v>
      </c>
      <c r="S20" s="3">
        <v>1</v>
      </c>
      <c r="T20" s="3">
        <v>0</v>
      </c>
      <c r="U20" s="3">
        <v>1</v>
      </c>
      <c r="V20" s="3">
        <v>3</v>
      </c>
      <c r="W20" s="3">
        <v>0</v>
      </c>
      <c r="X20" s="3">
        <v>1</v>
      </c>
      <c r="Y20" s="3">
        <v>1</v>
      </c>
      <c r="Z20" s="3">
        <v>0</v>
      </c>
      <c r="AA20" s="3">
        <v>1</v>
      </c>
      <c r="AB20" s="3">
        <v>2</v>
      </c>
      <c r="AC20" s="3">
        <v>0</v>
      </c>
      <c r="AD20" s="3">
        <v>1</v>
      </c>
      <c r="AE20" s="3">
        <v>0</v>
      </c>
      <c r="AF20" s="3">
        <v>2</v>
      </c>
      <c r="AG20" s="3">
        <v>1</v>
      </c>
      <c r="AH20" s="3">
        <v>1</v>
      </c>
      <c r="AI20" s="3">
        <v>2</v>
      </c>
      <c r="AJ20" s="3">
        <v>1</v>
      </c>
    </row>
    <row r="21" spans="1:36" ht="14.5" x14ac:dyDescent="0.3">
      <c r="A21" s="4" t="s">
        <v>21</v>
      </c>
      <c r="B21" s="3">
        <v>0</v>
      </c>
      <c r="C21" s="3">
        <v>2</v>
      </c>
      <c r="D21" s="3">
        <v>1</v>
      </c>
      <c r="E21" s="3">
        <v>1</v>
      </c>
      <c r="F21" s="3">
        <v>1</v>
      </c>
      <c r="G21" s="3">
        <v>1</v>
      </c>
      <c r="H21" s="3">
        <v>3</v>
      </c>
      <c r="I21" s="3">
        <v>1</v>
      </c>
      <c r="J21" s="3">
        <v>2</v>
      </c>
      <c r="K21" s="3">
        <v>2</v>
      </c>
      <c r="L21" s="3">
        <v>2</v>
      </c>
      <c r="M21" s="3">
        <v>4</v>
      </c>
      <c r="N21" s="3">
        <v>2</v>
      </c>
      <c r="O21" s="3">
        <v>0</v>
      </c>
      <c r="P21" s="3">
        <v>1</v>
      </c>
      <c r="Q21" s="3">
        <v>1</v>
      </c>
      <c r="R21" s="3">
        <v>3</v>
      </c>
      <c r="S21" s="3">
        <v>2</v>
      </c>
      <c r="T21" s="3">
        <v>2</v>
      </c>
      <c r="U21" s="3">
        <v>0</v>
      </c>
      <c r="V21" s="3">
        <v>0</v>
      </c>
      <c r="W21" s="3">
        <v>1</v>
      </c>
      <c r="X21" s="3">
        <v>0</v>
      </c>
      <c r="Y21" s="3">
        <v>2</v>
      </c>
      <c r="Z21" s="3">
        <v>1</v>
      </c>
      <c r="AA21" s="3">
        <v>1</v>
      </c>
      <c r="AB21" s="3">
        <v>1</v>
      </c>
      <c r="AC21" s="3">
        <v>1</v>
      </c>
      <c r="AD21" s="3">
        <v>2</v>
      </c>
      <c r="AE21" s="3">
        <v>1</v>
      </c>
      <c r="AF21" s="3">
        <v>2</v>
      </c>
      <c r="AG21" s="3">
        <v>4</v>
      </c>
      <c r="AH21" s="3">
        <v>1</v>
      </c>
      <c r="AI21" s="3">
        <v>3</v>
      </c>
      <c r="AJ21" s="3">
        <v>0</v>
      </c>
    </row>
  </sheetData>
  <pageMargins left="0.75" right="0.75" top="1" bottom="1" header="0.5" footer="0.5"/>
  <headerFooter>
    <oddFooter>&amp;R_x000D_&amp;1#&amp;"Calibri"&amp;9&amp;K000000 Ierobežotas pieejamības ārēja informācija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BC9E-DEA8-4361-BB3A-04170540A0BA}">
  <dimension ref="A1:AJ21"/>
  <sheetViews>
    <sheetView tabSelected="1" workbookViewId="0">
      <selection activeCell="J28" sqref="J28"/>
    </sheetView>
  </sheetViews>
  <sheetFormatPr defaultRowHeight="14" x14ac:dyDescent="0.3"/>
  <cols>
    <col min="1" max="1" width="17.90625" style="3" customWidth="1"/>
    <col min="2" max="16384" width="8.7265625" style="3"/>
  </cols>
  <sheetData>
    <row r="1" spans="1:36" ht="14.5" x14ac:dyDescent="0.3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</row>
    <row r="2" spans="1:36" ht="14.5" x14ac:dyDescent="0.3">
      <c r="A2" s="4" t="s">
        <v>1</v>
      </c>
      <c r="B2" s="3">
        <v>1.2</v>
      </c>
      <c r="C2" s="3">
        <v>0.9</v>
      </c>
      <c r="D2" s="3">
        <v>2.1</v>
      </c>
      <c r="E2" s="3">
        <v>0.7</v>
      </c>
      <c r="F2" s="3">
        <v>0.7</v>
      </c>
      <c r="G2" s="3">
        <v>4.4000000000000004</v>
      </c>
      <c r="H2" s="3">
        <v>2.8</v>
      </c>
      <c r="I2" s="3">
        <v>0.7</v>
      </c>
      <c r="J2" s="3">
        <v>0.9</v>
      </c>
      <c r="K2" s="3">
        <v>1.1000000000000001</v>
      </c>
      <c r="L2" s="3">
        <v>1.5</v>
      </c>
      <c r="M2" s="3">
        <v>1.2</v>
      </c>
      <c r="N2" s="3">
        <v>3.5</v>
      </c>
      <c r="O2" s="3">
        <v>2.1</v>
      </c>
      <c r="P2" s="3">
        <v>1.8</v>
      </c>
      <c r="Q2" s="3">
        <v>1.2</v>
      </c>
      <c r="R2" s="3">
        <v>2.5</v>
      </c>
      <c r="S2" s="3">
        <v>1.8</v>
      </c>
      <c r="T2" s="3">
        <v>1.9</v>
      </c>
      <c r="U2" s="3">
        <v>0.9</v>
      </c>
      <c r="V2" s="3">
        <v>1.4</v>
      </c>
      <c r="W2" s="3">
        <v>1.3</v>
      </c>
      <c r="X2" s="3">
        <v>1</v>
      </c>
      <c r="Y2" s="3">
        <v>1</v>
      </c>
      <c r="Z2" s="3">
        <v>1.4</v>
      </c>
      <c r="AA2" s="3">
        <v>1.2</v>
      </c>
      <c r="AB2" s="3">
        <v>1</v>
      </c>
      <c r="AC2" s="3">
        <v>1.6</v>
      </c>
      <c r="AD2" s="3">
        <v>0.7</v>
      </c>
      <c r="AE2" s="3">
        <v>2.2000000000000002</v>
      </c>
      <c r="AF2" s="3">
        <v>1.8</v>
      </c>
      <c r="AG2" s="3">
        <v>1</v>
      </c>
      <c r="AH2" s="3">
        <v>2.4</v>
      </c>
      <c r="AI2" s="3">
        <v>1.2</v>
      </c>
      <c r="AJ2" s="3">
        <v>1.4</v>
      </c>
    </row>
    <row r="3" spans="1:36" ht="14.5" x14ac:dyDescent="0.3">
      <c r="A3" s="4" t="s">
        <v>2</v>
      </c>
      <c r="B3" s="3">
        <v>2</v>
      </c>
      <c r="C3" s="3">
        <v>1.2</v>
      </c>
      <c r="D3" s="3">
        <v>1.4</v>
      </c>
      <c r="E3" s="3">
        <v>2.1</v>
      </c>
      <c r="F3" s="3">
        <v>1.7</v>
      </c>
      <c r="G3" s="3">
        <v>0.8</v>
      </c>
      <c r="H3" s="3">
        <v>0.5</v>
      </c>
      <c r="I3" s="3">
        <v>1.6</v>
      </c>
      <c r="J3" s="3">
        <v>1.8</v>
      </c>
      <c r="K3" s="3">
        <v>1.8</v>
      </c>
      <c r="L3" s="3">
        <v>1.2</v>
      </c>
      <c r="M3" s="3">
        <v>3</v>
      </c>
      <c r="N3" s="3">
        <v>1.2</v>
      </c>
      <c r="O3" s="3">
        <v>2.4</v>
      </c>
      <c r="P3" s="3">
        <v>2.2999999999999998</v>
      </c>
      <c r="Q3" s="3">
        <v>0.4</v>
      </c>
      <c r="R3" s="3">
        <v>1.6</v>
      </c>
      <c r="S3" s="3">
        <v>0.3</v>
      </c>
      <c r="T3" s="3">
        <v>1.8</v>
      </c>
      <c r="U3" s="3">
        <v>1.4</v>
      </c>
      <c r="V3" s="3">
        <v>1.2</v>
      </c>
      <c r="W3" s="3">
        <v>1</v>
      </c>
      <c r="X3" s="3">
        <v>0.9</v>
      </c>
      <c r="Y3" s="3">
        <v>0.4</v>
      </c>
      <c r="Z3" s="3">
        <v>2.4</v>
      </c>
      <c r="AA3" s="3">
        <v>2.2999999999999998</v>
      </c>
      <c r="AB3" s="3">
        <v>0.4</v>
      </c>
      <c r="AC3" s="3">
        <v>1.3</v>
      </c>
      <c r="AD3" s="3">
        <v>0.6</v>
      </c>
      <c r="AE3" s="3">
        <v>1.2</v>
      </c>
      <c r="AF3" s="3">
        <v>3</v>
      </c>
      <c r="AG3" s="3">
        <v>3</v>
      </c>
      <c r="AH3" s="3">
        <v>2.2000000000000002</v>
      </c>
      <c r="AI3" s="3">
        <v>1.8</v>
      </c>
      <c r="AJ3" s="3">
        <v>1</v>
      </c>
    </row>
    <row r="4" spans="1:36" ht="14.5" x14ac:dyDescent="0.3">
      <c r="A4" s="4" t="s">
        <v>3</v>
      </c>
      <c r="B4" s="3">
        <v>1.2</v>
      </c>
      <c r="C4" s="3">
        <v>2.2000000000000002</v>
      </c>
      <c r="D4" s="3">
        <v>2.4</v>
      </c>
      <c r="E4" s="3">
        <v>1.7</v>
      </c>
      <c r="F4" s="3">
        <v>1.1000000000000001</v>
      </c>
      <c r="G4" s="3">
        <v>1.3</v>
      </c>
      <c r="H4" s="3">
        <v>2.1</v>
      </c>
      <c r="I4" s="3">
        <v>1.8</v>
      </c>
      <c r="J4" s="3">
        <v>0.3</v>
      </c>
      <c r="K4" s="3">
        <v>2</v>
      </c>
      <c r="L4" s="3">
        <v>2.6</v>
      </c>
      <c r="M4" s="3">
        <v>1.6</v>
      </c>
      <c r="N4" s="3">
        <v>3.3</v>
      </c>
      <c r="O4" s="3">
        <v>3.5</v>
      </c>
      <c r="P4" s="3">
        <v>3.2</v>
      </c>
      <c r="Q4" s="3">
        <v>1.9</v>
      </c>
      <c r="R4" s="3">
        <v>1.6</v>
      </c>
      <c r="S4" s="3">
        <v>1.4</v>
      </c>
      <c r="T4" s="3">
        <v>2</v>
      </c>
      <c r="U4" s="3">
        <v>1.8</v>
      </c>
      <c r="V4" s="3">
        <v>1.2</v>
      </c>
      <c r="W4" s="3">
        <v>2</v>
      </c>
      <c r="X4" s="3">
        <v>1.7</v>
      </c>
      <c r="Y4" s="3">
        <v>1.6</v>
      </c>
      <c r="Z4" s="3">
        <v>1.2</v>
      </c>
      <c r="AA4" s="3">
        <v>0.9</v>
      </c>
      <c r="AB4" s="3">
        <v>1.5</v>
      </c>
      <c r="AC4" s="3">
        <v>2.2000000000000002</v>
      </c>
      <c r="AD4" s="3">
        <v>1.6</v>
      </c>
      <c r="AE4" s="3">
        <v>1.8</v>
      </c>
      <c r="AF4" s="3">
        <v>2.1</v>
      </c>
      <c r="AG4" s="3">
        <v>1.4</v>
      </c>
      <c r="AH4" s="3">
        <v>0.7</v>
      </c>
      <c r="AI4" s="3">
        <v>0.5</v>
      </c>
      <c r="AJ4" s="3">
        <v>0.9</v>
      </c>
    </row>
    <row r="5" spans="1:36" ht="14.5" x14ac:dyDescent="0.3">
      <c r="A5" s="4" t="s">
        <v>4</v>
      </c>
      <c r="B5" s="3">
        <v>1.6</v>
      </c>
      <c r="C5" s="3">
        <v>0.5</v>
      </c>
      <c r="D5" s="3">
        <v>2.8</v>
      </c>
      <c r="E5" s="3">
        <v>1</v>
      </c>
      <c r="F5" s="3">
        <v>0.8</v>
      </c>
      <c r="G5" s="3">
        <v>0.4</v>
      </c>
      <c r="H5" s="3">
        <v>4.2</v>
      </c>
      <c r="I5" s="3">
        <v>0.9</v>
      </c>
      <c r="J5" s="3">
        <v>4</v>
      </c>
      <c r="K5" s="3">
        <v>0.6</v>
      </c>
      <c r="L5" s="3">
        <v>1.5</v>
      </c>
      <c r="M5" s="3">
        <v>1.1000000000000001</v>
      </c>
      <c r="N5" s="3">
        <v>2.4</v>
      </c>
      <c r="O5" s="3">
        <v>0.9</v>
      </c>
      <c r="P5" s="3">
        <v>1.2</v>
      </c>
      <c r="Q5" s="3">
        <v>1.6</v>
      </c>
      <c r="R5" s="3">
        <v>0.7</v>
      </c>
      <c r="S5" s="3">
        <v>1.1000000000000001</v>
      </c>
      <c r="T5" s="3">
        <v>0.3</v>
      </c>
      <c r="U5" s="3">
        <v>4.4000000000000004</v>
      </c>
      <c r="V5" s="3">
        <v>2.5</v>
      </c>
      <c r="W5" s="3">
        <v>0.7</v>
      </c>
      <c r="X5" s="3">
        <v>1.3</v>
      </c>
      <c r="Y5" s="3">
        <v>2.1</v>
      </c>
      <c r="Z5" s="3">
        <v>1.6</v>
      </c>
      <c r="AA5" s="3">
        <v>1.5</v>
      </c>
      <c r="AB5" s="3">
        <v>1.4</v>
      </c>
      <c r="AC5" s="3">
        <v>0.8</v>
      </c>
      <c r="AD5" s="3">
        <v>0.8</v>
      </c>
      <c r="AE5" s="3">
        <v>1.5</v>
      </c>
      <c r="AF5" s="3">
        <v>1.1000000000000001</v>
      </c>
      <c r="AG5" s="3">
        <v>0.2</v>
      </c>
      <c r="AH5" s="3">
        <v>2.1</v>
      </c>
      <c r="AI5" s="3">
        <v>1.3</v>
      </c>
      <c r="AJ5" s="3">
        <v>2.8</v>
      </c>
    </row>
    <row r="6" spans="1:36" ht="14.5" x14ac:dyDescent="0.3">
      <c r="A6" s="4" t="s">
        <v>5</v>
      </c>
      <c r="B6" s="3">
        <v>1.4</v>
      </c>
      <c r="C6" s="3">
        <v>2.1</v>
      </c>
      <c r="D6" s="3">
        <v>1.7</v>
      </c>
      <c r="E6" s="3">
        <v>1.6</v>
      </c>
      <c r="F6" s="3">
        <v>1</v>
      </c>
      <c r="G6" s="3">
        <v>1.1000000000000001</v>
      </c>
      <c r="H6" s="3">
        <v>1.8</v>
      </c>
      <c r="I6" s="3">
        <v>1.1000000000000001</v>
      </c>
      <c r="J6" s="3">
        <v>1.3</v>
      </c>
      <c r="K6" s="3">
        <v>1</v>
      </c>
      <c r="L6" s="3">
        <v>2.2999999999999998</v>
      </c>
      <c r="M6" s="3">
        <v>0.9</v>
      </c>
      <c r="N6" s="3">
        <v>1.7</v>
      </c>
      <c r="O6" s="3">
        <v>1.4</v>
      </c>
      <c r="P6" s="3">
        <v>1.5</v>
      </c>
      <c r="Q6" s="3">
        <v>1</v>
      </c>
      <c r="R6" s="3">
        <v>0.9</v>
      </c>
      <c r="S6" s="3">
        <v>1.3</v>
      </c>
      <c r="T6" s="3">
        <v>1.1000000000000001</v>
      </c>
      <c r="U6" s="3">
        <v>1.5</v>
      </c>
      <c r="V6" s="3">
        <v>1</v>
      </c>
      <c r="W6" s="3">
        <v>1.9</v>
      </c>
      <c r="X6" s="3">
        <v>0.7</v>
      </c>
      <c r="Y6" s="3">
        <v>0.9</v>
      </c>
      <c r="Z6" s="3">
        <v>1.4</v>
      </c>
      <c r="AA6" s="3">
        <v>3.9</v>
      </c>
      <c r="AB6" s="3">
        <v>2.4</v>
      </c>
      <c r="AC6" s="3">
        <v>1.5</v>
      </c>
      <c r="AD6" s="3">
        <v>2</v>
      </c>
      <c r="AE6" s="3">
        <v>0.9</v>
      </c>
      <c r="AF6" s="3">
        <v>1</v>
      </c>
      <c r="AG6" s="3">
        <v>3.8</v>
      </c>
      <c r="AH6" s="3">
        <v>1.4</v>
      </c>
      <c r="AI6" s="3">
        <v>1.3</v>
      </c>
      <c r="AJ6" s="3">
        <v>0.7</v>
      </c>
    </row>
    <row r="7" spans="1:36" ht="14.5" x14ac:dyDescent="0.3">
      <c r="A7" s="4" t="s">
        <v>7</v>
      </c>
      <c r="B7" s="3">
        <v>1</v>
      </c>
      <c r="C7" s="3">
        <v>1.6</v>
      </c>
      <c r="D7" s="3">
        <v>2.4</v>
      </c>
      <c r="E7" s="3">
        <v>0.8</v>
      </c>
      <c r="F7" s="3">
        <v>2.2000000000000002</v>
      </c>
      <c r="G7" s="3">
        <v>4.2</v>
      </c>
      <c r="H7" s="3">
        <v>2.2999999999999998</v>
      </c>
      <c r="I7" s="3">
        <v>1</v>
      </c>
      <c r="J7" s="3">
        <v>1.6</v>
      </c>
      <c r="K7" s="3">
        <v>1.1000000000000001</v>
      </c>
      <c r="L7" s="3">
        <v>1.5</v>
      </c>
      <c r="M7" s="3">
        <v>2.7</v>
      </c>
      <c r="N7" s="3">
        <v>1.6</v>
      </c>
      <c r="O7" s="3">
        <v>5.2</v>
      </c>
      <c r="P7" s="3">
        <v>2.8</v>
      </c>
      <c r="Q7" s="3">
        <v>2.2000000000000002</v>
      </c>
      <c r="R7" s="3">
        <v>1.2</v>
      </c>
      <c r="S7" s="3">
        <v>1.1000000000000001</v>
      </c>
      <c r="T7" s="3">
        <v>2</v>
      </c>
      <c r="U7" s="3">
        <v>1.2</v>
      </c>
      <c r="V7" s="3">
        <v>2.5</v>
      </c>
      <c r="W7" s="3">
        <v>3.1</v>
      </c>
      <c r="X7" s="3">
        <v>1.8</v>
      </c>
      <c r="Y7" s="3">
        <v>1.6</v>
      </c>
      <c r="Z7" s="3">
        <v>0.5</v>
      </c>
      <c r="AA7" s="3">
        <v>2.2999999999999998</v>
      </c>
      <c r="AB7" s="3">
        <v>2.4</v>
      </c>
      <c r="AC7" s="3">
        <v>1.7</v>
      </c>
      <c r="AD7" s="3">
        <v>0.4</v>
      </c>
      <c r="AE7" s="3">
        <v>1</v>
      </c>
      <c r="AF7" s="3">
        <v>1.2</v>
      </c>
      <c r="AG7" s="3">
        <v>2.2000000000000002</v>
      </c>
      <c r="AH7" s="3">
        <v>0.9</v>
      </c>
      <c r="AI7" s="3">
        <v>0.8</v>
      </c>
      <c r="AJ7" s="3">
        <v>3.1</v>
      </c>
    </row>
    <row r="8" spans="1:36" ht="14.5" x14ac:dyDescent="0.3">
      <c r="A8" s="4" t="s">
        <v>8</v>
      </c>
      <c r="B8" s="3">
        <v>1.2</v>
      </c>
      <c r="C8" s="3">
        <v>1.3</v>
      </c>
      <c r="D8" s="3">
        <v>0.5</v>
      </c>
      <c r="E8" s="3">
        <v>2.5</v>
      </c>
      <c r="F8" s="3">
        <v>1</v>
      </c>
      <c r="G8" s="3">
        <v>0.9</v>
      </c>
      <c r="H8" s="3">
        <v>0.6</v>
      </c>
      <c r="I8" s="3">
        <v>1</v>
      </c>
      <c r="J8" s="3">
        <v>0.8</v>
      </c>
      <c r="K8" s="3">
        <v>2.4</v>
      </c>
      <c r="L8" s="3">
        <v>1.5</v>
      </c>
      <c r="M8" s="3">
        <v>1.3</v>
      </c>
      <c r="N8" s="3">
        <v>1.7</v>
      </c>
      <c r="O8" s="3">
        <v>1.6</v>
      </c>
      <c r="P8" s="3">
        <v>1.3</v>
      </c>
      <c r="Q8" s="3">
        <v>2.2000000000000002</v>
      </c>
      <c r="R8" s="3">
        <v>1.6</v>
      </c>
      <c r="S8" s="3">
        <v>0.4</v>
      </c>
      <c r="T8" s="3">
        <v>2</v>
      </c>
      <c r="U8" s="3">
        <v>1.1000000000000001</v>
      </c>
      <c r="V8" s="3">
        <v>1.8</v>
      </c>
      <c r="W8" s="3">
        <v>1.3</v>
      </c>
      <c r="X8" s="3">
        <v>1.1000000000000001</v>
      </c>
      <c r="Y8" s="3">
        <v>2.6</v>
      </c>
      <c r="Z8" s="3">
        <v>1.6</v>
      </c>
      <c r="AA8" s="3">
        <v>1.3</v>
      </c>
      <c r="AB8" s="3">
        <v>4.3</v>
      </c>
      <c r="AC8" s="3">
        <v>3.2</v>
      </c>
      <c r="AD8" s="3">
        <v>2</v>
      </c>
      <c r="AE8" s="3">
        <v>0.7</v>
      </c>
      <c r="AF8" s="3">
        <v>0.6</v>
      </c>
      <c r="AG8" s="3">
        <v>1.8</v>
      </c>
      <c r="AH8" s="3">
        <v>0.4</v>
      </c>
      <c r="AI8" s="3">
        <v>1.7</v>
      </c>
      <c r="AJ8" s="3">
        <v>2.2999999999999998</v>
      </c>
    </row>
    <row r="9" spans="1:36" ht="14.5" x14ac:dyDescent="0.3">
      <c r="A9" s="4" t="s">
        <v>9</v>
      </c>
      <c r="B9" s="3">
        <v>0.5</v>
      </c>
      <c r="C9" s="3">
        <v>1</v>
      </c>
      <c r="D9" s="3">
        <v>1.8</v>
      </c>
      <c r="E9" s="3">
        <v>0.9</v>
      </c>
      <c r="F9" s="3">
        <v>1.1000000000000001</v>
      </c>
      <c r="G9" s="3">
        <v>0.9</v>
      </c>
      <c r="H9" s="3">
        <v>0.7</v>
      </c>
      <c r="I9" s="3">
        <v>1.7</v>
      </c>
      <c r="J9" s="3">
        <v>0.8</v>
      </c>
      <c r="K9" s="3">
        <v>1.6</v>
      </c>
      <c r="L9" s="3">
        <v>1.1000000000000001</v>
      </c>
      <c r="M9" s="3">
        <v>1.2</v>
      </c>
      <c r="N9" s="3">
        <v>0.6</v>
      </c>
      <c r="O9" s="3">
        <v>1</v>
      </c>
      <c r="P9" s="3">
        <v>1</v>
      </c>
      <c r="Q9" s="3">
        <v>0.1</v>
      </c>
      <c r="R9" s="3">
        <v>1</v>
      </c>
      <c r="S9" s="3">
        <v>0.7</v>
      </c>
      <c r="T9" s="3">
        <v>0.9</v>
      </c>
      <c r="U9" s="3">
        <v>0.7</v>
      </c>
      <c r="V9" s="3">
        <v>1.1000000000000001</v>
      </c>
      <c r="W9" s="3">
        <v>1.8</v>
      </c>
      <c r="X9" s="3">
        <v>0.8</v>
      </c>
      <c r="Y9" s="3">
        <v>2.5</v>
      </c>
      <c r="Z9" s="3">
        <v>0.9</v>
      </c>
      <c r="AA9" s="3">
        <v>1.6</v>
      </c>
      <c r="AB9" s="3">
        <v>1.5</v>
      </c>
      <c r="AC9" s="3">
        <v>1.2</v>
      </c>
      <c r="AD9" s="3">
        <v>1</v>
      </c>
      <c r="AE9" s="3">
        <v>0.9</v>
      </c>
      <c r="AF9" s="3">
        <v>1.1000000000000001</v>
      </c>
      <c r="AG9" s="3">
        <v>1.4</v>
      </c>
      <c r="AH9" s="3">
        <v>0.9</v>
      </c>
      <c r="AI9" s="3">
        <v>0.4</v>
      </c>
      <c r="AJ9" s="3">
        <v>0.6</v>
      </c>
    </row>
    <row r="10" spans="1:36" ht="14.5" x14ac:dyDescent="0.3">
      <c r="A10" s="4" t="s">
        <v>10</v>
      </c>
      <c r="B10" s="3">
        <v>0.4</v>
      </c>
      <c r="C10" s="3">
        <v>1.8</v>
      </c>
      <c r="D10" s="3">
        <v>0.9</v>
      </c>
      <c r="E10" s="3">
        <v>1.5</v>
      </c>
      <c r="F10" s="3">
        <v>2.2000000000000002</v>
      </c>
      <c r="G10" s="3">
        <v>1.3</v>
      </c>
      <c r="H10" s="3">
        <v>2.6</v>
      </c>
      <c r="I10" s="3">
        <v>1.8</v>
      </c>
      <c r="J10" s="3">
        <v>1.2</v>
      </c>
      <c r="K10" s="3">
        <v>1.3</v>
      </c>
      <c r="L10" s="3">
        <v>1.8</v>
      </c>
      <c r="M10" s="3">
        <v>1</v>
      </c>
      <c r="N10" s="3">
        <v>1.5</v>
      </c>
      <c r="O10" s="3">
        <v>1.1000000000000001</v>
      </c>
      <c r="P10" s="3">
        <v>0.2</v>
      </c>
      <c r="Q10" s="3">
        <v>1.2</v>
      </c>
      <c r="R10" s="3">
        <v>0.9</v>
      </c>
      <c r="S10" s="3">
        <v>1.8</v>
      </c>
      <c r="T10" s="3">
        <v>1.1000000000000001</v>
      </c>
      <c r="U10" s="3">
        <v>2.2000000000000002</v>
      </c>
      <c r="V10" s="3">
        <v>1.7</v>
      </c>
      <c r="W10" s="3">
        <v>2</v>
      </c>
      <c r="X10" s="3">
        <v>0.7</v>
      </c>
      <c r="Y10" s="3">
        <v>1.6</v>
      </c>
      <c r="Z10" s="3">
        <v>2.1</v>
      </c>
      <c r="AA10" s="3">
        <v>0.2</v>
      </c>
      <c r="AB10" s="3">
        <v>1.7</v>
      </c>
      <c r="AC10" s="3">
        <v>0.9</v>
      </c>
      <c r="AD10" s="3">
        <v>1</v>
      </c>
      <c r="AE10" s="3">
        <v>1</v>
      </c>
      <c r="AF10" s="3">
        <v>0.7</v>
      </c>
      <c r="AG10" s="3">
        <v>1</v>
      </c>
      <c r="AH10" s="3">
        <v>0.3</v>
      </c>
      <c r="AI10" s="3">
        <v>2.4</v>
      </c>
      <c r="AJ10" s="3">
        <v>0.9</v>
      </c>
    </row>
    <row r="11" spans="1:36" ht="14.5" x14ac:dyDescent="0.3">
      <c r="A11" s="4" t="s">
        <v>11</v>
      </c>
      <c r="B11" s="3">
        <v>0.5</v>
      </c>
      <c r="C11" s="3">
        <v>0.3</v>
      </c>
      <c r="D11" s="3">
        <v>0.4</v>
      </c>
      <c r="E11" s="3">
        <v>0.3</v>
      </c>
      <c r="F11" s="3">
        <v>1.6</v>
      </c>
      <c r="G11" s="3">
        <v>1.2</v>
      </c>
      <c r="H11" s="3">
        <v>0.6</v>
      </c>
      <c r="I11" s="3">
        <v>1.3</v>
      </c>
      <c r="J11" s="3">
        <v>1.3</v>
      </c>
      <c r="K11" s="3">
        <v>1</v>
      </c>
      <c r="L11" s="3">
        <v>1.6</v>
      </c>
      <c r="M11" s="3">
        <v>1.6</v>
      </c>
      <c r="N11" s="3">
        <v>0.6</v>
      </c>
      <c r="O11" s="3">
        <v>0.5</v>
      </c>
      <c r="P11" s="3">
        <v>1.3</v>
      </c>
      <c r="Q11" s="3">
        <v>1.1000000000000001</v>
      </c>
      <c r="R11" s="3">
        <v>0.7</v>
      </c>
      <c r="S11" s="3">
        <v>0.2</v>
      </c>
      <c r="T11" s="3">
        <v>1.6</v>
      </c>
      <c r="U11" s="3">
        <v>1.5</v>
      </c>
      <c r="V11" s="3">
        <v>0.3</v>
      </c>
      <c r="W11" s="3">
        <v>0.5</v>
      </c>
      <c r="X11" s="3">
        <v>0.5</v>
      </c>
      <c r="Y11" s="3">
        <v>1.8</v>
      </c>
      <c r="Z11" s="3">
        <v>0.4</v>
      </c>
      <c r="AA11" s="3">
        <v>1.1000000000000001</v>
      </c>
      <c r="AB11" s="3">
        <v>1.4</v>
      </c>
      <c r="AC11" s="3">
        <v>1.5</v>
      </c>
      <c r="AD11" s="3">
        <v>0.4</v>
      </c>
      <c r="AE11" s="3">
        <v>1.2</v>
      </c>
      <c r="AF11" s="3">
        <v>0.8</v>
      </c>
      <c r="AG11" s="3">
        <v>1.1000000000000001</v>
      </c>
      <c r="AH11" s="3">
        <v>0.2</v>
      </c>
      <c r="AI11" s="3">
        <v>0.1</v>
      </c>
      <c r="AJ11" s="3">
        <v>0.8</v>
      </c>
    </row>
    <row r="12" spans="1:36" ht="14.5" x14ac:dyDescent="0.3">
      <c r="A12" s="4" t="s">
        <v>12</v>
      </c>
      <c r="B12" s="3">
        <v>1</v>
      </c>
      <c r="C12" s="3">
        <v>0.6</v>
      </c>
      <c r="D12" s="3">
        <v>0.4</v>
      </c>
      <c r="E12" s="3">
        <v>1.2</v>
      </c>
      <c r="F12" s="3">
        <v>0.7</v>
      </c>
      <c r="G12" s="3">
        <v>0.3</v>
      </c>
      <c r="H12" s="3">
        <v>0.8</v>
      </c>
      <c r="I12" s="3">
        <v>3.1</v>
      </c>
      <c r="J12" s="3">
        <v>0.8</v>
      </c>
      <c r="K12" s="3">
        <v>1.5</v>
      </c>
      <c r="L12" s="3">
        <v>0.6</v>
      </c>
      <c r="M12" s="3">
        <v>1.1000000000000001</v>
      </c>
      <c r="N12" s="3">
        <v>1.1000000000000001</v>
      </c>
      <c r="O12" s="3">
        <v>1.7</v>
      </c>
      <c r="P12" s="3">
        <v>1.3</v>
      </c>
      <c r="Q12" s="3">
        <v>0.2</v>
      </c>
      <c r="R12" s="3">
        <v>0.8</v>
      </c>
      <c r="S12" s="3">
        <v>0.3</v>
      </c>
      <c r="T12" s="3">
        <v>1.3</v>
      </c>
      <c r="U12" s="3">
        <v>0.4</v>
      </c>
      <c r="V12" s="3">
        <v>1.7</v>
      </c>
      <c r="W12" s="3">
        <v>0.6</v>
      </c>
      <c r="X12" s="3">
        <v>1.6</v>
      </c>
      <c r="Y12" s="3">
        <v>0.3</v>
      </c>
      <c r="Z12" s="3">
        <v>0.2</v>
      </c>
      <c r="AA12" s="3">
        <v>0.5</v>
      </c>
      <c r="AB12" s="3">
        <v>0.4</v>
      </c>
      <c r="AC12" s="3">
        <v>0.1</v>
      </c>
      <c r="AD12" s="3">
        <v>1</v>
      </c>
      <c r="AE12" s="3">
        <v>0.1</v>
      </c>
      <c r="AF12" s="3">
        <v>0.5</v>
      </c>
      <c r="AG12" s="3">
        <v>1.5</v>
      </c>
      <c r="AH12" s="3">
        <v>0.3</v>
      </c>
      <c r="AI12" s="3">
        <v>1.1000000000000001</v>
      </c>
      <c r="AJ12" s="3">
        <v>1.4</v>
      </c>
    </row>
    <row r="13" spans="1:36" ht="14.5" x14ac:dyDescent="0.3">
      <c r="A13" s="4" t="s">
        <v>13</v>
      </c>
      <c r="B13" s="3">
        <v>2.6</v>
      </c>
      <c r="C13" s="3">
        <v>2.5</v>
      </c>
      <c r="D13" s="3">
        <v>1.8</v>
      </c>
      <c r="E13" s="3">
        <v>0.9</v>
      </c>
      <c r="F13" s="3">
        <v>2</v>
      </c>
      <c r="G13" s="3">
        <v>2.5</v>
      </c>
      <c r="H13" s="3">
        <v>1.4</v>
      </c>
      <c r="I13" s="3">
        <v>1.9</v>
      </c>
      <c r="J13" s="3">
        <v>0.8</v>
      </c>
      <c r="K13" s="3">
        <v>1.6</v>
      </c>
      <c r="L13" s="3">
        <v>2</v>
      </c>
      <c r="M13" s="3">
        <v>3.1</v>
      </c>
      <c r="N13" s="3">
        <v>3.4</v>
      </c>
      <c r="O13" s="3">
        <v>1.9</v>
      </c>
      <c r="P13" s="3">
        <v>0.6</v>
      </c>
      <c r="Q13" s="3">
        <v>2.1</v>
      </c>
      <c r="R13" s="3">
        <v>5.6</v>
      </c>
      <c r="S13" s="3">
        <v>2</v>
      </c>
      <c r="T13" s="3">
        <v>3.1</v>
      </c>
      <c r="U13" s="3">
        <v>2.7</v>
      </c>
      <c r="V13" s="3">
        <v>2</v>
      </c>
      <c r="W13" s="3">
        <v>3.4</v>
      </c>
      <c r="X13" s="3">
        <v>2</v>
      </c>
      <c r="Y13" s="3">
        <v>2.5</v>
      </c>
      <c r="Z13" s="3">
        <v>1.7</v>
      </c>
      <c r="AA13" s="3">
        <v>0.7</v>
      </c>
      <c r="AB13" s="3">
        <v>1.7</v>
      </c>
      <c r="AC13" s="3">
        <v>3.9</v>
      </c>
      <c r="AD13" s="3">
        <v>2.5</v>
      </c>
      <c r="AE13" s="3">
        <v>1.5</v>
      </c>
      <c r="AF13" s="3">
        <v>1.5</v>
      </c>
      <c r="AG13" s="3">
        <v>1.8</v>
      </c>
      <c r="AH13" s="3">
        <v>2.5</v>
      </c>
      <c r="AI13" s="3">
        <v>2.2000000000000002</v>
      </c>
      <c r="AJ13" s="3">
        <v>1</v>
      </c>
    </row>
    <row r="14" spans="1:36" ht="14.5" x14ac:dyDescent="0.3">
      <c r="A14" s="4" t="s">
        <v>14</v>
      </c>
      <c r="B14" s="3">
        <v>0.8</v>
      </c>
      <c r="C14" s="3">
        <v>3.3</v>
      </c>
      <c r="D14" s="3">
        <v>3</v>
      </c>
      <c r="E14" s="3">
        <v>2.1</v>
      </c>
      <c r="F14" s="3">
        <v>2.1</v>
      </c>
      <c r="G14" s="3">
        <v>0.9</v>
      </c>
      <c r="H14" s="3">
        <v>1.6</v>
      </c>
      <c r="I14" s="3">
        <v>1.6</v>
      </c>
      <c r="J14" s="3">
        <v>2.9</v>
      </c>
      <c r="K14" s="3">
        <v>1.6</v>
      </c>
      <c r="L14" s="3">
        <v>2.1</v>
      </c>
      <c r="M14" s="3">
        <v>2.1</v>
      </c>
      <c r="N14" s="3">
        <v>0.8</v>
      </c>
      <c r="O14" s="3">
        <v>2.4</v>
      </c>
      <c r="P14" s="3">
        <v>1.4</v>
      </c>
      <c r="Q14" s="3">
        <v>0.9</v>
      </c>
      <c r="R14" s="3">
        <v>1</v>
      </c>
      <c r="S14" s="3">
        <v>2.1</v>
      </c>
      <c r="T14" s="3">
        <v>1.3</v>
      </c>
      <c r="U14" s="3">
        <v>1.9</v>
      </c>
      <c r="V14" s="3">
        <v>2.2000000000000002</v>
      </c>
      <c r="W14" s="3">
        <v>3</v>
      </c>
      <c r="X14" s="3">
        <v>2.2000000000000002</v>
      </c>
      <c r="Y14" s="3">
        <v>0.8</v>
      </c>
      <c r="Z14" s="3">
        <v>1.9</v>
      </c>
      <c r="AA14" s="3">
        <v>0.6</v>
      </c>
      <c r="AB14" s="3">
        <v>2.1</v>
      </c>
      <c r="AC14" s="3">
        <v>0.9</v>
      </c>
      <c r="AD14" s="3">
        <v>1.7</v>
      </c>
      <c r="AE14" s="3">
        <v>2.2000000000000002</v>
      </c>
      <c r="AF14" s="3">
        <v>0.5</v>
      </c>
      <c r="AG14" s="3">
        <v>3.7</v>
      </c>
      <c r="AH14" s="3">
        <v>2</v>
      </c>
      <c r="AI14" s="3">
        <v>1.3</v>
      </c>
      <c r="AJ14" s="3">
        <v>0.7</v>
      </c>
    </row>
    <row r="15" spans="1:36" ht="14.5" x14ac:dyDescent="0.3">
      <c r="A15" s="4" t="s">
        <v>15</v>
      </c>
      <c r="B15" s="3">
        <v>2.4</v>
      </c>
      <c r="C15" s="3">
        <v>1.4</v>
      </c>
      <c r="D15" s="3">
        <v>1.4</v>
      </c>
      <c r="E15" s="3">
        <v>2.6</v>
      </c>
      <c r="F15" s="3">
        <v>1.6</v>
      </c>
      <c r="G15" s="3">
        <v>1</v>
      </c>
      <c r="H15" s="3">
        <v>0.6</v>
      </c>
      <c r="I15" s="3">
        <v>1.3</v>
      </c>
      <c r="J15" s="3">
        <v>2.2999999999999998</v>
      </c>
      <c r="K15" s="3">
        <v>2</v>
      </c>
      <c r="L15" s="3">
        <v>0.8</v>
      </c>
      <c r="M15" s="3">
        <v>0.8</v>
      </c>
      <c r="N15" s="3">
        <v>1.1000000000000001</v>
      </c>
      <c r="O15" s="3">
        <v>0.2</v>
      </c>
      <c r="P15" s="3">
        <v>1.6</v>
      </c>
      <c r="Q15" s="3">
        <v>2.1</v>
      </c>
      <c r="R15" s="3">
        <v>2.2000000000000002</v>
      </c>
      <c r="S15" s="3">
        <v>0.4</v>
      </c>
      <c r="T15" s="3">
        <v>0.8</v>
      </c>
      <c r="U15" s="3">
        <v>1</v>
      </c>
      <c r="V15" s="3">
        <v>3.4</v>
      </c>
      <c r="W15" s="3">
        <v>1.5</v>
      </c>
      <c r="X15" s="3">
        <v>0.3</v>
      </c>
      <c r="Y15" s="3">
        <v>1.1000000000000001</v>
      </c>
      <c r="Z15" s="3">
        <v>1.5</v>
      </c>
      <c r="AA15" s="3">
        <v>0.4</v>
      </c>
      <c r="AB15" s="3">
        <v>0.7</v>
      </c>
      <c r="AC15" s="3">
        <v>1.5</v>
      </c>
      <c r="AD15" s="3">
        <v>0.9</v>
      </c>
      <c r="AE15" s="3">
        <v>1.6</v>
      </c>
      <c r="AF15" s="3">
        <v>0.9</v>
      </c>
      <c r="AG15" s="3">
        <v>0.7</v>
      </c>
      <c r="AH15" s="3">
        <v>1.3</v>
      </c>
      <c r="AI15" s="3">
        <v>2.2999999999999998</v>
      </c>
      <c r="AJ15" s="3">
        <v>1.5</v>
      </c>
    </row>
    <row r="16" spans="1:36" ht="14.5" x14ac:dyDescent="0.3">
      <c r="A16" s="4" t="s">
        <v>16</v>
      </c>
      <c r="B16" s="3">
        <v>0.3</v>
      </c>
      <c r="C16" s="3">
        <v>1.6</v>
      </c>
      <c r="D16" s="3">
        <v>1.8</v>
      </c>
      <c r="E16" s="3">
        <v>1.5</v>
      </c>
      <c r="F16" s="3">
        <v>1.5</v>
      </c>
      <c r="G16" s="3">
        <v>1.6</v>
      </c>
      <c r="H16" s="3">
        <v>2.1</v>
      </c>
      <c r="I16" s="3">
        <v>2</v>
      </c>
      <c r="J16" s="3">
        <v>1.8</v>
      </c>
      <c r="K16" s="3">
        <v>0.5</v>
      </c>
      <c r="L16" s="3">
        <v>1.6</v>
      </c>
      <c r="M16" s="3">
        <v>1.6</v>
      </c>
      <c r="N16" s="3">
        <v>0</v>
      </c>
      <c r="O16" s="3">
        <v>2.1</v>
      </c>
      <c r="P16" s="3">
        <v>1.5</v>
      </c>
      <c r="Q16" s="3">
        <v>3.8</v>
      </c>
      <c r="R16" s="3">
        <v>2.2999999999999998</v>
      </c>
      <c r="S16" s="3">
        <v>2.7</v>
      </c>
      <c r="T16" s="3">
        <v>1.9</v>
      </c>
      <c r="U16" s="3">
        <v>2.5</v>
      </c>
      <c r="V16" s="3">
        <v>2.1</v>
      </c>
      <c r="W16" s="3">
        <v>0.8</v>
      </c>
      <c r="X16" s="3">
        <v>2.9</v>
      </c>
      <c r="Y16" s="3">
        <v>0.8</v>
      </c>
      <c r="Z16" s="3">
        <v>0.5</v>
      </c>
      <c r="AA16" s="3">
        <v>2.9</v>
      </c>
      <c r="AB16" s="3">
        <v>0.2</v>
      </c>
      <c r="AC16" s="3">
        <v>1.4</v>
      </c>
      <c r="AD16" s="3">
        <v>1.5</v>
      </c>
      <c r="AE16" s="3">
        <v>1.3</v>
      </c>
      <c r="AF16" s="3">
        <v>3.2</v>
      </c>
      <c r="AG16" s="3">
        <v>2.2000000000000002</v>
      </c>
      <c r="AH16" s="3">
        <v>1</v>
      </c>
      <c r="AI16" s="3">
        <v>2.4</v>
      </c>
      <c r="AJ16" s="3">
        <v>1.7</v>
      </c>
    </row>
    <row r="17" spans="1:36" ht="14.5" x14ac:dyDescent="0.3">
      <c r="A17" s="4" t="s">
        <v>17</v>
      </c>
      <c r="B17" s="3">
        <v>1.3</v>
      </c>
      <c r="C17" s="3">
        <v>2.2000000000000002</v>
      </c>
      <c r="D17" s="3">
        <v>1</v>
      </c>
      <c r="E17" s="3">
        <v>0.4</v>
      </c>
      <c r="F17" s="3">
        <v>1.4</v>
      </c>
      <c r="G17" s="3">
        <v>0.8</v>
      </c>
      <c r="H17" s="3">
        <v>0.9</v>
      </c>
      <c r="I17" s="3">
        <v>1.7</v>
      </c>
      <c r="J17" s="3">
        <v>1.7</v>
      </c>
      <c r="K17" s="3">
        <v>2.2000000000000002</v>
      </c>
      <c r="L17" s="3">
        <v>0.6</v>
      </c>
      <c r="M17" s="3">
        <v>0.3</v>
      </c>
      <c r="N17" s="3">
        <v>1.6</v>
      </c>
      <c r="O17" s="3">
        <v>1</v>
      </c>
      <c r="P17" s="3">
        <v>0.8</v>
      </c>
      <c r="Q17" s="3">
        <v>1.7</v>
      </c>
      <c r="R17" s="3">
        <v>0.9</v>
      </c>
      <c r="S17" s="3">
        <v>1.1000000000000001</v>
      </c>
      <c r="T17" s="3">
        <v>1.5</v>
      </c>
      <c r="U17" s="3">
        <v>2.1</v>
      </c>
      <c r="V17" s="3">
        <v>0.3</v>
      </c>
      <c r="W17" s="3">
        <v>1.8</v>
      </c>
      <c r="X17" s="3">
        <v>1</v>
      </c>
      <c r="Y17" s="3">
        <v>3.3</v>
      </c>
      <c r="Z17" s="3">
        <v>0.4</v>
      </c>
      <c r="AA17" s="3">
        <v>1.7</v>
      </c>
      <c r="AB17" s="3">
        <v>0.4</v>
      </c>
      <c r="AC17" s="3">
        <v>0.7</v>
      </c>
      <c r="AD17" s="3">
        <v>1.5</v>
      </c>
      <c r="AE17" s="3">
        <v>0.5</v>
      </c>
      <c r="AF17" s="3">
        <v>1.5</v>
      </c>
      <c r="AG17" s="3">
        <v>0.5</v>
      </c>
      <c r="AH17" s="3">
        <v>0.5</v>
      </c>
      <c r="AI17" s="3">
        <v>0.9</v>
      </c>
      <c r="AJ17" s="3">
        <v>0.7</v>
      </c>
    </row>
    <row r="18" spans="1:36" ht="14.5" x14ac:dyDescent="0.3">
      <c r="A18" s="4" t="s">
        <v>18</v>
      </c>
      <c r="B18" s="3">
        <v>1.8</v>
      </c>
      <c r="C18" s="3">
        <v>0.1</v>
      </c>
      <c r="D18" s="3">
        <v>1.5</v>
      </c>
      <c r="E18" s="3">
        <v>1.1000000000000001</v>
      </c>
      <c r="F18" s="3">
        <v>2.4</v>
      </c>
      <c r="G18" s="3">
        <v>0.6</v>
      </c>
      <c r="H18" s="3">
        <v>0.6</v>
      </c>
      <c r="I18" s="3">
        <v>2.1</v>
      </c>
      <c r="J18" s="3">
        <v>0.2</v>
      </c>
      <c r="K18" s="3">
        <v>0.7</v>
      </c>
      <c r="L18" s="3">
        <v>0.6</v>
      </c>
      <c r="M18" s="3">
        <v>1.3</v>
      </c>
      <c r="N18" s="3">
        <v>1</v>
      </c>
      <c r="O18" s="3">
        <v>1.6</v>
      </c>
      <c r="P18" s="3">
        <v>0.3</v>
      </c>
      <c r="Q18" s="3">
        <v>0.8</v>
      </c>
      <c r="R18" s="3">
        <v>0.3</v>
      </c>
      <c r="S18" s="3">
        <v>1.4</v>
      </c>
      <c r="T18" s="3">
        <v>0.9</v>
      </c>
      <c r="U18" s="3">
        <v>0.3</v>
      </c>
      <c r="V18" s="3">
        <v>1.4</v>
      </c>
      <c r="W18" s="3">
        <v>0.9</v>
      </c>
      <c r="X18" s="3">
        <v>0.8</v>
      </c>
      <c r="Y18" s="3">
        <v>0.9</v>
      </c>
      <c r="Z18" s="3">
        <v>0.8</v>
      </c>
      <c r="AA18" s="3">
        <v>0.1</v>
      </c>
      <c r="AB18" s="3">
        <v>0.7</v>
      </c>
      <c r="AC18" s="3">
        <v>0.4</v>
      </c>
      <c r="AD18" s="3">
        <v>1.3</v>
      </c>
      <c r="AE18" s="3">
        <v>0.7</v>
      </c>
      <c r="AF18" s="3">
        <v>1</v>
      </c>
      <c r="AG18" s="3">
        <v>0.3</v>
      </c>
      <c r="AH18" s="3">
        <v>0.6</v>
      </c>
      <c r="AI18" s="3">
        <v>0.6</v>
      </c>
      <c r="AJ18" s="3">
        <v>0.5</v>
      </c>
    </row>
    <row r="19" spans="1:36" ht="14.5" x14ac:dyDescent="0.3">
      <c r="A19" s="4" t="s">
        <v>19</v>
      </c>
      <c r="B19" s="3">
        <v>1.2</v>
      </c>
      <c r="C19" s="3">
        <v>2.4</v>
      </c>
      <c r="D19" s="3">
        <v>1.2</v>
      </c>
      <c r="E19" s="3">
        <v>0.7</v>
      </c>
      <c r="F19" s="3">
        <v>3.5</v>
      </c>
      <c r="G19" s="3">
        <v>4.4000000000000004</v>
      </c>
      <c r="H19" s="3">
        <v>1.3</v>
      </c>
      <c r="I19" s="3">
        <v>1.9</v>
      </c>
      <c r="J19" s="3">
        <v>0.7</v>
      </c>
      <c r="K19" s="3">
        <v>2.4</v>
      </c>
      <c r="L19" s="3">
        <v>1.5</v>
      </c>
      <c r="M19" s="3">
        <v>2.5</v>
      </c>
      <c r="N19" s="3">
        <v>0.8</v>
      </c>
      <c r="O19" s="3">
        <v>0.9</v>
      </c>
      <c r="P19" s="3">
        <v>2.8</v>
      </c>
      <c r="Q19" s="3">
        <v>2.2999999999999998</v>
      </c>
      <c r="R19" s="3">
        <v>1.3</v>
      </c>
      <c r="S19" s="3">
        <v>0.9</v>
      </c>
      <c r="T19" s="3">
        <v>2.2000000000000002</v>
      </c>
      <c r="U19" s="3">
        <v>0.9</v>
      </c>
      <c r="V19" s="3">
        <v>0.8</v>
      </c>
      <c r="W19" s="3">
        <v>1.1000000000000001</v>
      </c>
      <c r="X19" s="3">
        <v>1</v>
      </c>
      <c r="Y19" s="3">
        <v>0.8</v>
      </c>
      <c r="Z19" s="3">
        <v>2.2000000000000002</v>
      </c>
      <c r="AA19" s="3">
        <v>1.7</v>
      </c>
      <c r="AB19" s="3">
        <v>1.3</v>
      </c>
      <c r="AC19" s="3">
        <v>1.5</v>
      </c>
      <c r="AD19" s="3">
        <v>0.9</v>
      </c>
      <c r="AE19" s="3">
        <v>0.9</v>
      </c>
      <c r="AF19" s="3">
        <v>2.1</v>
      </c>
      <c r="AG19" s="3">
        <v>2</v>
      </c>
      <c r="AH19" s="3">
        <v>2.1</v>
      </c>
      <c r="AI19" s="3">
        <v>0.5</v>
      </c>
      <c r="AJ19" s="3">
        <v>0.8</v>
      </c>
    </row>
    <row r="20" spans="1:36" ht="16" customHeight="1" x14ac:dyDescent="0.3">
      <c r="A20" s="4" t="s">
        <v>20</v>
      </c>
      <c r="B20" s="3">
        <v>2.2999999999999998</v>
      </c>
      <c r="C20" s="3">
        <v>1.4</v>
      </c>
      <c r="D20" s="3">
        <v>0.7</v>
      </c>
      <c r="E20" s="3">
        <v>0.8</v>
      </c>
      <c r="F20" s="3">
        <v>0.9</v>
      </c>
      <c r="G20" s="3">
        <v>1</v>
      </c>
      <c r="H20" s="3">
        <v>3.6</v>
      </c>
      <c r="I20" s="3">
        <v>0.8</v>
      </c>
      <c r="J20" s="3">
        <v>2.8</v>
      </c>
      <c r="K20" s="3">
        <v>0.1</v>
      </c>
      <c r="L20" s="3">
        <v>0.8</v>
      </c>
      <c r="M20" s="3">
        <v>0.9</v>
      </c>
      <c r="N20" s="3">
        <v>1.5</v>
      </c>
      <c r="O20" s="3">
        <v>3</v>
      </c>
      <c r="P20" s="3">
        <v>1</v>
      </c>
      <c r="Q20" s="3">
        <v>2.1</v>
      </c>
      <c r="R20" s="3">
        <v>1.2</v>
      </c>
      <c r="S20" s="3">
        <v>1.7</v>
      </c>
      <c r="T20" s="3">
        <v>0.4</v>
      </c>
      <c r="U20" s="3">
        <v>1.4</v>
      </c>
      <c r="V20" s="3">
        <v>1</v>
      </c>
      <c r="W20" s="3">
        <v>0.3</v>
      </c>
      <c r="X20" s="3">
        <v>1.3</v>
      </c>
      <c r="Y20" s="3">
        <v>1.2</v>
      </c>
      <c r="Z20" s="3">
        <v>0.8</v>
      </c>
      <c r="AA20" s="3">
        <v>1.1000000000000001</v>
      </c>
      <c r="AB20" s="3">
        <v>1.3</v>
      </c>
      <c r="AC20" s="3">
        <v>0.7</v>
      </c>
      <c r="AD20" s="3">
        <v>0.8</v>
      </c>
      <c r="AE20" s="3">
        <v>1.3</v>
      </c>
      <c r="AF20" s="3">
        <v>0.7</v>
      </c>
      <c r="AG20" s="3">
        <v>1.4</v>
      </c>
      <c r="AH20" s="3">
        <v>0.9</v>
      </c>
      <c r="AI20" s="3">
        <v>1.3</v>
      </c>
      <c r="AJ20" s="3">
        <v>0.8</v>
      </c>
    </row>
    <row r="21" spans="1:36" ht="14.5" x14ac:dyDescent="0.3">
      <c r="A21" s="4" t="s">
        <v>21</v>
      </c>
      <c r="B21" s="3">
        <v>0.5</v>
      </c>
      <c r="C21" s="3">
        <v>1.9</v>
      </c>
      <c r="D21" s="3">
        <v>0.7</v>
      </c>
      <c r="E21" s="3">
        <v>1.2</v>
      </c>
      <c r="F21" s="3">
        <v>0.5</v>
      </c>
      <c r="G21" s="3">
        <v>0.6</v>
      </c>
      <c r="H21" s="3">
        <v>1</v>
      </c>
      <c r="I21" s="3">
        <v>0.8</v>
      </c>
      <c r="J21" s="3">
        <v>1.3</v>
      </c>
      <c r="K21" s="3">
        <v>1.5</v>
      </c>
      <c r="L21" s="3">
        <v>1.3</v>
      </c>
      <c r="M21" s="3">
        <v>1.3</v>
      </c>
      <c r="N21" s="3">
        <v>0.5</v>
      </c>
      <c r="O21" s="3">
        <v>0.8</v>
      </c>
      <c r="P21" s="3">
        <v>1.4</v>
      </c>
      <c r="Q21" s="3">
        <v>1.3</v>
      </c>
      <c r="R21" s="3">
        <v>1.1000000000000001</v>
      </c>
      <c r="S21" s="3">
        <v>0.9</v>
      </c>
      <c r="T21" s="3">
        <v>0.7</v>
      </c>
      <c r="U21" s="3">
        <v>1.5</v>
      </c>
      <c r="V21" s="3">
        <v>1.6</v>
      </c>
      <c r="W21" s="3">
        <v>0.8</v>
      </c>
      <c r="X21" s="3">
        <v>0.7</v>
      </c>
      <c r="Y21" s="3">
        <v>1.6</v>
      </c>
      <c r="Z21" s="3">
        <v>1.5</v>
      </c>
      <c r="AA21" s="3">
        <v>2</v>
      </c>
      <c r="AB21" s="3">
        <v>1.3</v>
      </c>
      <c r="AC21" s="3">
        <v>0.8</v>
      </c>
      <c r="AD21" s="3">
        <v>0.4</v>
      </c>
      <c r="AE21" s="3">
        <v>1.2</v>
      </c>
      <c r="AF21" s="3">
        <v>2.6</v>
      </c>
      <c r="AG21" s="3">
        <v>2.4</v>
      </c>
      <c r="AH21" s="3">
        <v>0.2</v>
      </c>
      <c r="AI21" s="3">
        <v>2</v>
      </c>
      <c r="AJ21" s="3">
        <v>0.4</v>
      </c>
    </row>
  </sheetData>
  <pageMargins left="0.75" right="0.75" top="1" bottom="1" header="0.5" footer="0.5"/>
  <headerFooter>
    <oddFooter>&amp;R_x000D_&amp;1#&amp;"Calibri"&amp;9&amp;K000000 Ierobežotas pieejamības ārēja informācija</oddFooter>
  </headerFooter>
</worksheet>
</file>

<file path=docMetadata/LabelInfo.xml><?xml version="1.0" encoding="utf-8"?>
<clbl:labelList xmlns:clbl="http://schemas.microsoft.com/office/2020/mipLabelMetadata">
  <clbl:label id="{c54935a6-4770-4220-81af-914f9d5d5144}" enabled="1" method="Privileged" siteId="{964f07d8-5825-4956-9452-f1bf0ed4e06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ElevenifyPrognozes</vt:lpstr>
      <vt:lpstr>AutoraPrognozes</vt:lpstr>
      <vt:lpstr>FaktiskieVarti</vt:lpstr>
      <vt:lpstr>FaktiskaisXG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Kaspars Grīnbergs-Zaļkalns</dc:creator>
  <cp:lastModifiedBy>Kaspars Grīnbergs-Zaļkalns</cp:lastModifiedBy>
  <dcterms:created xsi:type="dcterms:W3CDTF">2025-05-24T11:47:10Z</dcterms:created>
  <dcterms:modified xsi:type="dcterms:W3CDTF">2025-05-24T12:11:47Z</dcterms:modified>
</cp:coreProperties>
</file>